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483342\Desktop\BANDO START UP\"/>
    </mc:Choice>
  </mc:AlternateContent>
  <bookViews>
    <workbookView xWindow="0" yWindow="0" windowWidth="28800" windowHeight="13320" tabRatio="916" activeTab="8"/>
  </bookViews>
  <sheets>
    <sheet name="sit patr partenza" sheetId="18" r:id="rId1"/>
    <sheet name="Stato patrimoniale" sheetId="15" r:id="rId2"/>
    <sheet name="Conto economico" sheetId="10" r:id="rId3"/>
    <sheet name="Cash Flow" sheetId="14" r:id="rId4"/>
    <sheet name="Modello ricavi" sheetId="3" r:id="rId5"/>
    <sheet name="Piano Investimento" sheetId="17" r:id="rId6"/>
    <sheet name="Piano ammortamenti investimenti" sheetId="13" r:id="rId7"/>
    <sheet name="Piano fonti finanziarie" sheetId="22" r:id="rId8"/>
    <sheet name="mutuo bancario SIMULAZIONE" sheetId="24" r:id="rId9"/>
    <sheet name="mutuo Comune SIMULAZIONE" sheetId="25" r:id="rId10"/>
    <sheet name="personale" sheetId="2" r:id="rId11"/>
    <sheet name="Dettagli costi di struttura" sheetId="16" r:id="rId12"/>
  </sheets>
  <externalReferences>
    <externalReference r:id="rId13"/>
  </externalReferences>
  <definedNames>
    <definedName name="Ammontare" localSheetId="9">'mutuo Comune SIMULAZIONE'!$C$7</definedName>
    <definedName name="Ammontare">'mutuo bancario SIMULAZIONE'!$C$7</definedName>
    <definedName name="_xlnm.Print_Area" localSheetId="3">'Cash Flow'!$A$1:$G$26</definedName>
    <definedName name="_xlnm.Print_Area" localSheetId="8">'mutuo bancario SIMULAZIONE'!$A$1:$G$49</definedName>
    <definedName name="_xlnm.Print_Area" localSheetId="9">'mutuo Comune SIMULAZIONE'!$A$1:$G$49</definedName>
    <definedName name="_xlnm.Print_Area" localSheetId="0">'sit patr partenza'!$A$1:$B$259</definedName>
    <definedName name="Bilancio.fin" localSheetId="9">IF('mutuo Comune SIMULAZIONE'!XEZ1&lt;&gt;"",'mutuo Comune SIMULAZIONE'!XFB1-'mutuo Comune SIMULAZIONE'!XFD1,"")</definedName>
    <definedName name="Bilancio.fin">IF('mutuo bancario SIMULAZIONE'!XEZ1&lt;&gt;"",'mutuo bancario SIMULAZIONE'!XFB1-'mutuo bancario SIMULAZIONE'!XFD1,"")</definedName>
    <definedName name="Bilancio.iniz" localSheetId="9">IF('mutuo Comune SIMULAZIONE'!XFC1&lt;&gt;"",'mutuo Comune SIMULAZIONE'!D1048576,"")</definedName>
    <definedName name="Bilancio.iniz">IF('mutuo bancario SIMULAZIONE'!XFC1&lt;&gt;"",'mutuo bancario SIMULAZIONE'!D1048576,"")</definedName>
    <definedName name="Data_1rata" localSheetId="9">'mutuo Comune SIMULAZIONE'!$C$13</definedName>
    <definedName name="Data_1rata">'mutuo bancario SIMULAZIONE'!$C$13</definedName>
    <definedName name="Interesse.cum" localSheetId="9">IF('mutuo Comune SIMULAZIONE'!XEY1&lt;&gt;"",'mutuo Comune SIMULAZIONE'!A1048576+'mutuo Comune SIMULAZIONE'!XFB1,"")</definedName>
    <definedName name="Interesse.cum">IF('mutuo bancario SIMULAZIONE'!XEY1&lt;&gt;"",'mutuo bancario SIMULAZIONE'!A1048576+'mutuo bancario SIMULAZIONE'!XFB1,"")</definedName>
    <definedName name="Interessi" localSheetId="9">IF('mutuo Comune SIMULAZIONE'!XFB1&lt;&gt;"",'mutuo Comune SIMULAZIONE'!XFD1*'mutuo Comune SIMULAZIONE'!Tasso_periodico,"")</definedName>
    <definedName name="Interessi">IF('mutuo bancario SIMULAZIONE'!XFB1&lt;&gt;"",'mutuo bancario SIMULAZIONE'!XFD1*Tasso_periodico,"")</definedName>
    <definedName name="Montante" localSheetId="9">IF('mutuo Comune SIMULAZIONE'!XFA1&lt;&gt;"",MIN('mutuo Comune SIMULAZIONE'!XFC1,'mutuo Comune SIMULAZIONE'!Rata_da_usare-'mutuo Comune SIMULAZIONE'!XFD1),"")</definedName>
    <definedName name="Montante">IF('mutuo bancario SIMULAZIONE'!XFA1&lt;&gt;"",MIN('mutuo bancario SIMULAZIONE'!XFC1,Rata_da_usare-'mutuo bancario SIMULAZIONE'!XFD1),"")</definedName>
    <definedName name="Mostra.data" localSheetId="9">IF('mutuo Comune SIMULAZIONE'!XFD1&lt;&gt;"",DATE(YEAR('mutuo Comune SIMULAZIONE'!Data_1rata),MONTH('mutuo Comune SIMULAZIONE'!Data_1rata)+('mutuo Comune SIMULAZIONE'!XFD1-1)*12/'mutuo Comune SIMULAZIONE'!Num_rate_annuali,DAY('mutuo Comune SIMULAZIONE'!Data_1rata)),"")</definedName>
    <definedName name="Mostra.data">IF('mutuo bancario SIMULAZIONE'!XFD1&lt;&gt;"",DATE(YEAR(Data_1rata),MONTH(Data_1rata)+('mutuo bancario SIMULAZIONE'!XFD1-1)*12/Num_rate_annuali,DAY(Data_1rata)),"")</definedName>
    <definedName name="Num.rata" localSheetId="9">IF(OR('mutuo Comune SIMULAZIONE'!A1048576="",'mutuo Comune SIMULAZIONE'!A1048576='mutuo Comune SIMULAZIONE'!Rate_totali),"",'mutuo Comune SIMULAZIONE'!A1048576+1)</definedName>
    <definedName name="Num.rata">IF(OR('mutuo bancario SIMULAZIONE'!A1048576="",'mutuo bancario SIMULAZIONE'!A1048576=Rate_totali),"",'mutuo bancario SIMULAZIONE'!A1048576+1)</definedName>
    <definedName name="Num_1rata" localSheetId="9">'mutuo Comune SIMULAZIONE'!$C$19</definedName>
    <definedName name="Num_1rata">'mutuo bancario SIMULAZIONE'!$C$19</definedName>
    <definedName name="Num_rate_annuali" localSheetId="9">'mutuo Comune SIMULAZIONE'!$C$12</definedName>
    <definedName name="Num_rate_annuali">'mutuo bancario SIMULAZIONE'!$C$12</definedName>
    <definedName name="Periodo" localSheetId="9">'mutuo Comune SIMULAZIONE'!$C$10</definedName>
    <definedName name="Periodo">'mutuo bancario SIMULAZIONE'!$C$10</definedName>
    <definedName name="Rata_calc" localSheetId="9">'mutuo Comune SIMULAZIONE'!$C$16</definedName>
    <definedName name="Rata_calc">'mutuo bancario SIMULAZIONE'!$C$16</definedName>
    <definedName name="Rata_da_usare" localSheetId="9">'mutuo Comune SIMULAZIONE'!$C$18</definedName>
    <definedName name="Rata_da_usare">'mutuo bancario SIMULAZIONE'!$C$18</definedName>
    <definedName name="Rata_immessa" localSheetId="9">'mutuo Comune SIMULAZIONE'!$C$15</definedName>
    <definedName name="Rata_immessa">'mutuo bancario SIMULAZIONE'!$C$15</definedName>
    <definedName name="Rate_totali" localSheetId="9">'mutuo Comune SIMULAZIONE'!Num_rate_annuali*'mutuo Comune SIMULAZIONE'!Periodo</definedName>
    <definedName name="Rate_totali">Num_rate_annuali*Periodo</definedName>
    <definedName name="Tabella_data_iniz" localSheetId="9">'mutuo Comune SIMULAZIONE'!$G$7</definedName>
    <definedName name="Tabella_data_iniz">'mutuo bancario SIMULAZIONE'!$G$7</definedName>
    <definedName name="Tabella_iniz_bil" localSheetId="9">'mutuo Comune SIMULAZIONE'!$G$18</definedName>
    <definedName name="Tabella_iniz_bil">'mutuo bancario SIMULAZIONE'!$G$18</definedName>
    <definedName name="Tabella_int_prec" localSheetId="9">'mutuo Comune SIMULAZIONE'!$G$19</definedName>
    <definedName name="Tabella_int_prec">'mutuo bancario SIMULAZIONE'!$G$19</definedName>
    <definedName name="Tabella_rata_iniz" localSheetId="9">'mutuo Comune SIMULAZIONE'!$G$8</definedName>
    <definedName name="Tabella_rata_iniz">'mutuo bancario SIMULAZIONE'!$G$8</definedName>
    <definedName name="Tasso_int_annuo" localSheetId="9">'mutuo Comune SIMULAZIONE'!$C$8</definedName>
    <definedName name="Tasso_int_annuo">'mutuo bancario SIMULAZIONE'!$C$8</definedName>
    <definedName name="Tasso_interessi_annuo" localSheetId="9">'mutuo Comune SIMULAZIONE'!$C$8</definedName>
    <definedName name="Tasso_interessi_annuo">'mutuo bancario SIMULAZIONE'!$C$8</definedName>
    <definedName name="Tasso_periodico" localSheetId="9">'mutuo Comune SIMULAZIONE'!Tasso_int_annuo/'mutuo Comune SIMULAZIONE'!Num_rate_annuali</definedName>
    <definedName name="Tasso_periodico">Tasso_int_annuo/Num_rate_annuali</definedName>
  </definedNames>
  <calcPr calcId="152511"/>
</workbook>
</file>

<file path=xl/calcChain.xml><?xml version="1.0" encoding="utf-8"?>
<calcChain xmlns="http://schemas.openxmlformats.org/spreadsheetml/2006/main">
  <c r="C31" i="10" l="1"/>
  <c r="E31" i="10"/>
  <c r="G31" i="10"/>
  <c r="I31" i="10"/>
  <c r="B31" i="10"/>
  <c r="I29" i="10"/>
  <c r="G29" i="10"/>
  <c r="A27" i="25" l="1"/>
  <c r="A26" i="25"/>
  <c r="C16" i="25"/>
  <c r="C18" i="25" s="1"/>
  <c r="C11" i="25"/>
  <c r="G7" i="25"/>
  <c r="B26" i="25" s="1"/>
  <c r="A28" i="25" l="1"/>
  <c r="B27" i="25"/>
  <c r="C19" i="25"/>
  <c r="A29" i="25" l="1"/>
  <c r="B28" i="25"/>
  <c r="G18" i="25"/>
  <c r="C26" i="25" s="1"/>
  <c r="F18" i="25"/>
  <c r="F19" i="25"/>
  <c r="F12" i="22"/>
  <c r="G19" i="25" l="1"/>
  <c r="A30" i="25"/>
  <c r="B29" i="25"/>
  <c r="C24" i="25"/>
  <c r="D26" i="25"/>
  <c r="E26" i="25" s="1"/>
  <c r="F26" i="25" s="1"/>
  <c r="C27" i="25" s="1"/>
  <c r="A26" i="24"/>
  <c r="C16" i="24"/>
  <c r="C18" i="24" s="1"/>
  <c r="C11" i="24"/>
  <c r="G7" i="24"/>
  <c r="B26" i="24" s="1"/>
  <c r="D27" i="25" l="1"/>
  <c r="E27" i="25" s="1"/>
  <c r="F27" i="25" s="1"/>
  <c r="C28" i="25" s="1"/>
  <c r="D24" i="25"/>
  <c r="C25" i="25"/>
  <c r="F25" i="25" s="1"/>
  <c r="F24" i="25"/>
  <c r="B30" i="25"/>
  <c r="A31" i="25"/>
  <c r="C19" i="24"/>
  <c r="G18" i="24" s="1"/>
  <c r="C26" i="24" s="1"/>
  <c r="D26" i="24" s="1"/>
  <c r="E26" i="24" s="1"/>
  <c r="A27" i="24"/>
  <c r="B31" i="25" l="1"/>
  <c r="A32" i="25"/>
  <c r="D28" i="25"/>
  <c r="E28" i="25" s="1"/>
  <c r="F28" i="25" s="1"/>
  <c r="C29" i="25" s="1"/>
  <c r="D25" i="25"/>
  <c r="G24" i="25"/>
  <c r="F18" i="24"/>
  <c r="F19" i="24"/>
  <c r="G19" i="24"/>
  <c r="B27" i="24"/>
  <c r="A28" i="24"/>
  <c r="C24" i="24"/>
  <c r="F26" i="24"/>
  <c r="C27" i="24" s="1"/>
  <c r="G25" i="25" l="1"/>
  <c r="G26" i="25" s="1"/>
  <c r="G27" i="25" s="1"/>
  <c r="G28" i="25" s="1"/>
  <c r="D29" i="25"/>
  <c r="E29" i="25" s="1"/>
  <c r="F29" i="25" s="1"/>
  <c r="C30" i="25" s="1"/>
  <c r="A33" i="25"/>
  <c r="B32" i="25"/>
  <c r="B28" i="24"/>
  <c r="A29" i="24"/>
  <c r="C25" i="24"/>
  <c r="F25" i="24" s="1"/>
  <c r="F24" i="24"/>
  <c r="D24" i="24"/>
  <c r="D27" i="24"/>
  <c r="E27" i="24" s="1"/>
  <c r="F27" i="24" s="1"/>
  <c r="C28" i="24" s="1"/>
  <c r="G29" i="25" l="1"/>
  <c r="A34" i="25"/>
  <c r="B33" i="25"/>
  <c r="D30" i="25"/>
  <c r="E30" i="25" s="1"/>
  <c r="F30" i="25" s="1"/>
  <c r="C31" i="25" s="1"/>
  <c r="D28" i="24"/>
  <c r="E28" i="24" s="1"/>
  <c r="F28" i="24" s="1"/>
  <c r="C29" i="24" s="1"/>
  <c r="G24" i="24"/>
  <c r="D25" i="24"/>
  <c r="A30" i="24"/>
  <c r="B29" i="24"/>
  <c r="D31" i="25" l="1"/>
  <c r="E31" i="25" s="1"/>
  <c r="F31" i="25" s="1"/>
  <c r="C32" i="25" s="1"/>
  <c r="G30" i="25"/>
  <c r="B34" i="25"/>
  <c r="A35" i="25"/>
  <c r="G25" i="24"/>
  <c r="G26" i="24" s="1"/>
  <c r="G27" i="24" s="1"/>
  <c r="G28" i="24" s="1"/>
  <c r="D29" i="24"/>
  <c r="E29" i="24" s="1"/>
  <c r="F29" i="24" s="1"/>
  <c r="C30" i="24" s="1"/>
  <c r="A31" i="24"/>
  <c r="B30" i="24"/>
  <c r="G31" i="25" l="1"/>
  <c r="D32" i="25"/>
  <c r="E32" i="25" s="1"/>
  <c r="F32" i="25" s="1"/>
  <c r="C33" i="25" s="1"/>
  <c r="B35" i="25"/>
  <c r="A36" i="25"/>
  <c r="G29" i="24"/>
  <c r="D30" i="24"/>
  <c r="E30" i="24" s="1"/>
  <c r="F30" i="24" s="1"/>
  <c r="C31" i="24" s="1"/>
  <c r="B31" i="24"/>
  <c r="A32" i="24"/>
  <c r="D33" i="25" l="1"/>
  <c r="E33" i="25" s="1"/>
  <c r="F33" i="25" s="1"/>
  <c r="C34" i="25" s="1"/>
  <c r="A37" i="25"/>
  <c r="B36" i="25"/>
  <c r="G32" i="25"/>
  <c r="D31" i="24"/>
  <c r="E31" i="24" s="1"/>
  <c r="F31" i="24" s="1"/>
  <c r="C32" i="24" s="1"/>
  <c r="B32" i="24"/>
  <c r="A33" i="24"/>
  <c r="G30" i="24"/>
  <c r="G33" i="25" l="1"/>
  <c r="G34" i="25" s="1"/>
  <c r="D34" i="25"/>
  <c r="E34" i="25" s="1"/>
  <c r="F34" i="25" s="1"/>
  <c r="C35" i="25" s="1"/>
  <c r="A38" i="25"/>
  <c r="B37" i="25"/>
  <c r="G31" i="24"/>
  <c r="D32" i="24"/>
  <c r="E32" i="24" s="1"/>
  <c r="F32" i="24" s="1"/>
  <c r="C33" i="24" s="1"/>
  <c r="A34" i="24"/>
  <c r="B33" i="24"/>
  <c r="D35" i="25" l="1"/>
  <c r="E35" i="25" s="1"/>
  <c r="F35" i="25" s="1"/>
  <c r="C36" i="25" s="1"/>
  <c r="B38" i="25"/>
  <c r="A39" i="25"/>
  <c r="D33" i="24"/>
  <c r="E33" i="24" s="1"/>
  <c r="F33" i="24" s="1"/>
  <c r="E34" i="24"/>
  <c r="G34" i="24"/>
  <c r="A35" i="24"/>
  <c r="D34" i="24"/>
  <c r="C34" i="24"/>
  <c r="F34" i="24"/>
  <c r="B34" i="24"/>
  <c r="G32" i="24"/>
  <c r="G33" i="24" s="1"/>
  <c r="G35" i="25" l="1"/>
  <c r="D36" i="25"/>
  <c r="E36" i="25" s="1"/>
  <c r="F36" i="25" s="1"/>
  <c r="C37" i="25" s="1"/>
  <c r="B39" i="25"/>
  <c r="A40" i="25"/>
  <c r="F35" i="24"/>
  <c r="B35" i="24"/>
  <c r="A36" i="24"/>
  <c r="E35" i="24"/>
  <c r="D35" i="24"/>
  <c r="G35" i="24"/>
  <c r="C35" i="24"/>
  <c r="D37" i="25" l="1"/>
  <c r="E37" i="25" s="1"/>
  <c r="F37" i="25" s="1"/>
  <c r="C38" i="25" s="1"/>
  <c r="G36" i="25"/>
  <c r="A41" i="25"/>
  <c r="B40" i="25"/>
  <c r="G36" i="24"/>
  <c r="C36" i="24"/>
  <c r="F36" i="24"/>
  <c r="B36" i="24"/>
  <c r="E36" i="24"/>
  <c r="A37" i="24"/>
  <c r="D36" i="24"/>
  <c r="G37" i="25" l="1"/>
  <c r="G38" i="25" s="1"/>
  <c r="D38" i="25"/>
  <c r="E38" i="25" s="1"/>
  <c r="F38" i="25" s="1"/>
  <c r="C39" i="25" s="1"/>
  <c r="A42" i="25"/>
  <c r="B41" i="25"/>
  <c r="A38" i="24"/>
  <c r="D37" i="24"/>
  <c r="B37" i="24"/>
  <c r="G37" i="24"/>
  <c r="C37" i="24"/>
  <c r="F37" i="24"/>
  <c r="E37" i="24"/>
  <c r="D39" i="25" l="1"/>
  <c r="E39" i="25" s="1"/>
  <c r="F39" i="25" s="1"/>
  <c r="C40" i="25" s="1"/>
  <c r="B42" i="25"/>
  <c r="A43" i="25"/>
  <c r="E38" i="24"/>
  <c r="G38" i="24"/>
  <c r="A39" i="24"/>
  <c r="D38" i="24"/>
  <c r="C38" i="24"/>
  <c r="F38" i="24"/>
  <c r="B38" i="24"/>
  <c r="G39" i="25" l="1"/>
  <c r="G40" i="25" s="1"/>
  <c r="D40" i="25"/>
  <c r="E40" i="25" s="1"/>
  <c r="F40" i="25" s="1"/>
  <c r="C41" i="25" s="1"/>
  <c r="B43" i="25"/>
  <c r="A44" i="25"/>
  <c r="F39" i="24"/>
  <c r="B39" i="24"/>
  <c r="A40" i="24"/>
  <c r="E39" i="24"/>
  <c r="D39" i="24"/>
  <c r="C39" i="24"/>
  <c r="G39" i="24"/>
  <c r="D41" i="25" l="1"/>
  <c r="E41" i="25" s="1"/>
  <c r="F41" i="25" s="1"/>
  <c r="C42" i="25" s="1"/>
  <c r="A45" i="25"/>
  <c r="B44" i="25"/>
  <c r="G40" i="24"/>
  <c r="C40" i="24"/>
  <c r="F40" i="24"/>
  <c r="B40" i="24"/>
  <c r="E40" i="24"/>
  <c r="A41" i="24"/>
  <c r="D40" i="24"/>
  <c r="G41" i="25" l="1"/>
  <c r="G42" i="25" s="1"/>
  <c r="D42" i="25"/>
  <c r="E42" i="25" s="1"/>
  <c r="F42" i="25" s="1"/>
  <c r="C43" i="25" s="1"/>
  <c r="A46" i="25"/>
  <c r="B45" i="25"/>
  <c r="A42" i="24"/>
  <c r="D41" i="24"/>
  <c r="B41" i="24"/>
  <c r="G41" i="24"/>
  <c r="C41" i="24"/>
  <c r="F41" i="24"/>
  <c r="E41" i="24"/>
  <c r="F43" i="25" l="1"/>
  <c r="C44" i="25" s="1"/>
  <c r="D43" i="25"/>
  <c r="E43" i="25" s="1"/>
  <c r="G43" i="25"/>
  <c r="F46" i="25"/>
  <c r="B46" i="25"/>
  <c r="E46" i="25"/>
  <c r="A47" i="25"/>
  <c r="D46" i="25"/>
  <c r="G46" i="25"/>
  <c r="C46" i="25"/>
  <c r="E42" i="24"/>
  <c r="G42" i="24"/>
  <c r="C42" i="24"/>
  <c r="A43" i="24"/>
  <c r="D42" i="24"/>
  <c r="F42" i="24"/>
  <c r="B42" i="24"/>
  <c r="D44" i="25" l="1"/>
  <c r="E44" i="25" s="1"/>
  <c r="F44" i="25" s="1"/>
  <c r="C45" i="25" s="1"/>
  <c r="G47" i="25"/>
  <c r="C47" i="25"/>
  <c r="F47" i="25"/>
  <c r="B47" i="25"/>
  <c r="E47" i="25"/>
  <c r="A48" i="25"/>
  <c r="D47" i="25"/>
  <c r="F43" i="24"/>
  <c r="B43" i="24"/>
  <c r="E43" i="24"/>
  <c r="A44" i="24"/>
  <c r="D43" i="24"/>
  <c r="G43" i="24"/>
  <c r="C43" i="24"/>
  <c r="G44" i="25" l="1"/>
  <c r="G45" i="25" s="1"/>
  <c r="D45" i="25"/>
  <c r="E45" i="25" s="1"/>
  <c r="F45" i="25" s="1"/>
  <c r="A49" i="25"/>
  <c r="D48" i="25"/>
  <c r="G48" i="25"/>
  <c r="C48" i="25"/>
  <c r="F48" i="25"/>
  <c r="B48" i="25"/>
  <c r="E48" i="25"/>
  <c r="G44" i="24"/>
  <c r="C44" i="24"/>
  <c r="E44" i="24"/>
  <c r="F44" i="24"/>
  <c r="B44" i="24"/>
  <c r="A45" i="24"/>
  <c r="D44" i="24"/>
  <c r="E49" i="25" l="1"/>
  <c r="A50" i="25"/>
  <c r="D49" i="25"/>
  <c r="G49" i="25"/>
  <c r="C49" i="25"/>
  <c r="F49" i="25"/>
  <c r="B49" i="25"/>
  <c r="A46" i="24"/>
  <c r="D45" i="24"/>
  <c r="B45" i="24"/>
  <c r="G45" i="24"/>
  <c r="C45" i="24"/>
  <c r="F45" i="24"/>
  <c r="E45" i="24"/>
  <c r="F50" i="25" l="1"/>
  <c r="B50" i="25"/>
  <c r="E50" i="25"/>
  <c r="A51" i="25"/>
  <c r="D50" i="25"/>
  <c r="G50" i="25"/>
  <c r="C50" i="25"/>
  <c r="E46" i="24"/>
  <c r="C46" i="24"/>
  <c r="A47" i="24"/>
  <c r="D46" i="24"/>
  <c r="G46" i="24"/>
  <c r="B46" i="24"/>
  <c r="F46" i="24"/>
  <c r="G51" i="25" l="1"/>
  <c r="C51" i="25"/>
  <c r="F51" i="25"/>
  <c r="B51" i="25"/>
  <c r="E51" i="25"/>
  <c r="A52" i="25"/>
  <c r="D51" i="25"/>
  <c r="F47" i="24"/>
  <c r="B47" i="24"/>
  <c r="D47" i="24"/>
  <c r="E47" i="24"/>
  <c r="A48" i="24"/>
  <c r="G47" i="24"/>
  <c r="C47" i="24"/>
  <c r="E43" i="15"/>
  <c r="D43" i="15"/>
  <c r="B32" i="2"/>
  <c r="A53" i="25" l="1"/>
  <c r="D52" i="25"/>
  <c r="G52" i="25"/>
  <c r="C52" i="25"/>
  <c r="F52" i="25"/>
  <c r="B52" i="25"/>
  <c r="E52" i="25"/>
  <c r="G48" i="24"/>
  <c r="C48" i="24"/>
  <c r="E48" i="24"/>
  <c r="F48" i="24"/>
  <c r="B48" i="24"/>
  <c r="D48" i="24"/>
  <c r="A49" i="24"/>
  <c r="E53" i="25" l="1"/>
  <c r="A54" i="25"/>
  <c r="D53" i="25"/>
  <c r="G53" i="25"/>
  <c r="C53" i="25"/>
  <c r="F53" i="25"/>
  <c r="B53" i="25"/>
  <c r="A50" i="24"/>
  <c r="D49" i="24"/>
  <c r="F49" i="24"/>
  <c r="G49" i="24"/>
  <c r="C49" i="24"/>
  <c r="B49" i="24"/>
  <c r="E49" i="24"/>
  <c r="C29" i="10"/>
  <c r="E29" i="10"/>
  <c r="F43" i="15"/>
  <c r="D32" i="2"/>
  <c r="C32" i="2"/>
  <c r="C17" i="2"/>
  <c r="G2" i="15"/>
  <c r="H2" i="15" s="1"/>
  <c r="F54" i="25" l="1"/>
  <c r="B54" i="25"/>
  <c r="E54" i="25"/>
  <c r="A55" i="25"/>
  <c r="D54" i="25"/>
  <c r="G54" i="25"/>
  <c r="C54" i="25"/>
  <c r="E50" i="24"/>
  <c r="G50" i="24"/>
  <c r="A51" i="24"/>
  <c r="D50" i="24"/>
  <c r="C50" i="24"/>
  <c r="F50" i="24"/>
  <c r="B50" i="24"/>
  <c r="D6" i="3"/>
  <c r="F6" i="3"/>
  <c r="E6" i="3"/>
  <c r="C6" i="3"/>
  <c r="A29" i="3"/>
  <c r="A30" i="3"/>
  <c r="A12" i="3"/>
  <c r="A11" i="3"/>
  <c r="G55" i="25" l="1"/>
  <c r="C55" i="25"/>
  <c r="F55" i="25"/>
  <c r="B55" i="25"/>
  <c r="E55" i="25"/>
  <c r="A56" i="25"/>
  <c r="D55" i="25"/>
  <c r="F51" i="24"/>
  <c r="B51" i="24"/>
  <c r="A52" i="24"/>
  <c r="E51" i="24"/>
  <c r="D51" i="24"/>
  <c r="G51" i="24"/>
  <c r="C51" i="24"/>
  <c r="C2" i="14"/>
  <c r="D2" i="14" s="1"/>
  <c r="E2" i="14" s="1"/>
  <c r="F2" i="14" s="1"/>
  <c r="G2" i="14" s="1"/>
  <c r="A57" i="25" l="1"/>
  <c r="D56" i="25"/>
  <c r="G56" i="25"/>
  <c r="C56" i="25"/>
  <c r="F56" i="25"/>
  <c r="B56" i="25"/>
  <c r="E56" i="25"/>
  <c r="G52" i="24"/>
  <c r="C52" i="24"/>
  <c r="F52" i="24"/>
  <c r="B52" i="24"/>
  <c r="E52" i="24"/>
  <c r="A53" i="24"/>
  <c r="D52" i="24"/>
  <c r="A28" i="3"/>
  <c r="D16" i="3"/>
  <c r="E57" i="25" l="1"/>
  <c r="A58" i="25"/>
  <c r="D57" i="25"/>
  <c r="G57" i="25"/>
  <c r="C57" i="25"/>
  <c r="F57" i="25"/>
  <c r="B57" i="25"/>
  <c r="A54" i="24"/>
  <c r="D53" i="24"/>
  <c r="F53" i="24"/>
  <c r="G53" i="24"/>
  <c r="C53" i="24"/>
  <c r="B53" i="24"/>
  <c r="E53" i="24"/>
  <c r="C16" i="3"/>
  <c r="E58" i="25" l="1"/>
  <c r="G58" i="25"/>
  <c r="B58" i="25"/>
  <c r="F58" i="25"/>
  <c r="D58" i="25"/>
  <c r="A59" i="25"/>
  <c r="C58" i="25"/>
  <c r="E54" i="24"/>
  <c r="G54" i="24"/>
  <c r="A55" i="24"/>
  <c r="D54" i="24"/>
  <c r="C54" i="24"/>
  <c r="F54" i="24"/>
  <c r="B54" i="24"/>
  <c r="D47" i="15"/>
  <c r="E47" i="15" s="1"/>
  <c r="F59" i="25" l="1"/>
  <c r="B59" i="25"/>
  <c r="E59" i="25"/>
  <c r="D59" i="25"/>
  <c r="A60" i="25"/>
  <c r="C59" i="25"/>
  <c r="G59" i="25"/>
  <c r="F55" i="24"/>
  <c r="B55" i="24"/>
  <c r="D55" i="24"/>
  <c r="E55" i="24"/>
  <c r="A56" i="24"/>
  <c r="C55" i="24"/>
  <c r="G55" i="24"/>
  <c r="F47" i="15"/>
  <c r="G47" i="15" s="1"/>
  <c r="F21" i="14"/>
  <c r="D21" i="14"/>
  <c r="C21" i="14"/>
  <c r="B219" i="18"/>
  <c r="B229" i="18" s="1"/>
  <c r="B172" i="18"/>
  <c r="B161" i="18"/>
  <c r="C50" i="15"/>
  <c r="B115" i="18"/>
  <c r="B93" i="18"/>
  <c r="B88" i="18"/>
  <c r="C7" i="15" s="1"/>
  <c r="B83" i="18"/>
  <c r="B74" i="18"/>
  <c r="B71" i="18"/>
  <c r="B55" i="18"/>
  <c r="B46" i="18"/>
  <c r="B12" i="18"/>
  <c r="G60" i="25" l="1"/>
  <c r="C60" i="25"/>
  <c r="D60" i="25"/>
  <c r="A61" i="25"/>
  <c r="B60" i="25"/>
  <c r="F60" i="25"/>
  <c r="E60" i="25"/>
  <c r="G56" i="24"/>
  <c r="C56" i="24"/>
  <c r="E56" i="24"/>
  <c r="F56" i="24"/>
  <c r="B56" i="24"/>
  <c r="A57" i="24"/>
  <c r="D56" i="24"/>
  <c r="I29" i="14"/>
  <c r="B22" i="18"/>
  <c r="B76" i="18"/>
  <c r="C8" i="15" s="1"/>
  <c r="B257" i="18"/>
  <c r="B196" i="18"/>
  <c r="B197" i="18" s="1"/>
  <c r="B253" i="18" s="1"/>
  <c r="H47" i="15"/>
  <c r="B157" i="18"/>
  <c r="C38" i="15" s="1"/>
  <c r="F24" i="17"/>
  <c r="F11" i="17"/>
  <c r="F4" i="17"/>
  <c r="A62" i="25" l="1"/>
  <c r="D61" i="25"/>
  <c r="G61" i="25"/>
  <c r="B61" i="25"/>
  <c r="F61" i="25"/>
  <c r="E61" i="25"/>
  <c r="C61" i="25"/>
  <c r="A58" i="24"/>
  <c r="D57" i="24"/>
  <c r="F57" i="24"/>
  <c r="G57" i="24"/>
  <c r="C57" i="24"/>
  <c r="B57" i="24"/>
  <c r="E57" i="24"/>
  <c r="B89" i="18"/>
  <c r="B94" i="18" s="1"/>
  <c r="B47" i="18"/>
  <c r="C16" i="15" s="1"/>
  <c r="B258" i="18"/>
  <c r="B110" i="18" s="1"/>
  <c r="C56" i="15" s="1"/>
  <c r="D56" i="15" s="1"/>
  <c r="E56" i="15" s="1"/>
  <c r="F56" i="15" s="1"/>
  <c r="G56" i="15" s="1"/>
  <c r="H56" i="15" s="1"/>
  <c r="F7" i="3"/>
  <c r="F62" i="25" l="1"/>
  <c r="E62" i="25"/>
  <c r="A63" i="25"/>
  <c r="G62" i="25"/>
  <c r="D62" i="25"/>
  <c r="C62" i="25"/>
  <c r="B62" i="25"/>
  <c r="G58" i="24"/>
  <c r="F58" i="24"/>
  <c r="E58" i="24"/>
  <c r="D58" i="24"/>
  <c r="C58" i="24"/>
  <c r="A59" i="24"/>
  <c r="B58" i="24"/>
  <c r="B162" i="18"/>
  <c r="D162" i="18" s="1"/>
  <c r="A64" i="25" l="1"/>
  <c r="D63" i="25"/>
  <c r="G63" i="25"/>
  <c r="C63" i="25"/>
  <c r="F63" i="25"/>
  <c r="B63" i="25"/>
  <c r="E63" i="25"/>
  <c r="A60" i="24"/>
  <c r="D59" i="24"/>
  <c r="G59" i="24"/>
  <c r="C59" i="24"/>
  <c r="F59" i="24"/>
  <c r="B59" i="24"/>
  <c r="E59" i="24"/>
  <c r="E44" i="16"/>
  <c r="B20" i="10" s="1"/>
  <c r="I23" i="16"/>
  <c r="I19" i="10" s="1"/>
  <c r="H23" i="16"/>
  <c r="G19" i="10" s="1"/>
  <c r="G23" i="16"/>
  <c r="E19" i="10" s="1"/>
  <c r="E15" i="16"/>
  <c r="B17" i="10" s="1"/>
  <c r="E64" i="25" l="1"/>
  <c r="A65" i="25"/>
  <c r="D64" i="25"/>
  <c r="G64" i="25"/>
  <c r="C64" i="25"/>
  <c r="F64" i="25"/>
  <c r="B64" i="25"/>
  <c r="E60" i="24"/>
  <c r="A61" i="24"/>
  <c r="D60" i="24"/>
  <c r="G60" i="24"/>
  <c r="C60" i="24"/>
  <c r="F60" i="24"/>
  <c r="B60" i="24"/>
  <c r="E32" i="16"/>
  <c r="B18" i="10" s="1"/>
  <c r="F65" i="25" l="1"/>
  <c r="B65" i="25"/>
  <c r="E65" i="25"/>
  <c r="A66" i="25"/>
  <c r="D65" i="25"/>
  <c r="G65" i="25"/>
  <c r="C65" i="25"/>
  <c r="F61" i="24"/>
  <c r="B61" i="24"/>
  <c r="E61" i="24"/>
  <c r="A62" i="24"/>
  <c r="G61" i="24"/>
  <c r="D61" i="24"/>
  <c r="C61" i="24"/>
  <c r="H15" i="16"/>
  <c r="G17" i="10" s="1"/>
  <c r="G15" i="16"/>
  <c r="F44" i="16"/>
  <c r="C20" i="10" s="1"/>
  <c r="G66" i="25" l="1"/>
  <c r="C66" i="25"/>
  <c r="F66" i="25"/>
  <c r="B66" i="25"/>
  <c r="E66" i="25"/>
  <c r="A67" i="25"/>
  <c r="D66" i="25"/>
  <c r="G62" i="24"/>
  <c r="C62" i="24"/>
  <c r="F62" i="24"/>
  <c r="B62" i="24"/>
  <c r="E62" i="24"/>
  <c r="A63" i="24"/>
  <c r="D62" i="24"/>
  <c r="G44" i="16"/>
  <c r="E20" i="10" s="1"/>
  <c r="E17" i="10"/>
  <c r="I15" i="16"/>
  <c r="I17" i="10" s="1"/>
  <c r="H44" i="16"/>
  <c r="G20" i="10" s="1"/>
  <c r="A68" i="25" l="1"/>
  <c r="D67" i="25"/>
  <c r="G67" i="25"/>
  <c r="C67" i="25"/>
  <c r="F67" i="25"/>
  <c r="B67" i="25"/>
  <c r="E67" i="25"/>
  <c r="A64" i="24"/>
  <c r="D63" i="24"/>
  <c r="G63" i="24"/>
  <c r="C63" i="24"/>
  <c r="B63" i="24"/>
  <c r="F63" i="24"/>
  <c r="E63" i="24"/>
  <c r="I44" i="16"/>
  <c r="E68" i="25" l="1"/>
  <c r="A69" i="25"/>
  <c r="D68" i="25"/>
  <c r="G68" i="25"/>
  <c r="C68" i="25"/>
  <c r="F68" i="25"/>
  <c r="B68" i="25"/>
  <c r="E64" i="24"/>
  <c r="A65" i="24"/>
  <c r="D64" i="24"/>
  <c r="C64" i="24"/>
  <c r="G64" i="24"/>
  <c r="B64" i="24"/>
  <c r="F64" i="24"/>
  <c r="I20" i="10"/>
  <c r="B45" i="3"/>
  <c r="F69" i="25" l="1"/>
  <c r="B69" i="25"/>
  <c r="E69" i="25"/>
  <c r="A70" i="25"/>
  <c r="D69" i="25"/>
  <c r="G69" i="25"/>
  <c r="C69" i="25"/>
  <c r="F65" i="24"/>
  <c r="B65" i="24"/>
  <c r="E65" i="24"/>
  <c r="D65" i="24"/>
  <c r="C65" i="24"/>
  <c r="A66" i="24"/>
  <c r="G65" i="24"/>
  <c r="D15" i="3"/>
  <c r="F29" i="3"/>
  <c r="D29" i="3"/>
  <c r="D28" i="3"/>
  <c r="D30" i="3"/>
  <c r="C30" i="3"/>
  <c r="E29" i="3"/>
  <c r="C29" i="3"/>
  <c r="C28" i="3"/>
  <c r="E17" i="3"/>
  <c r="E40" i="3" s="1"/>
  <c r="D17" i="3"/>
  <c r="D40" i="3" s="1"/>
  <c r="C17" i="3"/>
  <c r="C40" i="3" s="1"/>
  <c r="F16" i="3"/>
  <c r="F39" i="3" s="1"/>
  <c r="E16" i="3"/>
  <c r="E39" i="3" s="1"/>
  <c r="D39" i="3"/>
  <c r="C39" i="3"/>
  <c r="C15" i="3"/>
  <c r="E7" i="3"/>
  <c r="C7" i="3"/>
  <c r="C45" i="3" s="1"/>
  <c r="C5" i="10" s="1"/>
  <c r="C25" i="14"/>
  <c r="G70" i="25" l="1"/>
  <c r="C70" i="25"/>
  <c r="F70" i="25"/>
  <c r="B70" i="25"/>
  <c r="E70" i="25"/>
  <c r="A71" i="25"/>
  <c r="D70" i="25"/>
  <c r="G66" i="24"/>
  <c r="C66" i="24"/>
  <c r="F66" i="24"/>
  <c r="B66" i="24"/>
  <c r="E66" i="24"/>
  <c r="D66" i="24"/>
  <c r="A67" i="24"/>
  <c r="E15" i="3"/>
  <c r="E18" i="3" s="1"/>
  <c r="C38" i="3"/>
  <c r="C41" i="3" s="1"/>
  <c r="C31" i="3"/>
  <c r="F15" i="3"/>
  <c r="F38" i="3" s="1"/>
  <c r="F28" i="3"/>
  <c r="F30" i="3"/>
  <c r="F17" i="3"/>
  <c r="F40" i="3" s="1"/>
  <c r="E30" i="3"/>
  <c r="E28" i="3"/>
  <c r="D31" i="3"/>
  <c r="D7" i="3"/>
  <c r="E45" i="3" s="1"/>
  <c r="G5" i="10" s="1"/>
  <c r="C18" i="3"/>
  <c r="D57" i="15"/>
  <c r="A72" i="25" l="1"/>
  <c r="D71" i="25"/>
  <c r="G71" i="25"/>
  <c r="C71" i="25"/>
  <c r="F71" i="25"/>
  <c r="B71" i="25"/>
  <c r="E71" i="25"/>
  <c r="A68" i="24"/>
  <c r="D67" i="24"/>
  <c r="G67" i="24"/>
  <c r="C67" i="24"/>
  <c r="F67" i="24"/>
  <c r="B67" i="24"/>
  <c r="E67" i="24"/>
  <c r="E38" i="3"/>
  <c r="E41" i="3" s="1"/>
  <c r="F28" i="16"/>
  <c r="F32" i="16" s="1"/>
  <c r="C18" i="10" s="1"/>
  <c r="E9" i="15"/>
  <c r="H28" i="16"/>
  <c r="H32" i="16" s="1"/>
  <c r="G18" i="10" s="1"/>
  <c r="G9" i="15"/>
  <c r="E23" i="16"/>
  <c r="D38" i="3"/>
  <c r="D41" i="3" s="1"/>
  <c r="D45" i="3"/>
  <c r="E5" i="10" s="1"/>
  <c r="F45" i="3"/>
  <c r="I5" i="10" s="1"/>
  <c r="E31" i="3"/>
  <c r="D18" i="3"/>
  <c r="F18" i="3"/>
  <c r="F31" i="3"/>
  <c r="F41" i="3"/>
  <c r="C51" i="15"/>
  <c r="E72" i="25" l="1"/>
  <c r="A73" i="25"/>
  <c r="D72" i="25"/>
  <c r="G72" i="25"/>
  <c r="C72" i="25"/>
  <c r="F72" i="25"/>
  <c r="B72" i="25"/>
  <c r="E68" i="24"/>
  <c r="A69" i="24"/>
  <c r="D68" i="24"/>
  <c r="G68" i="24"/>
  <c r="F68" i="24"/>
  <c r="C68" i="24"/>
  <c r="B68" i="24"/>
  <c r="H46" i="16"/>
  <c r="G28" i="16"/>
  <c r="G32" i="16" s="1"/>
  <c r="F9" i="15"/>
  <c r="I28" i="16"/>
  <c r="I32" i="16" s="1"/>
  <c r="I46" i="16" s="1"/>
  <c r="H9" i="15"/>
  <c r="E46" i="16"/>
  <c r="B19" i="10"/>
  <c r="F23" i="16"/>
  <c r="C19" i="10" s="1"/>
  <c r="F73" i="25" l="1"/>
  <c r="B73" i="25"/>
  <c r="E73" i="25"/>
  <c r="A74" i="25"/>
  <c r="D73" i="25"/>
  <c r="G73" i="25"/>
  <c r="C73" i="25"/>
  <c r="F69" i="24"/>
  <c r="B69" i="24"/>
  <c r="E69" i="24"/>
  <c r="A70" i="24"/>
  <c r="G69" i="24"/>
  <c r="D69" i="24"/>
  <c r="C69" i="24"/>
  <c r="I18" i="10"/>
  <c r="E18" i="10"/>
  <c r="G46" i="16"/>
  <c r="C59" i="15"/>
  <c r="C44" i="15"/>
  <c r="C53" i="15" s="1"/>
  <c r="C22" i="15"/>
  <c r="C12" i="15"/>
  <c r="G74" i="25" l="1"/>
  <c r="C74" i="25"/>
  <c r="F74" i="25"/>
  <c r="B74" i="25"/>
  <c r="E74" i="25"/>
  <c r="A75" i="25"/>
  <c r="D74" i="25"/>
  <c r="G70" i="24"/>
  <c r="C70" i="24"/>
  <c r="F70" i="24"/>
  <c r="B70" i="24"/>
  <c r="E70" i="24"/>
  <c r="A71" i="24"/>
  <c r="D70" i="24"/>
  <c r="C61" i="15"/>
  <c r="C32" i="15"/>
  <c r="A76" i="25" l="1"/>
  <c r="D75" i="25"/>
  <c r="G75" i="25"/>
  <c r="C75" i="25"/>
  <c r="F75" i="25"/>
  <c r="B75" i="25"/>
  <c r="E75" i="25"/>
  <c r="A72" i="24"/>
  <c r="D71" i="24"/>
  <c r="G71" i="24"/>
  <c r="C71" i="24"/>
  <c r="B71" i="24"/>
  <c r="F71" i="24"/>
  <c r="E71" i="24"/>
  <c r="C62" i="15"/>
  <c r="E76" i="25" l="1"/>
  <c r="A77" i="25"/>
  <c r="D76" i="25"/>
  <c r="G76" i="25"/>
  <c r="C76" i="25"/>
  <c r="F76" i="25"/>
  <c r="B76" i="25"/>
  <c r="E72" i="24"/>
  <c r="A73" i="24"/>
  <c r="D72" i="24"/>
  <c r="C72" i="24"/>
  <c r="G72" i="24"/>
  <c r="F72" i="24"/>
  <c r="B72" i="24"/>
  <c r="B11" i="10"/>
  <c r="F77" i="25" l="1"/>
  <c r="B77" i="25"/>
  <c r="E77" i="25"/>
  <c r="A78" i="25"/>
  <c r="D77" i="25"/>
  <c r="G77" i="25"/>
  <c r="C77" i="25"/>
  <c r="F73" i="24"/>
  <c r="B73" i="24"/>
  <c r="E73" i="24"/>
  <c r="D73" i="24"/>
  <c r="G73" i="24"/>
  <c r="C73" i="24"/>
  <c r="A74" i="24"/>
  <c r="D9" i="15"/>
  <c r="C9" i="14" s="1"/>
  <c r="B4" i="10"/>
  <c r="E11" i="10"/>
  <c r="C11" i="10"/>
  <c r="I11" i="10"/>
  <c r="G11" i="10"/>
  <c r="D48" i="3"/>
  <c r="E10" i="10" s="1"/>
  <c r="E48" i="3"/>
  <c r="G10" i="10" s="1"/>
  <c r="F48" i="3"/>
  <c r="C48" i="3"/>
  <c r="C10" i="10" s="1"/>
  <c r="H49" i="15"/>
  <c r="H51" i="15" s="1"/>
  <c r="H29" i="15"/>
  <c r="G49" i="15"/>
  <c r="G51" i="15" s="1"/>
  <c r="G29" i="15"/>
  <c r="F49" i="15"/>
  <c r="F51" i="15" s="1"/>
  <c r="F29" i="15"/>
  <c r="E49" i="15"/>
  <c r="E51" i="15" s="1"/>
  <c r="E29" i="15"/>
  <c r="D49" i="15"/>
  <c r="D51" i="15" s="1"/>
  <c r="D29" i="15"/>
  <c r="C9" i="10"/>
  <c r="B48" i="3"/>
  <c r="I30" i="17"/>
  <c r="G8" i="10"/>
  <c r="B8" i="10"/>
  <c r="B30" i="2"/>
  <c r="F30" i="17" s="1"/>
  <c r="D16" i="15" s="1"/>
  <c r="D38" i="15" l="1"/>
  <c r="C8" i="14" s="1"/>
  <c r="G78" i="25"/>
  <c r="C78" i="25"/>
  <c r="F78" i="25"/>
  <c r="B78" i="25"/>
  <c r="E78" i="25"/>
  <c r="A79" i="25"/>
  <c r="D78" i="25"/>
  <c r="G74" i="24"/>
  <c r="C74" i="24"/>
  <c r="F74" i="24"/>
  <c r="B74" i="24"/>
  <c r="E74" i="24"/>
  <c r="D74" i="24"/>
  <c r="A75" i="24"/>
  <c r="E3" i="13"/>
  <c r="E13" i="14"/>
  <c r="E15" i="14" s="1"/>
  <c r="C37" i="2"/>
  <c r="H30" i="17"/>
  <c r="C13" i="14"/>
  <c r="C15" i="14" s="1"/>
  <c r="C3" i="13"/>
  <c r="H5" i="13" s="1"/>
  <c r="D33" i="2"/>
  <c r="D37" i="2"/>
  <c r="B33" i="2"/>
  <c r="B37" i="2"/>
  <c r="B6" i="10"/>
  <c r="D8" i="15"/>
  <c r="C7" i="14" s="1"/>
  <c r="D44" i="15"/>
  <c r="D53" i="15" s="1"/>
  <c r="C33" i="2"/>
  <c r="I8" i="10"/>
  <c r="E8" i="10"/>
  <c r="C8" i="10"/>
  <c r="C13" i="10" s="1"/>
  <c r="B10" i="10"/>
  <c r="I10" i="10"/>
  <c r="E9" i="10"/>
  <c r="K30" i="17"/>
  <c r="I9" i="10"/>
  <c r="E30" i="2"/>
  <c r="A80" i="25" l="1"/>
  <c r="D79" i="25"/>
  <c r="G79" i="25"/>
  <c r="C79" i="25"/>
  <c r="F79" i="25"/>
  <c r="B79" i="25"/>
  <c r="E79" i="25"/>
  <c r="J30" i="17"/>
  <c r="F3" i="13" s="1"/>
  <c r="E32" i="2"/>
  <c r="G9" i="10" s="1"/>
  <c r="G13" i="10" s="1"/>
  <c r="A76" i="24"/>
  <c r="D75" i="24"/>
  <c r="G75" i="24"/>
  <c r="C75" i="24"/>
  <c r="F75" i="24"/>
  <c r="B75" i="24"/>
  <c r="E75" i="24"/>
  <c r="E13" i="10"/>
  <c r="I13" i="10"/>
  <c r="E16" i="15"/>
  <c r="F16" i="15" s="1"/>
  <c r="G16" i="15" s="1"/>
  <c r="H16" i="15" s="1"/>
  <c r="D3" i="13"/>
  <c r="D13" i="14"/>
  <c r="D15" i="14" s="1"/>
  <c r="G13" i="14"/>
  <c r="G15" i="14" s="1"/>
  <c r="G3" i="13"/>
  <c r="F37" i="2"/>
  <c r="E33" i="2"/>
  <c r="E37" i="2"/>
  <c r="H38" i="15"/>
  <c r="B13" i="10"/>
  <c r="B15" i="10" s="1"/>
  <c r="F38" i="15"/>
  <c r="C4" i="10"/>
  <c r="E38" i="15"/>
  <c r="D8" i="14" s="1"/>
  <c r="G38" i="15"/>
  <c r="F13" i="14" l="1"/>
  <c r="F15" i="14" s="1"/>
  <c r="E80" i="25"/>
  <c r="A81" i="25"/>
  <c r="D80" i="25"/>
  <c r="G80" i="25"/>
  <c r="C80" i="25"/>
  <c r="F80" i="25"/>
  <c r="B80" i="25"/>
  <c r="E76" i="24"/>
  <c r="A77" i="24"/>
  <c r="D76" i="24"/>
  <c r="G76" i="24"/>
  <c r="B76" i="24"/>
  <c r="F76" i="24"/>
  <c r="C76" i="24"/>
  <c r="F8" i="14"/>
  <c r="D9" i="14"/>
  <c r="G8" i="14"/>
  <c r="E8" i="14"/>
  <c r="E8" i="15"/>
  <c r="D7" i="14" s="1"/>
  <c r="C6" i="10"/>
  <c r="H9" i="13"/>
  <c r="H8" i="13"/>
  <c r="H7" i="13"/>
  <c r="H6" i="13"/>
  <c r="D5" i="13"/>
  <c r="E4" i="10"/>
  <c r="E9" i="14"/>
  <c r="I4" i="10"/>
  <c r="G4" i="10"/>
  <c r="E44" i="15"/>
  <c r="E53" i="15" s="1"/>
  <c r="F81" i="25" l="1"/>
  <c r="B81" i="25"/>
  <c r="E81" i="25"/>
  <c r="A82" i="25"/>
  <c r="D81" i="25"/>
  <c r="G81" i="25"/>
  <c r="C81" i="25"/>
  <c r="F77" i="24"/>
  <c r="B77" i="24"/>
  <c r="E77" i="24"/>
  <c r="A78" i="24"/>
  <c r="G77" i="24"/>
  <c r="D77" i="24"/>
  <c r="C77" i="24"/>
  <c r="G6" i="10"/>
  <c r="I6" i="10"/>
  <c r="G9" i="14"/>
  <c r="F9" i="14"/>
  <c r="F8" i="15"/>
  <c r="E6" i="10"/>
  <c r="H11" i="13"/>
  <c r="D19" i="10"/>
  <c r="D18" i="10"/>
  <c r="G8" i="15"/>
  <c r="D6" i="13"/>
  <c r="E6" i="13"/>
  <c r="F6" i="13"/>
  <c r="G6" i="13"/>
  <c r="G8" i="13"/>
  <c r="K9" i="13"/>
  <c r="K11" i="13" s="1"/>
  <c r="G7" i="13"/>
  <c r="E7" i="13"/>
  <c r="F7" i="13"/>
  <c r="J9" i="13"/>
  <c r="G5" i="13"/>
  <c r="I8" i="13"/>
  <c r="I9" i="13"/>
  <c r="C11" i="13"/>
  <c r="F8" i="13"/>
  <c r="E5" i="13"/>
  <c r="G9" i="13"/>
  <c r="F5" i="13"/>
  <c r="I7" i="13"/>
  <c r="J8" i="13"/>
  <c r="C15" i="10"/>
  <c r="H8" i="15"/>
  <c r="G82" i="25" l="1"/>
  <c r="C82" i="25"/>
  <c r="F82" i="25"/>
  <c r="B82" i="25"/>
  <c r="E82" i="25"/>
  <c r="A83" i="25"/>
  <c r="D82" i="25"/>
  <c r="G15" i="10"/>
  <c r="H15" i="10" s="1"/>
  <c r="J18" i="10"/>
  <c r="H18" i="10"/>
  <c r="G78" i="24"/>
  <c r="C78" i="24"/>
  <c r="F78" i="24"/>
  <c r="B78" i="24"/>
  <c r="E78" i="24"/>
  <c r="D78" i="24"/>
  <c r="A79" i="24"/>
  <c r="H19" i="10"/>
  <c r="J19" i="10"/>
  <c r="I15" i="10"/>
  <c r="J15" i="10" s="1"/>
  <c r="L5" i="13"/>
  <c r="L9" i="13"/>
  <c r="L7" i="13"/>
  <c r="L8" i="13"/>
  <c r="D11" i="13"/>
  <c r="L6" i="13"/>
  <c r="E7" i="14"/>
  <c r="G7" i="14"/>
  <c r="F7" i="14"/>
  <c r="I11" i="13"/>
  <c r="J11" i="13"/>
  <c r="D21" i="15"/>
  <c r="D22" i="15" s="1"/>
  <c r="B26" i="10"/>
  <c r="B27" i="10" s="1"/>
  <c r="C5" i="14"/>
  <c r="F18" i="10"/>
  <c r="F19" i="10"/>
  <c r="D15" i="10"/>
  <c r="E15" i="10"/>
  <c r="E11" i="13"/>
  <c r="F11" i="13"/>
  <c r="G11" i="13"/>
  <c r="C13" i="13"/>
  <c r="A84" i="25" l="1"/>
  <c r="D83" i="25"/>
  <c r="G83" i="25"/>
  <c r="C83" i="25"/>
  <c r="F83" i="25"/>
  <c r="B83" i="25"/>
  <c r="E83" i="25"/>
  <c r="E13" i="13"/>
  <c r="D5" i="14"/>
  <c r="A80" i="24"/>
  <c r="D79" i="24"/>
  <c r="G79" i="24"/>
  <c r="C79" i="24"/>
  <c r="B79" i="24"/>
  <c r="F79" i="24"/>
  <c r="E79" i="24"/>
  <c r="C26" i="10"/>
  <c r="C27" i="10" s="1"/>
  <c r="D13" i="13"/>
  <c r="G21" i="14"/>
  <c r="E21" i="14"/>
  <c r="E21" i="15"/>
  <c r="E22" i="15" s="1"/>
  <c r="E5" i="14"/>
  <c r="E26" i="10"/>
  <c r="E27" i="10" s="1"/>
  <c r="F5" i="14"/>
  <c r="G26" i="10"/>
  <c r="G27" i="10" s="1"/>
  <c r="G13" i="13"/>
  <c r="I26" i="10"/>
  <c r="I27" i="10" s="1"/>
  <c r="G5" i="14"/>
  <c r="F15" i="10"/>
  <c r="F13" i="13"/>
  <c r="E84" i="25" l="1"/>
  <c r="A85" i="25"/>
  <c r="D84" i="25"/>
  <c r="G84" i="25"/>
  <c r="C84" i="25"/>
  <c r="F84" i="25"/>
  <c r="B84" i="25"/>
  <c r="E80" i="24"/>
  <c r="A81" i="24"/>
  <c r="D80" i="24"/>
  <c r="C80" i="24"/>
  <c r="G80" i="24"/>
  <c r="F80" i="24"/>
  <c r="B80" i="24"/>
  <c r="G43" i="15"/>
  <c r="F44" i="15"/>
  <c r="F53" i="15" s="1"/>
  <c r="F21" i="15"/>
  <c r="F22" i="15" s="1"/>
  <c r="F85" i="25" l="1"/>
  <c r="B85" i="25"/>
  <c r="E85" i="25"/>
  <c r="A86" i="25"/>
  <c r="D85" i="25"/>
  <c r="G85" i="25"/>
  <c r="C85" i="25"/>
  <c r="F81" i="24"/>
  <c r="B81" i="24"/>
  <c r="E81" i="24"/>
  <c r="D81" i="24"/>
  <c r="C81" i="24"/>
  <c r="A82" i="24"/>
  <c r="G81" i="24"/>
  <c r="H43" i="15"/>
  <c r="H44" i="15" s="1"/>
  <c r="H53" i="15" s="1"/>
  <c r="G44" i="15"/>
  <c r="G53" i="15" s="1"/>
  <c r="G21" i="15"/>
  <c r="G22" i="15" s="1"/>
  <c r="G86" i="25" l="1"/>
  <c r="C86" i="25"/>
  <c r="F86" i="25"/>
  <c r="B86" i="25"/>
  <c r="E86" i="25"/>
  <c r="A87" i="25"/>
  <c r="D86" i="25"/>
  <c r="G82" i="24"/>
  <c r="C82" i="24"/>
  <c r="F82" i="24"/>
  <c r="B82" i="24"/>
  <c r="E82" i="24"/>
  <c r="A83" i="24"/>
  <c r="D82" i="24"/>
  <c r="H21" i="15"/>
  <c r="H22" i="15" s="1"/>
  <c r="A88" i="25" l="1"/>
  <c r="D87" i="25"/>
  <c r="G87" i="25"/>
  <c r="C87" i="25"/>
  <c r="F87" i="25"/>
  <c r="B87" i="25"/>
  <c r="E87" i="25"/>
  <c r="A84" i="24"/>
  <c r="D83" i="24"/>
  <c r="G83" i="24"/>
  <c r="C83" i="24"/>
  <c r="F83" i="24"/>
  <c r="B83" i="24"/>
  <c r="E83" i="24"/>
  <c r="B22" i="10"/>
  <c r="B24" i="10" s="1"/>
  <c r="B28" i="10" s="1"/>
  <c r="B30" i="10" s="1"/>
  <c r="E88" i="25" l="1"/>
  <c r="A89" i="25"/>
  <c r="D88" i="25"/>
  <c r="G88" i="25"/>
  <c r="C88" i="25"/>
  <c r="F88" i="25"/>
  <c r="B88" i="25"/>
  <c r="E84" i="24"/>
  <c r="A85" i="24"/>
  <c r="D84" i="24"/>
  <c r="G84" i="24"/>
  <c r="F84" i="24"/>
  <c r="C84" i="24"/>
  <c r="B84" i="24"/>
  <c r="B32" i="10"/>
  <c r="C4" i="14" s="1"/>
  <c r="C10" i="14" s="1"/>
  <c r="C23" i="14" s="1"/>
  <c r="C26" i="14" s="1"/>
  <c r="B33" i="10"/>
  <c r="F89" i="25" l="1"/>
  <c r="B89" i="25"/>
  <c r="E89" i="25"/>
  <c r="A90" i="25"/>
  <c r="D89" i="25"/>
  <c r="G89" i="25"/>
  <c r="C89" i="25"/>
  <c r="F85" i="24"/>
  <c r="B85" i="24"/>
  <c r="E85" i="24"/>
  <c r="A86" i="24"/>
  <c r="D85" i="24"/>
  <c r="C85" i="24"/>
  <c r="G85" i="24"/>
  <c r="D58" i="15"/>
  <c r="E57" i="15" s="1"/>
  <c r="C29" i="14"/>
  <c r="C31" i="14" s="1"/>
  <c r="D25" i="14"/>
  <c r="D7" i="15"/>
  <c r="D12" i="15" s="1"/>
  <c r="D32" i="15" s="1"/>
  <c r="G90" i="25" l="1"/>
  <c r="C90" i="25"/>
  <c r="F90" i="25"/>
  <c r="B90" i="25"/>
  <c r="E90" i="25"/>
  <c r="A91" i="25"/>
  <c r="D90" i="25"/>
  <c r="G86" i="24"/>
  <c r="C86" i="24"/>
  <c r="F86" i="24"/>
  <c r="B86" i="24"/>
  <c r="D86" i="24"/>
  <c r="A87" i="24"/>
  <c r="E86" i="24"/>
  <c r="D59" i="15"/>
  <c r="D61" i="15" s="1"/>
  <c r="D62" i="15" s="1"/>
  <c r="A92" i="25" l="1"/>
  <c r="D91" i="25"/>
  <c r="G91" i="25"/>
  <c r="C91" i="25"/>
  <c r="F91" i="25"/>
  <c r="B91" i="25"/>
  <c r="E91" i="25"/>
  <c r="A88" i="24"/>
  <c r="D87" i="24"/>
  <c r="G87" i="24"/>
  <c r="C87" i="24"/>
  <c r="B87" i="24"/>
  <c r="F87" i="24"/>
  <c r="E87" i="24"/>
  <c r="J17" i="10"/>
  <c r="F17" i="10"/>
  <c r="H17" i="10"/>
  <c r="E92" i="25" l="1"/>
  <c r="A93" i="25"/>
  <c r="D92" i="25"/>
  <c r="G92" i="25"/>
  <c r="C92" i="25"/>
  <c r="F92" i="25"/>
  <c r="B92" i="25"/>
  <c r="E88" i="24"/>
  <c r="A89" i="24"/>
  <c r="D88" i="24"/>
  <c r="C88" i="24"/>
  <c r="F88" i="24"/>
  <c r="B88" i="24"/>
  <c r="G88" i="24"/>
  <c r="D20" i="10"/>
  <c r="F20" i="10"/>
  <c r="F93" i="25" l="1"/>
  <c r="B93" i="25"/>
  <c r="E93" i="25"/>
  <c r="A94" i="25"/>
  <c r="D93" i="25"/>
  <c r="G93" i="25"/>
  <c r="C93" i="25"/>
  <c r="F89" i="24"/>
  <c r="B89" i="24"/>
  <c r="E89" i="24"/>
  <c r="D89" i="24"/>
  <c r="A90" i="24"/>
  <c r="G89" i="24"/>
  <c r="C89" i="24"/>
  <c r="H20" i="10"/>
  <c r="J20" i="10"/>
  <c r="E22" i="10"/>
  <c r="E24" i="10" s="1"/>
  <c r="F24" i="10" s="1"/>
  <c r="G94" i="25" l="1"/>
  <c r="C94" i="25"/>
  <c r="F94" i="25"/>
  <c r="B94" i="25"/>
  <c r="E94" i="25"/>
  <c r="A95" i="25"/>
  <c r="D94" i="25"/>
  <c r="G90" i="24"/>
  <c r="C90" i="24"/>
  <c r="F90" i="24"/>
  <c r="B90" i="24"/>
  <c r="E90" i="24"/>
  <c r="D90" i="24"/>
  <c r="A91" i="24"/>
  <c r="I22" i="10"/>
  <c r="J22" i="10" s="1"/>
  <c r="G22" i="10"/>
  <c r="H22" i="10" s="1"/>
  <c r="E28" i="10"/>
  <c r="E30" i="10" s="1"/>
  <c r="F22" i="10"/>
  <c r="A96" i="25" l="1"/>
  <c r="D95" i="25"/>
  <c r="G95" i="25"/>
  <c r="C95" i="25"/>
  <c r="F95" i="25"/>
  <c r="B95" i="25"/>
  <c r="E95" i="25"/>
  <c r="A92" i="24"/>
  <c r="D91" i="24"/>
  <c r="G91" i="24"/>
  <c r="C91" i="24"/>
  <c r="F91" i="24"/>
  <c r="E91" i="24"/>
  <c r="B91" i="24"/>
  <c r="E32" i="10"/>
  <c r="G24" i="10"/>
  <c r="G28" i="10" s="1"/>
  <c r="G30" i="10" s="1"/>
  <c r="I24" i="10"/>
  <c r="I28" i="10" s="1"/>
  <c r="I30" i="10" s="1"/>
  <c r="E96" i="25" l="1"/>
  <c r="A97" i="25"/>
  <c r="D96" i="25"/>
  <c r="G96" i="25"/>
  <c r="C96" i="25"/>
  <c r="F96" i="25"/>
  <c r="B96" i="25"/>
  <c r="E92" i="24"/>
  <c r="A93" i="24"/>
  <c r="D92" i="24"/>
  <c r="G92" i="24"/>
  <c r="C92" i="24"/>
  <c r="B92" i="24"/>
  <c r="F92" i="24"/>
  <c r="F32" i="10"/>
  <c r="F58" i="15"/>
  <c r="I32" i="10"/>
  <c r="J32" i="10" s="1"/>
  <c r="E4" i="14"/>
  <c r="E10" i="14" s="1"/>
  <c r="E23" i="14" s="1"/>
  <c r="E29" i="14" s="1"/>
  <c r="J24" i="10"/>
  <c r="H24" i="10"/>
  <c r="F97" i="25" l="1"/>
  <c r="B97" i="25"/>
  <c r="E97" i="25"/>
  <c r="A98" i="25"/>
  <c r="D97" i="25"/>
  <c r="G97" i="25"/>
  <c r="C97" i="25"/>
  <c r="F93" i="24"/>
  <c r="B93" i="24"/>
  <c r="E93" i="24"/>
  <c r="A94" i="24"/>
  <c r="C93" i="24"/>
  <c r="G93" i="24"/>
  <c r="D93" i="24"/>
  <c r="H58" i="15"/>
  <c r="G4" i="14"/>
  <c r="G10" i="14" s="1"/>
  <c r="G23" i="14" s="1"/>
  <c r="G29" i="14" s="1"/>
  <c r="G31" i="14" s="1"/>
  <c r="E31" i="14"/>
  <c r="G98" i="25" l="1"/>
  <c r="C98" i="25"/>
  <c r="F98" i="25"/>
  <c r="B98" i="25"/>
  <c r="E98" i="25"/>
  <c r="A99" i="25"/>
  <c r="D98" i="25"/>
  <c r="G94" i="24"/>
  <c r="C94" i="24"/>
  <c r="F94" i="24"/>
  <c r="B94" i="24"/>
  <c r="A95" i="24"/>
  <c r="E94" i="24"/>
  <c r="D94" i="24"/>
  <c r="I30" i="14"/>
  <c r="A100" i="25" l="1"/>
  <c r="D99" i="25"/>
  <c r="G99" i="25"/>
  <c r="C99" i="25"/>
  <c r="F99" i="25"/>
  <c r="B99" i="25"/>
  <c r="E99" i="25"/>
  <c r="A96" i="24"/>
  <c r="D95" i="24"/>
  <c r="G95" i="24"/>
  <c r="C95" i="24"/>
  <c r="B95" i="24"/>
  <c r="F95" i="24"/>
  <c r="E95" i="24"/>
  <c r="F15" i="16"/>
  <c r="E100" i="25" l="1"/>
  <c r="A101" i="25"/>
  <c r="D100" i="25"/>
  <c r="G100" i="25"/>
  <c r="C100" i="25"/>
  <c r="F100" i="25"/>
  <c r="B100" i="25"/>
  <c r="E96" i="24"/>
  <c r="A97" i="24"/>
  <c r="D96" i="24"/>
  <c r="C96" i="24"/>
  <c r="B96" i="24"/>
  <c r="G96" i="24"/>
  <c r="F96" i="24"/>
  <c r="F46" i="16"/>
  <c r="C17" i="10"/>
  <c r="F101" i="25" l="1"/>
  <c r="B101" i="25"/>
  <c r="E101" i="25"/>
  <c r="A102" i="25"/>
  <c r="D101" i="25"/>
  <c r="G101" i="25"/>
  <c r="C101" i="25"/>
  <c r="F97" i="24"/>
  <c r="B97" i="24"/>
  <c r="E97" i="24"/>
  <c r="D97" i="24"/>
  <c r="A98" i="24"/>
  <c r="G97" i="24"/>
  <c r="C97" i="24"/>
  <c r="D17" i="10"/>
  <c r="C22" i="10"/>
  <c r="G102" i="25" l="1"/>
  <c r="C102" i="25"/>
  <c r="F102" i="25"/>
  <c r="B102" i="25"/>
  <c r="E102" i="25"/>
  <c r="A103" i="25"/>
  <c r="D102" i="25"/>
  <c r="G98" i="24"/>
  <c r="C98" i="24"/>
  <c r="F98" i="24"/>
  <c r="B98" i="24"/>
  <c r="E98" i="24"/>
  <c r="D98" i="24"/>
  <c r="A99" i="24"/>
  <c r="C24" i="10"/>
  <c r="D22" i="10"/>
  <c r="A104" i="25" l="1"/>
  <c r="D103" i="25"/>
  <c r="G103" i="25"/>
  <c r="C103" i="25"/>
  <c r="F103" i="25"/>
  <c r="B103" i="25"/>
  <c r="E103" i="25"/>
  <c r="A100" i="24"/>
  <c r="D99" i="24"/>
  <c r="G99" i="24"/>
  <c r="C99" i="24"/>
  <c r="F99" i="24"/>
  <c r="E99" i="24"/>
  <c r="B99" i="24"/>
  <c r="D24" i="10"/>
  <c r="C28" i="10"/>
  <c r="C30" i="10" s="1"/>
  <c r="E104" i="25" l="1"/>
  <c r="A105" i="25"/>
  <c r="D104" i="25"/>
  <c r="G104" i="25"/>
  <c r="C104" i="25"/>
  <c r="F104" i="25"/>
  <c r="B104" i="25"/>
  <c r="E100" i="24"/>
  <c r="A101" i="24"/>
  <c r="D100" i="24"/>
  <c r="G100" i="24"/>
  <c r="C100" i="24"/>
  <c r="B100" i="24"/>
  <c r="F100" i="24"/>
  <c r="C32" i="10"/>
  <c r="F105" i="25" l="1"/>
  <c r="B105" i="25"/>
  <c r="E105" i="25"/>
  <c r="A106" i="25"/>
  <c r="D105" i="25"/>
  <c r="G105" i="25"/>
  <c r="C105" i="25"/>
  <c r="F101" i="24"/>
  <c r="B101" i="24"/>
  <c r="E101" i="24"/>
  <c r="A102" i="24"/>
  <c r="G101" i="24"/>
  <c r="D101" i="24"/>
  <c r="C101" i="24"/>
  <c r="E58" i="15"/>
  <c r="D4" i="14"/>
  <c r="D10" i="14" s="1"/>
  <c r="D23" i="14" s="1"/>
  <c r="D32" i="10"/>
  <c r="G106" i="25" l="1"/>
  <c r="C106" i="25"/>
  <c r="F106" i="25"/>
  <c r="B106" i="25"/>
  <c r="E106" i="25"/>
  <c r="D106" i="25"/>
  <c r="G102" i="24"/>
  <c r="C102" i="24"/>
  <c r="F102" i="24"/>
  <c r="B102" i="24"/>
  <c r="E102" i="24"/>
  <c r="A103" i="24"/>
  <c r="D102" i="24"/>
  <c r="G32" i="10"/>
  <c r="D29" i="14"/>
  <c r="D26" i="14"/>
  <c r="E59" i="15"/>
  <c r="E61" i="15" s="1"/>
  <c r="F57" i="15"/>
  <c r="A104" i="24" l="1"/>
  <c r="D103" i="24"/>
  <c r="G103" i="24"/>
  <c r="C103" i="24"/>
  <c r="B103" i="24"/>
  <c r="F103" i="24"/>
  <c r="E103" i="24"/>
  <c r="F4" i="14"/>
  <c r="F10" i="14" s="1"/>
  <c r="F23" i="14" s="1"/>
  <c r="F29" i="14" s="1"/>
  <c r="F31" i="14" s="1"/>
  <c r="G58" i="15"/>
  <c r="H32" i="10"/>
  <c r="E7" i="15"/>
  <c r="E12" i="15" s="1"/>
  <c r="E32" i="15" s="1"/>
  <c r="E62" i="15" s="1"/>
  <c r="E25" i="14"/>
  <c r="E26" i="14" s="1"/>
  <c r="D31" i="14"/>
  <c r="D37" i="14"/>
  <c r="E37" i="14" s="1"/>
  <c r="G57" i="15"/>
  <c r="F59" i="15"/>
  <c r="F61" i="15" s="1"/>
  <c r="E104" i="24" l="1"/>
  <c r="A105" i="24"/>
  <c r="D104" i="24"/>
  <c r="C104" i="24"/>
  <c r="G104" i="24"/>
  <c r="F104" i="24"/>
  <c r="B104" i="24"/>
  <c r="C35" i="14"/>
  <c r="C34" i="14"/>
  <c r="F37" i="14"/>
  <c r="G37" i="14" s="1"/>
  <c r="C39" i="14"/>
  <c r="G59" i="15"/>
  <c r="G61" i="15" s="1"/>
  <c r="H57" i="15"/>
  <c r="H59" i="15" s="1"/>
  <c r="H61" i="15" s="1"/>
  <c r="F7" i="15"/>
  <c r="F12" i="15" s="1"/>
  <c r="F32" i="15" s="1"/>
  <c r="F62" i="15" s="1"/>
  <c r="F25" i="14"/>
  <c r="F26" i="14" s="1"/>
  <c r="F105" i="24" l="1"/>
  <c r="B105" i="24"/>
  <c r="E105" i="24"/>
  <c r="D105" i="24"/>
  <c r="C105" i="24"/>
  <c r="A106" i="24"/>
  <c r="G105" i="24"/>
  <c r="G7" i="15"/>
  <c r="G12" i="15" s="1"/>
  <c r="G32" i="15" s="1"/>
  <c r="G62" i="15" s="1"/>
  <c r="G25" i="14"/>
  <c r="G26" i="14" s="1"/>
  <c r="H7" i="15" s="1"/>
  <c r="H12" i="15" s="1"/>
  <c r="H32" i="15" s="1"/>
  <c r="H62" i="15" s="1"/>
  <c r="G106" i="24" l="1"/>
  <c r="C106" i="24"/>
  <c r="F106" i="24"/>
  <c r="B106" i="24"/>
  <c r="E106" i="24"/>
  <c r="D106" i="24"/>
</calcChain>
</file>

<file path=xl/comments1.xml><?xml version="1.0" encoding="utf-8"?>
<comments xmlns="http://schemas.openxmlformats.org/spreadsheetml/2006/main">
  <authors>
    <author>maurizio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maurizio:</t>
        </r>
        <r>
          <rPr>
            <sz val="9"/>
            <color indexed="81"/>
            <rFont val="Tahoma"/>
            <family val="2"/>
          </rPr>
          <t xml:space="preserve">
80% crediti verso clienti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maurizio:</t>
        </r>
        <r>
          <rPr>
            <sz val="9"/>
            <color indexed="81"/>
            <rFont val="Tahoma"/>
            <family val="2"/>
          </rPr>
          <t xml:space="preserve">
finanziamento a mt con fondo di garanzia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maurizio:</t>
        </r>
        <r>
          <rPr>
            <sz val="9"/>
            <color indexed="81"/>
            <rFont val="Tahoma"/>
            <family val="2"/>
          </rPr>
          <t xml:space="preserve">
finanziamento a mt con fondo di garanzia 2.a tranche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maurizio:</t>
        </r>
        <r>
          <rPr>
            <sz val="9"/>
            <color indexed="81"/>
            <rFont val="Tahoma"/>
            <family val="2"/>
          </rPr>
          <t xml:space="preserve">
fin.a mt 3.a tranche
</t>
        </r>
      </text>
    </comment>
  </commentList>
</comments>
</file>

<file path=xl/sharedStrings.xml><?xml version="1.0" encoding="utf-8"?>
<sst xmlns="http://schemas.openxmlformats.org/spreadsheetml/2006/main" count="602" uniqueCount="492">
  <si>
    <t>Area Gestionale Amministrativa</t>
  </si>
  <si>
    <t>Assemblaggio finale e collaudo apparati</t>
  </si>
  <si>
    <t>Gestione certificazione e qualità del prodotto</t>
  </si>
  <si>
    <t>Gestione prodotto</t>
  </si>
  <si>
    <t>Customer service</t>
  </si>
  <si>
    <t>Assistenza tecnica</t>
  </si>
  <si>
    <t>Progettazione e sviluppo prodotto</t>
  </si>
  <si>
    <t>Qualità (ISO9000) e Regulatory Affairs</t>
  </si>
  <si>
    <t>Market development e vendite</t>
  </si>
  <si>
    <t>Electronics</t>
  </si>
  <si>
    <t>FW and SW</t>
  </si>
  <si>
    <t>Pianificazione e logistics</t>
  </si>
  <si>
    <t>Go to Market phase</t>
  </si>
  <si>
    <t>CEO</t>
  </si>
  <si>
    <t>EBIDTA</t>
  </si>
  <si>
    <t>Acquisti produzione e gestione magazzino</t>
  </si>
  <si>
    <t>Operations</t>
  </si>
  <si>
    <t>Produzione - Service</t>
  </si>
  <si>
    <t>7. Eventuali altre voci</t>
  </si>
  <si>
    <t>TOTALE</t>
  </si>
  <si>
    <t>3. opere murarie e assimilate comprese quelle per l'adeguamento funzionale dell'immobile e per la ristrutturazione dei locali</t>
  </si>
  <si>
    <t>4. acquisto di impianti, macchinari ed attrezzature nuovi di fabbrica</t>
  </si>
  <si>
    <t>5. sistemi informativi integrati per l'automazione, impianti automatizzati o robotizzati, acquisto di SW per le esigenze produttive e gestionali dell'impresa</t>
  </si>
  <si>
    <t>6. investimenti per sicurezza dei luoghi di lavoro dipendente, dell'ambiente e del consumatore</t>
  </si>
  <si>
    <t>1. Studi di fattibilità, progettazione esecutiva, direzione lavori, servizi di consulenza ed assistenza</t>
  </si>
  <si>
    <t>2. Acquisto brevetti, realizzazione marchi aziendali, acquisto licenze d'uso marchi aziendali, realizzazione di sistemi di qualità, certificazione qualità, ricerca e sviluppo</t>
  </si>
  <si>
    <t>R&amp;D</t>
  </si>
  <si>
    <t>Admin</t>
  </si>
  <si>
    <t>Apparecchiature elettroniche (Server, PC e stampanti) e telefoniche</t>
  </si>
  <si>
    <t>Spesa di investimento</t>
  </si>
  <si>
    <t>Classe</t>
  </si>
  <si>
    <t>Tipologia</t>
  </si>
  <si>
    <t>Centro di costo</t>
  </si>
  <si>
    <t>DIFFERENZA INVESTIMENTI / AMMORTAMENTI</t>
  </si>
  <si>
    <t>Flussi comulati attualizzati (PayBack period)</t>
  </si>
  <si>
    <t>Flussi attualizzati</t>
  </si>
  <si>
    <t>IRA (Indice di rendimento attualizzato) - DPI</t>
  </si>
  <si>
    <t>Prepaid expenses</t>
  </si>
  <si>
    <t>Other current assets</t>
  </si>
  <si>
    <t>Other Assets</t>
  </si>
  <si>
    <t>Intangibles</t>
  </si>
  <si>
    <t>Deposits</t>
  </si>
  <si>
    <t>Goodwill</t>
  </si>
  <si>
    <t>Other</t>
  </si>
  <si>
    <t>Total Other Assets</t>
  </si>
  <si>
    <t>Interest payable</t>
  </si>
  <si>
    <t>Taxes payable</t>
  </si>
  <si>
    <t>Notes payable to stockholders</t>
  </si>
  <si>
    <t>LESS: Short-term portion</t>
  </si>
  <si>
    <t>days</t>
  </si>
  <si>
    <t>pagamento fornitori: 60 gg</t>
  </si>
  <si>
    <t>Total</t>
  </si>
  <si>
    <t>Year 1</t>
  </si>
  <si>
    <t>Year 2</t>
  </si>
  <si>
    <t>Year 3</t>
  </si>
  <si>
    <t>Year 4</t>
  </si>
  <si>
    <t>Year 5</t>
  </si>
  <si>
    <t>Average yearly 'difettosità'</t>
  </si>
  <si>
    <t>Total Personnel</t>
  </si>
  <si>
    <t>TOTAL PERSONNEL</t>
  </si>
  <si>
    <t xml:space="preserve">Stima totale costo del personale annuo </t>
  </si>
  <si>
    <t>Royalties</t>
  </si>
  <si>
    <t>TOTALE INVESTIMENTS</t>
  </si>
  <si>
    <t>TOTAL AMORTISATION: YEAR 1</t>
  </si>
  <si>
    <t>TOTAL AMORTISATION: YEAR 2</t>
  </si>
  <si>
    <t>TOTAL AMORTISATION: YEAR 3</t>
  </si>
  <si>
    <t>TOTAL AMORTISATION: YEAR 4</t>
  </si>
  <si>
    <t>TOTAL AMORTISATION: YEAR 5</t>
  </si>
  <si>
    <t>TOTAL</t>
  </si>
  <si>
    <t>VAN (NPV): Valore attuale netto (Net present Value)</t>
  </si>
  <si>
    <t>Costo del Capitale (Discount Rate)</t>
  </si>
  <si>
    <t>TIR (IRR): Tasso di rendimento annuo composto (Internal rate of return)</t>
  </si>
  <si>
    <t>Year 6</t>
  </si>
  <si>
    <t>Year 7</t>
  </si>
  <si>
    <t>Year 8</t>
  </si>
  <si>
    <t>Year 9</t>
  </si>
  <si>
    <t>TOTAL Marketing</t>
  </si>
  <si>
    <t>Product Application specialist (Formazione e supporto tecnico clinico sul prodotto) - Technical staff</t>
  </si>
  <si>
    <t>Euros</t>
  </si>
  <si>
    <t>TOTAL Other Indirect Costs</t>
  </si>
  <si>
    <t>Technical</t>
  </si>
  <si>
    <t>Sistema Informativo Aziendale ERP</t>
  </si>
  <si>
    <t>pagamento clienti: 90 gg</t>
  </si>
  <si>
    <t xml:space="preserve"> </t>
  </si>
  <si>
    <t>Sales Manager</t>
  </si>
  <si>
    <t>Attrezzature per ingegneria</t>
  </si>
  <si>
    <t>Costi mantenimento brevetto</t>
  </si>
  <si>
    <t xml:space="preserve">Average cost / year </t>
  </si>
  <si>
    <t>Amministrazione (including IT, Legal, Finance)</t>
  </si>
  <si>
    <t xml:space="preserve"> Legal advisor </t>
  </si>
  <si>
    <t>Commercialista</t>
  </si>
  <si>
    <t>Codice fiscale e partita I.V.A. n.02188870998</t>
  </si>
  <si>
    <t>Valori espressi in</t>
  </si>
  <si>
    <t>euro</t>
  </si>
  <si>
    <t>STATO PATRIMONIALE  A T T I V O</t>
  </si>
  <si>
    <t>A) CREDITI V/SOCI x VERSAMENTI DOVUTI</t>
  </si>
  <si>
    <t>I)  parte già richiamata</t>
  </si>
  <si>
    <t>II) parte non richiamata</t>
  </si>
  <si>
    <t>Totale CREDITI VERSO SOCI</t>
  </si>
  <si>
    <t>B) IMMOBILIZZAZIONI</t>
  </si>
  <si>
    <t>I) IMMOBILIZZAZIONI IMMATERIALI</t>
  </si>
  <si>
    <t>1) Costi di impianto e ampliamento</t>
  </si>
  <si>
    <t>2) Costi di ricerca, sviluppo, pubbl.</t>
  </si>
  <si>
    <t>3) Diritti brev.ind. e utilizz.op.ing.</t>
  </si>
  <si>
    <t>4) Concessioni , software</t>
  </si>
  <si>
    <t>5) Avviamento</t>
  </si>
  <si>
    <t xml:space="preserve">6) Altre Immobilizzazioni </t>
  </si>
  <si>
    <t>7) Immobilizzazioni in corso e acconti</t>
  </si>
  <si>
    <t>Totale IMMOBILIZZAZIONI IMMATERIALI</t>
  </si>
  <si>
    <t>II) IMMOBILIZZAZIONI MATERIALI</t>
  </si>
  <si>
    <t>1) Terreni e fabbricati</t>
  </si>
  <si>
    <t>2) Impianti e macchinario</t>
  </si>
  <si>
    <t>3) Attrezzature industriali e commerc.</t>
  </si>
  <si>
    <t>4) Altri beni</t>
  </si>
  <si>
    <t>5) Immobilizzazioni in corso e acconti</t>
  </si>
  <si>
    <t>Totale IMMOBILIZZAZIONI MATERIALI</t>
  </si>
  <si>
    <t>III) IMMOBILIZZAZIONI FINANZIARIE</t>
  </si>
  <si>
    <t>1) Partecipazioni in:</t>
  </si>
  <si>
    <t>a) imprese controllate</t>
  </si>
  <si>
    <t>b) imprese collegate</t>
  </si>
  <si>
    <t>c) altre imprese</t>
  </si>
  <si>
    <t>2) Crediti (immob.finanz.) verso:</t>
  </si>
  <si>
    <t>a)  imp. controllate</t>
  </si>
  <si>
    <t>a1) impr. contr. es. oltre es. succ.</t>
  </si>
  <si>
    <t xml:space="preserve">b)  imp. collegate </t>
  </si>
  <si>
    <t>b1) impr. coll. es. oltre es. succ.</t>
  </si>
  <si>
    <t xml:space="preserve">c)  controllanti </t>
  </si>
  <si>
    <t>c1) controll. es. oltre es. succ.</t>
  </si>
  <si>
    <t>d)  altri esigibili entro es. succ.</t>
  </si>
  <si>
    <t>d1) altri esigib. oltre es. succ.</t>
  </si>
  <si>
    <t>3) Altri titoli (immob.finanz.)</t>
  </si>
  <si>
    <t>4) Azioni proprie (val. nom. L.     )</t>
  </si>
  <si>
    <t>Totale IMMOBILIZZAZIONI FINANZIARIE</t>
  </si>
  <si>
    <t>TOTALE IMMOBILIZZAZIONI</t>
  </si>
  <si>
    <t>C) ATTIVO CIRCOLANTE</t>
  </si>
  <si>
    <t>I) RIMANENZE</t>
  </si>
  <si>
    <t>1) di materie prime, suss. e cons.</t>
  </si>
  <si>
    <t>2) prodotti in corso lavoraz. semilav.</t>
  </si>
  <si>
    <t>3) lavori in corso su ordinaz.</t>
  </si>
  <si>
    <t>4) prodotti finiti e merci</t>
  </si>
  <si>
    <t>5) acconti (a fornit. materie/prod.)</t>
  </si>
  <si>
    <t>Totale RIMANENZE</t>
  </si>
  <si>
    <t>II) CREDITI (Att.circ.) VERSO:</t>
  </si>
  <si>
    <t>1) Clienti:</t>
  </si>
  <si>
    <t>a) esigibili entro es.succ.</t>
  </si>
  <si>
    <t>b) esigibili oltre es.succ.</t>
  </si>
  <si>
    <t>2) Imprese controllate</t>
  </si>
  <si>
    <t>3) Imprese collegate</t>
  </si>
  <si>
    <t xml:space="preserve">4) Controllanti     </t>
  </si>
  <si>
    <t xml:space="preserve">4-bis Crediti verso Erario    </t>
  </si>
  <si>
    <t xml:space="preserve">4-ter Crediti per imposte anticipate    </t>
  </si>
  <si>
    <t>5) verso altri</t>
  </si>
  <si>
    <t>Totale CREDITI (ATT. CIRC.)</t>
  </si>
  <si>
    <t>III) ATTIVITA' FINANZ. (non immobil.)</t>
  </si>
  <si>
    <t>1) Partecipazioni in controllate</t>
  </si>
  <si>
    <t>2) Partecipazioni in collegate</t>
  </si>
  <si>
    <t>3) Altre partecipazioni</t>
  </si>
  <si>
    <t>4) Azioni proprie (val.nom. L.      )</t>
  </si>
  <si>
    <t>5) Altri titoli</t>
  </si>
  <si>
    <t>Totale ATT. FINANZ. (non immobil.)</t>
  </si>
  <si>
    <t>IV) DISPONIBILITA' LIQUIDE</t>
  </si>
  <si>
    <t>1) Depositi bancari e postali</t>
  </si>
  <si>
    <t>2) Assegni</t>
  </si>
  <si>
    <t>3) Denaro e valori in cassa</t>
  </si>
  <si>
    <t>Totale DISPONIBILITA' LIQUIDE</t>
  </si>
  <si>
    <t>TOTALE ATTIVO CIRCOLANTE</t>
  </si>
  <si>
    <t>D) RATEI E RISCONTI</t>
  </si>
  <si>
    <t>1) Disaggio su prestiti</t>
  </si>
  <si>
    <t>2) Altri ratei e risconti</t>
  </si>
  <si>
    <t>TOTALE RATEI E RISCONTI</t>
  </si>
  <si>
    <t>T O T A L E   A T T I V O (A+B+C+D)</t>
  </si>
  <si>
    <t>STATO PATRIMONIALE  P A S S I V O</t>
  </si>
  <si>
    <t>A) PATRIMONIO NETTO</t>
  </si>
  <si>
    <t>I) Capitale</t>
  </si>
  <si>
    <t>II) Riserve sovrapp. azioni</t>
  </si>
  <si>
    <t>III) Riserve di rivalutazione</t>
  </si>
  <si>
    <t>IV) Riserva legale</t>
  </si>
  <si>
    <t>V) Riserva azioni proprie in portaf.</t>
  </si>
  <si>
    <t>VI) Riserve statutarie</t>
  </si>
  <si>
    <t>VII) Altre riserve:</t>
  </si>
  <si>
    <t>a) Versamenti in conto capitale</t>
  </si>
  <si>
    <t>b) Fondo plusv. rinviate art. 54 T.U.</t>
  </si>
  <si>
    <t>c) Sopravv./Contrib. art. 55 T.U.</t>
  </si>
  <si>
    <t>d) Riserva straord.</t>
  </si>
  <si>
    <t>VIII) Utili (perdite) a nuovo</t>
  </si>
  <si>
    <t>IX) Utile (perdita) dell'esercizio</t>
  </si>
  <si>
    <t>TOTALE PATRIMONIO NETTO</t>
  </si>
  <si>
    <t>B) FONDI PER RISCHI E ONERI</t>
  </si>
  <si>
    <t>1) Fondo quiescienza integrativa</t>
  </si>
  <si>
    <t>2) Fondo per imposte presunte</t>
  </si>
  <si>
    <t>3) Altri fondi</t>
  </si>
  <si>
    <t>TOTALE FONDI RISCHI E ONERI</t>
  </si>
  <si>
    <t>C) TRATTAMENTO FINE RAPPORTO DIP.</t>
  </si>
  <si>
    <t>D) DEBITI</t>
  </si>
  <si>
    <t>1) Obbligazioni</t>
  </si>
  <si>
    <t>2) Obbligazioni convertibili</t>
  </si>
  <si>
    <t>3) Debiti verso banche</t>
  </si>
  <si>
    <t>4) Debiti verso altri finanziatori</t>
  </si>
  <si>
    <t>5) Acconti (da clienti)</t>
  </si>
  <si>
    <t>6) Debiti verso fornitori</t>
  </si>
  <si>
    <t>7) Debiti rappres. da titoli di cred.</t>
  </si>
  <si>
    <t>8) Debiti verso imp. controllate</t>
  </si>
  <si>
    <t>9) Debiti verso imprese collegate</t>
  </si>
  <si>
    <t>10) Debiti verso controllanti</t>
  </si>
  <si>
    <t>11) Debiti tributari</t>
  </si>
  <si>
    <t>12) Debiti verso istituti previdenz.</t>
  </si>
  <si>
    <t>13) Altri debiti</t>
  </si>
  <si>
    <t>TOTALE DEBITI</t>
  </si>
  <si>
    <t>E) RATEI E RISCONTI</t>
  </si>
  <si>
    <t>1) Aggio su prestiti</t>
  </si>
  <si>
    <t>TOTALE   P A S S I V O (A+B+C+D+E)</t>
  </si>
  <si>
    <t>C O N T O   E C O N O M I C O</t>
  </si>
  <si>
    <t>A) VALORE PRODUZIONE (att.ordinaria)</t>
  </si>
  <si>
    <t>1) Ricavi vendite e prestazioni</t>
  </si>
  <si>
    <t>2) Variazione delle rimanenze</t>
  </si>
  <si>
    <t>3) Variazioni lavori in corso su ord.</t>
  </si>
  <si>
    <t>4) Increm. immobilizz. x lavori int.</t>
  </si>
  <si>
    <t xml:space="preserve">5) Altri ricavi e proventi </t>
  </si>
  <si>
    <t>6) Contributi in conto esercizio</t>
  </si>
  <si>
    <t>TOTALE VALORE PRODUZIONE</t>
  </si>
  <si>
    <t>B) COSTI PRODUZIONE (att.ordin.)</t>
  </si>
  <si>
    <t>6) materie prime, suss., cons., merci</t>
  </si>
  <si>
    <t>7) servizi</t>
  </si>
  <si>
    <t>8) per godimento di beni di terzi</t>
  </si>
  <si>
    <t>9) per il personale:</t>
  </si>
  <si>
    <t>a) salari e stipendi</t>
  </si>
  <si>
    <t>b) oneri sociali</t>
  </si>
  <si>
    <t>c) trattamento di fine rapporto</t>
  </si>
  <si>
    <t>d) trattamento di quiescienza e simili</t>
  </si>
  <si>
    <t>e) altri costi</t>
  </si>
  <si>
    <t>10) Ammortamenti e svalutazioni</t>
  </si>
  <si>
    <t>a) ammort. immobilizz. materiali</t>
  </si>
  <si>
    <t>b) ammort. immobilizz. immateriali</t>
  </si>
  <si>
    <t>c) altre svalutazioni immobilizz.</t>
  </si>
  <si>
    <t>d) svalutaz. attivo circolante</t>
  </si>
  <si>
    <t>11) Variazioni rimanenze di:</t>
  </si>
  <si>
    <t>a) materie prime</t>
  </si>
  <si>
    <t>b) mat. sussidiarie</t>
  </si>
  <si>
    <t>c) di consumo</t>
  </si>
  <si>
    <t>d) merci</t>
  </si>
  <si>
    <t>12) accantonamento per rischi</t>
  </si>
  <si>
    <t>13) altri accantonamenti</t>
  </si>
  <si>
    <t>14) oneri diversi di gestione</t>
  </si>
  <si>
    <t>TOTALE COSTI PRODUZIONE</t>
  </si>
  <si>
    <t>DIFF. VALORE - COSTI PRODUZ.</t>
  </si>
  <si>
    <t>C) PROVENTI E ONERI FINANZIARI</t>
  </si>
  <si>
    <t>15) Proventi da partecipazioni in:</t>
  </si>
  <si>
    <t>c) imprese controllanti</t>
  </si>
  <si>
    <t>d) altre imprese</t>
  </si>
  <si>
    <t>16) Altri prov. finanz.(non da part.)</t>
  </si>
  <si>
    <t>a) prov.fin. (int.) da cred. immobil.</t>
  </si>
  <si>
    <t>a1) imprese controllate</t>
  </si>
  <si>
    <t>a2) imprese collegate</t>
  </si>
  <si>
    <t>a3) imprese controllanti</t>
  </si>
  <si>
    <t>a4) altre imprese</t>
  </si>
  <si>
    <t>b) prov.finanz.da tit.(non partecip.)</t>
  </si>
  <si>
    <t xml:space="preserve">   iscritti nelle immobilizzazioni</t>
  </si>
  <si>
    <t>c) prov.finanz.da tit.(non partecip.)</t>
  </si>
  <si>
    <t xml:space="preserve">   iscritti nell'attivo circolante</t>
  </si>
  <si>
    <t>d) prov. finanz. diversi dai prec.</t>
  </si>
  <si>
    <t>d1) imprese controllate</t>
  </si>
  <si>
    <t>d2) imprese collegate</t>
  </si>
  <si>
    <t>d3) imprese controllanti</t>
  </si>
  <si>
    <t>d4) altre imprese</t>
  </si>
  <si>
    <t>Totale proventi finanziari</t>
  </si>
  <si>
    <t>17) Int.pass. e oneri finanz. da:</t>
  </si>
  <si>
    <t>a) debiti v/imprese controllate</t>
  </si>
  <si>
    <t>b) debiti v/imprese collegate</t>
  </si>
  <si>
    <t>c) debiti v/imprese controllanti</t>
  </si>
  <si>
    <t>d) debiti v/banche</t>
  </si>
  <si>
    <t>e) debiti per obbligazioni</t>
  </si>
  <si>
    <t>f) altri debiti</t>
  </si>
  <si>
    <t>g) oneri finanz. diversi</t>
  </si>
  <si>
    <t>Totale oneri finanziari</t>
  </si>
  <si>
    <t>DIFF. PROVENTI ONERI FINANZIARI</t>
  </si>
  <si>
    <t>D) RETTIF. VALORE ATTIV. FINANZ.</t>
  </si>
  <si>
    <t>18) Rivalutazione di attiv. finanz.</t>
  </si>
  <si>
    <t>a) di partecipazioni</t>
  </si>
  <si>
    <t>b) di immobilizz. finanz. non partec.</t>
  </si>
  <si>
    <t>c) di titoli iscr.att.circ. non part.</t>
  </si>
  <si>
    <t>Totale delle rivalutazioni att. fin.</t>
  </si>
  <si>
    <t>19) Svalutazione delle att. finanz.</t>
  </si>
  <si>
    <t>Totale delle svalutazioni att. fin.</t>
  </si>
  <si>
    <t>TOTALE RETT. VALORE ATT. FIN.</t>
  </si>
  <si>
    <t>E) PROVENTI E ONERI STRAORD.</t>
  </si>
  <si>
    <t>20) Proventi straord. (extra att.ord.)</t>
  </si>
  <si>
    <t>a) plusvalenze alienazione immobilizz.</t>
  </si>
  <si>
    <t>b) altri proventi straordinari</t>
  </si>
  <si>
    <t xml:space="preserve">Totale proventi straordinari </t>
  </si>
  <si>
    <t>21) Oneri straordinari (ext.att.ord.)</t>
  </si>
  <si>
    <t>a) minusvalenze alienazione immobiliz.</t>
  </si>
  <si>
    <t>b) imposte relative a esercizi preced.</t>
  </si>
  <si>
    <t>c) altri oneri straord. (non incl. 14)</t>
  </si>
  <si>
    <t>Totale oneri straordinari</t>
  </si>
  <si>
    <t>TOTALE PARTITE STRAORDINARIE</t>
  </si>
  <si>
    <t>RISULTATO ANTE IMPOSTE</t>
  </si>
  <si>
    <t>22) Imposte sul reddito dell'esercizio</t>
  </si>
  <si>
    <t>a) Correnti</t>
  </si>
  <si>
    <t>b) Differite (anticipate)</t>
  </si>
  <si>
    <t>Totale imposte di competenza</t>
  </si>
  <si>
    <t>23) RISULTATO DELL'ESERCIZIO</t>
  </si>
  <si>
    <t>controllo</t>
  </si>
  <si>
    <t>Sede in -------, Via-----------------</t>
  </si>
  <si>
    <t>situazione di partenza</t>
  </si>
  <si>
    <t>Ricavi unitario per servizi ( €/licenza/anno) - fast service e manutenzione</t>
  </si>
  <si>
    <t>Cap.sociale --------- euro, int. Versati</t>
  </si>
  <si>
    <t>Unitary COGS serv 1</t>
  </si>
  <si>
    <t>Unitary COGS serv 2</t>
  </si>
  <si>
    <t>Unitary COGS serv 3</t>
  </si>
  <si>
    <t xml:space="preserve">Brevetto </t>
  </si>
  <si>
    <t>addetto 1</t>
  </si>
  <si>
    <t>addetto 2</t>
  </si>
  <si>
    <t>addetto 3</t>
  </si>
  <si>
    <t>addetto 4</t>
  </si>
  <si>
    <t xml:space="preserve">upgrade piattaforma </t>
  </si>
  <si>
    <t xml:space="preserve">finanziamento soci </t>
  </si>
  <si>
    <t>finanziamento banca Etica</t>
  </si>
  <si>
    <t>Year 0</t>
  </si>
  <si>
    <t>Year1</t>
  </si>
  <si>
    <t>spese locazione</t>
  </si>
  <si>
    <t>spese amministrazione</t>
  </si>
  <si>
    <t>trasferte</t>
  </si>
  <si>
    <t>spese utenze</t>
  </si>
  <si>
    <t>addetto 5</t>
  </si>
  <si>
    <t>addetto 6</t>
  </si>
  <si>
    <t>addetto 7</t>
  </si>
  <si>
    <t>addetto 8</t>
  </si>
  <si>
    <t>altri costi di gestione</t>
  </si>
  <si>
    <t>altri costi di ingegneria</t>
  </si>
  <si>
    <t>agente ( 5% fatturato)</t>
  </si>
  <si>
    <t>spese demo</t>
  </si>
  <si>
    <t>CDA</t>
  </si>
  <si>
    <t>Upgrade piattaforma extraordinaria</t>
  </si>
  <si>
    <t xml:space="preserve">Personale </t>
  </si>
  <si>
    <t>STATO PATRIMONIALE</t>
  </si>
  <si>
    <t>INIZIO</t>
  </si>
  <si>
    <t>Attività</t>
  </si>
  <si>
    <t>attività correnti</t>
  </si>
  <si>
    <t>Cassa e banche</t>
  </si>
  <si>
    <t xml:space="preserve">Crediti </t>
  </si>
  <si>
    <t xml:space="preserve">Scorte </t>
  </si>
  <si>
    <t>Totale attività correnti</t>
  </si>
  <si>
    <t>Attività fisse</t>
  </si>
  <si>
    <t>Ricerca e sviluppo,attrezzature e macchinari</t>
  </si>
  <si>
    <t>Mobili e arredi</t>
  </si>
  <si>
    <t>Migliorie su beni di terzi</t>
  </si>
  <si>
    <t>Terreni e fabbricati</t>
  </si>
  <si>
    <t>altre attività fisse</t>
  </si>
  <si>
    <t>(MENO ammortamenti)</t>
  </si>
  <si>
    <t>Totale attvità fisse nette</t>
  </si>
  <si>
    <t>ATTIVITà TOTALI</t>
  </si>
  <si>
    <t>Passività e Patrimonio netto</t>
  </si>
  <si>
    <t>Passivitò correnti</t>
  </si>
  <si>
    <t>Fornitori</t>
  </si>
  <si>
    <t>Debiti diversi</t>
  </si>
  <si>
    <t>rate mutui scadenti 12 mesi</t>
  </si>
  <si>
    <t>Banche a breve termine</t>
  </si>
  <si>
    <t xml:space="preserve">Totale passività correnti </t>
  </si>
  <si>
    <t>Passività a medio termine</t>
  </si>
  <si>
    <t xml:space="preserve">Mutui bancari </t>
  </si>
  <si>
    <t>Altri debiti a medio termine</t>
  </si>
  <si>
    <t>Totale debiti a medio termine</t>
  </si>
  <si>
    <t xml:space="preserve">Totale passività </t>
  </si>
  <si>
    <t>Patrimonio netto</t>
  </si>
  <si>
    <t>Capitale sociale</t>
  </si>
  <si>
    <t>risultato d'esercizio</t>
  </si>
  <si>
    <t>Utili e perdite a nuovo</t>
  </si>
  <si>
    <t>Totale patrimonio netto</t>
  </si>
  <si>
    <t>Totale passività e netto</t>
  </si>
  <si>
    <t>tempi medi di incasso</t>
  </si>
  <si>
    <t>tempi medi di pagamento</t>
  </si>
  <si>
    <t>tasso di interesse medio</t>
  </si>
  <si>
    <t>Conto economico</t>
  </si>
  <si>
    <t>Ricavi</t>
  </si>
  <si>
    <t>Ricavi di vendita prodotti e servizi</t>
  </si>
  <si>
    <t>altri ricavi</t>
  </si>
  <si>
    <t>Totale Ricavi</t>
  </si>
  <si>
    <t xml:space="preserve">Costi variabili </t>
  </si>
  <si>
    <t>Costi variabili di produzione</t>
  </si>
  <si>
    <t xml:space="preserve"> Costi variabili di acquisto</t>
  </si>
  <si>
    <t xml:space="preserve"> Costi variabili di vendita</t>
  </si>
  <si>
    <t>Total costi variabili</t>
  </si>
  <si>
    <t xml:space="preserve">Margine lordo </t>
  </si>
  <si>
    <t>Spese operative</t>
  </si>
  <si>
    <t>Personale</t>
  </si>
  <si>
    <t>Marketing &amp; commerciali</t>
  </si>
  <si>
    <t>Consulenze tecniche</t>
  </si>
  <si>
    <t>Generali e amministrative</t>
  </si>
  <si>
    <t>Totale spese operative</t>
  </si>
  <si>
    <t>Ammortamenti e Accantonamenti</t>
  </si>
  <si>
    <t>Totale</t>
  </si>
  <si>
    <t>EBIT (Reddito operativo)</t>
  </si>
  <si>
    <t xml:space="preserve">Saldo gestione finanziaria </t>
  </si>
  <si>
    <t>Reddito lordo</t>
  </si>
  <si>
    <t>Imposte</t>
  </si>
  <si>
    <t xml:space="preserve">Reddito netto </t>
  </si>
  <si>
    <t xml:space="preserve">perdite fiscali </t>
  </si>
  <si>
    <t>Flusso di cassa</t>
  </si>
  <si>
    <t>flusso di cassa operativo</t>
  </si>
  <si>
    <t>Risultato d'esercizio</t>
  </si>
  <si>
    <t xml:space="preserve">Ammortamenti </t>
  </si>
  <si>
    <t>Variazioni capitale circolante</t>
  </si>
  <si>
    <t xml:space="preserve">(Incr.)/Decr.  Crediti </t>
  </si>
  <si>
    <t>(Incr.)/(Decr.)  debiti</t>
  </si>
  <si>
    <t>(Incr.) / Decr. Scorte</t>
  </si>
  <si>
    <t>Flusso netto derivante da attività operative</t>
  </si>
  <si>
    <t>Investimenti</t>
  </si>
  <si>
    <t>Ricerca e sviluppo, impianti e macchinari</t>
  </si>
  <si>
    <t xml:space="preserve"> Altri investimenti</t>
  </si>
  <si>
    <t>Flusso netto derivante da investimenti/disinvest.</t>
  </si>
  <si>
    <t>Flusso da attività finanziaria</t>
  </si>
  <si>
    <t>(Incr.)/Decr. Debiti finanziari a bt</t>
  </si>
  <si>
    <t>(Incr)/Decr Debiti finanziari a medio termine</t>
  </si>
  <si>
    <t xml:space="preserve">(Incr./decr.) Capital sociale </t>
  </si>
  <si>
    <t>Flusso netto derivante da movimenti finanziari</t>
  </si>
  <si>
    <t>Cash flow totale</t>
  </si>
  <si>
    <t>Saldo PFN inizio periodo</t>
  </si>
  <si>
    <t>Saldo PFN fine periodo</t>
  </si>
  <si>
    <t xml:space="preserve"> Cash Flow Cumulativo</t>
  </si>
  <si>
    <t xml:space="preserve">Modello ricavi </t>
  </si>
  <si>
    <t>Number di prodotti /servizi venduti</t>
  </si>
  <si>
    <t>Prezzo unitario di vendita (per anno)</t>
  </si>
  <si>
    <t>Ricavi totali</t>
  </si>
  <si>
    <t>Costi unitario variabile di produzione e vendita prodotti/servizi</t>
  </si>
  <si>
    <t>Costi totali variabili di produzione e vendita prodotti e servizi</t>
  </si>
  <si>
    <t>Costo unitario licenze  (% su unità ) - pr1</t>
  </si>
  <si>
    <t>Costo unitario licenze  (% su unità ) - pr2</t>
  </si>
  <si>
    <t>Costo unitario licenze  (% su unità ) - pr3</t>
  </si>
  <si>
    <t>Totale Licenze  - pr 1</t>
  </si>
  <si>
    <t>Totale Licenze - pr 2</t>
  </si>
  <si>
    <t>Totale Licenze- pr 3</t>
  </si>
  <si>
    <t>Totale costo licenze</t>
  </si>
  <si>
    <t>Servizi post vendita</t>
  </si>
  <si>
    <t>Costi garanzia</t>
  </si>
  <si>
    <t>Media costi riparazione</t>
  </si>
  <si>
    <t>altri costi generali</t>
  </si>
  <si>
    <t xml:space="preserve">spese commerciali e mkt </t>
  </si>
  <si>
    <t>costi tecnici</t>
  </si>
  <si>
    <t>Finanziamenti Infruttiferi a ML da Soci</t>
  </si>
  <si>
    <t>Interessi</t>
  </si>
  <si>
    <t>Capitale</t>
  </si>
  <si>
    <t>Finanziamenti bancari fondo di Garanzia centrale</t>
  </si>
  <si>
    <t>Tabella di ammortamento</t>
  </si>
  <si>
    <t/>
  </si>
  <si>
    <t>Dati iniziali</t>
  </si>
  <si>
    <t>DATI DEL PRESTITO</t>
  </si>
  <si>
    <t>DATI DELLA TABELLA</t>
  </si>
  <si>
    <t>Ammontare:</t>
  </si>
  <si>
    <t>La tabella inizia dal giorno:</t>
  </si>
  <si>
    <t>Tasso d'interesse annuo:</t>
  </si>
  <si>
    <t>o alla rata n°:</t>
  </si>
  <si>
    <t>durata preammortamento</t>
  </si>
  <si>
    <t>Durata in anni:</t>
  </si>
  <si>
    <t>N° annuo di rate:</t>
  </si>
  <si>
    <t>Data 1.a rata con rimborso:</t>
  </si>
  <si>
    <t>RATA PERIODICA</t>
  </si>
  <si>
    <t>Rata immessa:</t>
  </si>
  <si>
    <t xml:space="preserve">  La tabella utilizza l'ammontare calcolato della rata, a</t>
  </si>
  <si>
    <t>Rata calcolata:</t>
  </si>
  <si>
    <t>meno che non si immetta un valore per "Rata immessa".</t>
  </si>
  <si>
    <t>CALCOLI</t>
  </si>
  <si>
    <t>Utilizzare rata da:</t>
  </si>
  <si>
    <t>1° pagamento nella tabella:</t>
  </si>
  <si>
    <t>Tabella</t>
  </si>
  <si>
    <t>Data di</t>
  </si>
  <si>
    <t>Bilancio</t>
  </si>
  <si>
    <t>N°</t>
  </si>
  <si>
    <t>Pagamento</t>
  </si>
  <si>
    <t>iniziale</t>
  </si>
  <si>
    <t>finale</t>
  </si>
  <si>
    <t>cumulati</t>
  </si>
  <si>
    <t xml:space="preserve">vedi piano mutuo </t>
  </si>
  <si>
    <t xml:space="preserve">Mutuo per Startup innovativa </t>
  </si>
  <si>
    <t xml:space="preserve">Service 1 </t>
  </si>
  <si>
    <t xml:space="preserve">Service 2 </t>
  </si>
  <si>
    <t xml:space="preserve">service 3 </t>
  </si>
  <si>
    <t>TOTAL Personale</t>
  </si>
  <si>
    <t>TOTAL costi tecnici</t>
  </si>
  <si>
    <t xml:space="preserve">Capitale sociale </t>
  </si>
  <si>
    <t>addetto 9</t>
  </si>
  <si>
    <t>Spese marketing e comunicazione</t>
  </si>
  <si>
    <t xml:space="preserve">fabbisogno </t>
  </si>
  <si>
    <t>Assicurazioni</t>
  </si>
  <si>
    <t>Software licence</t>
  </si>
  <si>
    <t>Service 1 (numero clienti aderenti)</t>
  </si>
  <si>
    <t>service 2</t>
  </si>
  <si>
    <t xml:space="preserve">Mutuo Comune per Startup innovativa </t>
  </si>
  <si>
    <t>ipotesi chiusura piano investimento:</t>
  </si>
  <si>
    <t>erogazione 2.tranche :</t>
  </si>
  <si>
    <t>Finanziamento Comune di Genova</t>
  </si>
  <si>
    <t>IRES 24% + IRAP 3,9%</t>
  </si>
  <si>
    <t>XYZ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</si>
</sst>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€-410]\ #,##0"/>
    <numFmt numFmtId="168" formatCode="_([$€-2]\ * #,##0.00_);_([$€-2]\ * \(#,##0.00\);_([$€-2]\ * &quot;-&quot;??_);_(@_)"/>
    <numFmt numFmtId="169" formatCode="#,##0\ [$€-1];[Red]\-#,##0\ [$€-1]"/>
    <numFmt numFmtId="170" formatCode="_-[$€-410]\ * #,##0_-;\-[$€-410]\ * #,##0_-;_-[$€-410]\ * &quot;-&quot;??_-;_-@_-"/>
    <numFmt numFmtId="171" formatCode="_-[$€-410]\ * #,##0.00_-;\-[$€-410]\ * #,##0.00_-;_-[$€-410]\ * &quot;-&quot;??_-;_-@_-"/>
    <numFmt numFmtId="172" formatCode="0.0"/>
    <numFmt numFmtId="173" formatCode="_-* #,##0_-;\-* #,##0_-;_-* &quot;-&quot;??_-;_-@_-"/>
    <numFmt numFmtId="174" formatCode="_-[$€]\ * #,##0.00_-;\-[$€]\ * #,##0.00_-;_-[$€]\ * &quot;-&quot;??_-;_-@_-"/>
    <numFmt numFmtId="175" formatCode="#,##0\ &quot;€&quot;"/>
    <numFmt numFmtId="176" formatCode="#,##0_);\(#,##0\)"/>
    <numFmt numFmtId="177" formatCode="d\-mmm\-yy"/>
    <numFmt numFmtId="178" formatCode="_-* #,##0.00_-;\-* #,##0.00_-;_-* \-??_-;_-@_-"/>
    <numFmt numFmtId="179" formatCode="_-* #,##0_-;\-* #,##0_-;_-* \-??_-;_-@_-"/>
    <numFmt numFmtId="180" formatCode="#,##0_ ;\-#,##0\ "/>
    <numFmt numFmtId="181" formatCode="_-[$€-410]\ * #,##0_-;\-[$€-410]\ * #,##0_-;_-[$€-410]\ * &quot;-&quot;_-;_-@_-"/>
    <numFmt numFmtId="182" formatCode="0.0%"/>
    <numFmt numFmtId="183" formatCode="_(* #,##0_);_(* \(#,##0\);_(* &quot;-&quot;??_);_(@_)"/>
    <numFmt numFmtId="184" formatCode="&quot;L.&quot;\ #,##0;[Red]\-&quot;L.&quot;\ #,##0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theme="3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theme="4" tint="-0.249977111117893"/>
      <name val="Arial"/>
      <family val="2"/>
    </font>
    <font>
      <sz val="12"/>
      <color theme="4" tint="-0.249977111117893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10"/>
      <name val="Calibri"/>
      <family val="2"/>
    </font>
    <font>
      <sz val="14"/>
      <color indexed="23"/>
      <name val="Calibri"/>
      <family val="2"/>
    </font>
    <font>
      <sz val="16"/>
      <color indexed="23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3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indexed="12"/>
      <name val="Arial Narrow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B0F0"/>
      <name val="Calibri"/>
      <family val="2"/>
      <scheme val="minor"/>
    </font>
    <font>
      <sz val="10"/>
      <name val="Geneva"/>
    </font>
    <font>
      <b/>
      <sz val="18"/>
      <name val="Geneva"/>
    </font>
    <font>
      <b/>
      <sz val="10"/>
      <name val="Geneva"/>
    </font>
    <font>
      <i/>
      <sz val="10"/>
      <name val="Geneva"/>
    </font>
    <font>
      <sz val="10"/>
      <color theme="3"/>
      <name val="Calibri"/>
      <scheme val="minor"/>
    </font>
    <font>
      <sz val="10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FFFFCC"/>
      </patternFill>
    </fill>
  </fills>
  <borders count="9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theme="3" tint="0.39994506668294322"/>
      </bottom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/>
      <top/>
      <bottom style="thick">
        <color rgb="FF00B0F0"/>
      </bottom>
      <diagonal/>
    </border>
    <border>
      <left/>
      <right/>
      <top/>
      <bottom style="double">
        <color theme="4"/>
      </bottom>
      <diagonal/>
    </border>
    <border>
      <left/>
      <right/>
      <top/>
      <bottom style="double">
        <color rgb="FF0070C0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double">
        <color theme="4"/>
      </bottom>
      <diagonal/>
    </border>
    <border>
      <left/>
      <right style="thick">
        <color rgb="FF0070C0"/>
      </right>
      <top/>
      <bottom style="double">
        <color rgb="FF0070C0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double">
        <color rgb="FF0070C0"/>
      </top>
      <bottom style="thick">
        <color rgb="FF0070C0"/>
      </bottom>
      <diagonal/>
    </border>
    <border>
      <left/>
      <right/>
      <top style="double">
        <color rgb="FF0070C0"/>
      </top>
      <bottom style="thick">
        <color rgb="FF0070C0"/>
      </bottom>
      <diagonal/>
    </border>
    <border>
      <left style="thick">
        <color rgb="FF0070C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thick">
        <color rgb="FF0070C0"/>
      </right>
      <top style="double">
        <color rgb="FF0070C0"/>
      </top>
      <bottom style="double">
        <color rgb="FF0070C0"/>
      </bottom>
      <diagonal/>
    </border>
    <border>
      <left/>
      <right style="thick">
        <color rgb="FF0070C0"/>
      </right>
      <top/>
      <bottom style="double">
        <color theme="3" tint="0.39994506668294322"/>
      </bottom>
      <diagonal/>
    </border>
    <border>
      <left style="thick">
        <color theme="4"/>
      </left>
      <right/>
      <top style="thick">
        <color theme="4"/>
      </top>
      <bottom style="thin">
        <color rgb="FF0070C0"/>
      </bottom>
      <diagonal/>
    </border>
    <border>
      <left/>
      <right/>
      <top style="thick">
        <color theme="4"/>
      </top>
      <bottom style="thin">
        <color rgb="FF0070C0"/>
      </bottom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 style="thin">
        <color rgb="FF0070C0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178" fontId="42" fillId="0" borderId="0" applyFill="0" applyBorder="0" applyAlignment="0" applyProtection="0"/>
    <xf numFmtId="0" fontId="56" fillId="0" borderId="0"/>
    <xf numFmtId="9" fontId="56" fillId="0" borderId="0" applyBorder="0" applyAlignment="0" applyProtection="0"/>
    <xf numFmtId="0" fontId="59" fillId="0" borderId="0"/>
    <xf numFmtId="4" fontId="59" fillId="0" borderId="0" applyFont="0" applyFill="0" applyBorder="0" applyAlignment="0" applyProtection="0"/>
  </cellStyleXfs>
  <cellXfs count="50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170" fontId="0" fillId="0" borderId="0" xfId="0" applyNumberFormat="1"/>
    <xf numFmtId="17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70" fontId="0" fillId="0" borderId="7" xfId="0" applyNumberFormat="1" applyBorder="1"/>
    <xf numFmtId="170" fontId="0" fillId="0" borderId="8" xfId="0" applyNumberFormat="1" applyBorder="1"/>
    <xf numFmtId="170" fontId="0" fillId="0" borderId="17" xfId="0" applyNumberFormat="1" applyBorder="1" applyAlignment="1">
      <alignment horizontal="center" vertical="center"/>
    </xf>
    <xf numFmtId="170" fontId="0" fillId="0" borderId="18" xfId="0" applyNumberFormat="1" applyBorder="1" applyAlignment="1">
      <alignment horizontal="center" vertical="center"/>
    </xf>
    <xf numFmtId="170" fontId="0" fillId="0" borderId="19" xfId="0" applyNumberFormat="1" applyBorder="1" applyAlignment="1">
      <alignment horizontal="center" vertical="center"/>
    </xf>
    <xf numFmtId="170" fontId="0" fillId="0" borderId="15" xfId="0" applyNumberFormat="1" applyBorder="1" applyAlignment="1">
      <alignment horizontal="center" vertical="center"/>
    </xf>
    <xf numFmtId="170" fontId="0" fillId="0" borderId="3" xfId="0" applyNumberFormat="1" applyBorder="1" applyAlignment="1">
      <alignment horizontal="center" vertical="center"/>
    </xf>
    <xf numFmtId="170" fontId="0" fillId="0" borderId="7" xfId="0" applyNumberFormat="1" applyBorder="1" applyAlignment="1">
      <alignment horizontal="center" vertical="center"/>
    </xf>
    <xf numFmtId="170" fontId="0" fillId="0" borderId="8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0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0" xfId="0" applyFont="1"/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0" fontId="0" fillId="0" borderId="6" xfId="0" applyNumberFormat="1" applyBorder="1"/>
    <xf numFmtId="0" fontId="0" fillId="0" borderId="9" xfId="0" applyBorder="1" applyAlignment="1">
      <alignment horizontal="center" vertical="center" wrapText="1"/>
    </xf>
    <xf numFmtId="170" fontId="0" fillId="0" borderId="20" xfId="0" applyNumberFormat="1" applyBorder="1" applyAlignment="1">
      <alignment horizontal="center" vertical="center"/>
    </xf>
    <xf numFmtId="170" fontId="0" fillId="0" borderId="25" xfId="0" applyNumberFormat="1" applyBorder="1" applyAlignment="1">
      <alignment horizontal="center" vertical="center"/>
    </xf>
    <xf numFmtId="170" fontId="0" fillId="0" borderId="26" xfId="0" applyNumberFormat="1" applyBorder="1" applyAlignment="1">
      <alignment horizontal="center" vertical="center"/>
    </xf>
    <xf numFmtId="0" fontId="0" fillId="0" borderId="2" xfId="0" applyBorder="1"/>
    <xf numFmtId="0" fontId="11" fillId="0" borderId="0" xfId="0" applyFont="1"/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7" fontId="14" fillId="0" borderId="28" xfId="0" applyNumberFormat="1" applyFont="1" applyBorder="1" applyAlignment="1">
      <alignment horizontal="center" vertical="center"/>
    </xf>
    <xf numFmtId="172" fontId="0" fillId="0" borderId="32" xfId="0" applyNumberForma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172" fontId="21" fillId="0" borderId="3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2" fontId="0" fillId="0" borderId="3" xfId="1" applyNumberFormat="1" applyFont="1" applyBorder="1" applyAlignment="1">
      <alignment horizontal="center"/>
    </xf>
    <xf numFmtId="166" fontId="0" fillId="0" borderId="3" xfId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5" xfId="0" applyFont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5" xfId="0" applyBorder="1"/>
    <xf numFmtId="0" fontId="0" fillId="0" borderId="15" xfId="0" applyBorder="1" applyAlignment="1">
      <alignment horizontal="right" wrapText="1"/>
    </xf>
    <xf numFmtId="0" fontId="0" fillId="0" borderId="15" xfId="0" applyBorder="1" applyAlignment="1">
      <alignment horizontal="right" vertical="center"/>
    </xf>
    <xf numFmtId="0" fontId="9" fillId="0" borderId="0" xfId="0" applyFont="1"/>
    <xf numFmtId="2" fontId="10" fillId="0" borderId="18" xfId="0" applyNumberFormat="1" applyFont="1" applyBorder="1" applyAlignment="1">
      <alignment horizontal="center"/>
    </xf>
    <xf numFmtId="2" fontId="10" fillId="0" borderId="19" xfId="0" applyNumberFormat="1" applyFont="1" applyBorder="1" applyAlignment="1">
      <alignment horizontal="center"/>
    </xf>
    <xf numFmtId="0" fontId="10" fillId="0" borderId="0" xfId="0" applyFont="1"/>
    <xf numFmtId="0" fontId="10" fillId="0" borderId="17" xfId="0" applyFont="1" applyBorder="1" applyAlignment="1">
      <alignment horizontal="left"/>
    </xf>
    <xf numFmtId="0" fontId="0" fillId="0" borderId="12" xfId="0" applyBorder="1" applyAlignment="1">
      <alignment horizontal="left" vertical="center" wrapText="1"/>
    </xf>
    <xf numFmtId="167" fontId="0" fillId="0" borderId="13" xfId="0" applyNumberForma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167" fontId="9" fillId="0" borderId="18" xfId="0" applyNumberFormat="1" applyFont="1" applyBorder="1" applyAlignment="1">
      <alignment horizontal="center" vertical="center"/>
    </xf>
    <xf numFmtId="167" fontId="9" fillId="0" borderId="19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6" fillId="2" borderId="41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6" fillId="2" borderId="41" xfId="0" applyFont="1" applyFill="1" applyBorder="1" applyAlignment="1">
      <alignment vertical="center"/>
    </xf>
    <xf numFmtId="0" fontId="22" fillId="2" borderId="41" xfId="0" applyFont="1" applyFill="1" applyBorder="1" applyAlignment="1" applyProtection="1">
      <alignment vertical="center"/>
    </xf>
    <xf numFmtId="0" fontId="6" fillId="2" borderId="41" xfId="0" applyFont="1" applyFill="1" applyBorder="1" applyAlignment="1" applyProtection="1">
      <alignment vertical="center"/>
    </xf>
    <xf numFmtId="164" fontId="12" fillId="0" borderId="0" xfId="0" applyNumberFormat="1" applyFont="1" applyFill="1" applyBorder="1" applyAlignment="1">
      <alignment horizontal="right" vertical="center"/>
    </xf>
    <xf numFmtId="164" fontId="12" fillId="0" borderId="42" xfId="0" applyNumberFormat="1" applyFont="1" applyFill="1" applyBorder="1" applyAlignment="1">
      <alignment horizontal="right" vertical="center"/>
    </xf>
    <xf numFmtId="164" fontId="12" fillId="0" borderId="37" xfId="0" applyNumberFormat="1" applyFont="1" applyFill="1" applyBorder="1" applyAlignment="1">
      <alignment horizontal="right" vertical="center"/>
    </xf>
    <xf numFmtId="164" fontId="12" fillId="0" borderId="44" xfId="0" applyNumberFormat="1" applyFont="1" applyFill="1" applyBorder="1" applyAlignment="1">
      <alignment horizontal="right" vertical="center"/>
    </xf>
    <xf numFmtId="164" fontId="12" fillId="0" borderId="36" xfId="0" applyNumberFormat="1" applyFont="1" applyFill="1" applyBorder="1" applyAlignment="1">
      <alignment horizontal="right" vertical="center"/>
    </xf>
    <xf numFmtId="164" fontId="12" fillId="0" borderId="43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right" vertical="center"/>
    </xf>
    <xf numFmtId="164" fontId="13" fillId="0" borderId="42" xfId="0" applyNumberFormat="1" applyFont="1" applyFill="1" applyBorder="1" applyAlignment="1">
      <alignment horizontal="right" vertical="center"/>
    </xf>
    <xf numFmtId="0" fontId="7" fillId="2" borderId="41" xfId="0" applyFont="1" applyFill="1" applyBorder="1" applyAlignment="1" applyProtection="1">
      <alignment vertical="center"/>
      <protection locked="0"/>
    </xf>
    <xf numFmtId="0" fontId="26" fillId="2" borderId="41" xfId="0" applyFont="1" applyFill="1" applyBorder="1" applyAlignment="1" applyProtection="1">
      <alignment vertical="center"/>
    </xf>
    <xf numFmtId="0" fontId="5" fillId="2" borderId="41" xfId="0" applyFont="1" applyFill="1" applyBorder="1" applyAlignment="1" applyProtection="1">
      <alignment vertical="center"/>
    </xf>
    <xf numFmtId="164" fontId="25" fillId="0" borderId="0" xfId="0" applyNumberFormat="1" applyFont="1" applyFill="1" applyBorder="1" applyAlignment="1">
      <alignment horizontal="right" vertical="center"/>
    </xf>
    <xf numFmtId="164" fontId="25" fillId="0" borderId="42" xfId="0" applyNumberFormat="1" applyFont="1" applyFill="1" applyBorder="1" applyAlignment="1">
      <alignment horizontal="right" vertical="center"/>
    </xf>
    <xf numFmtId="164" fontId="13" fillId="0" borderId="48" xfId="0" applyNumberFormat="1" applyFont="1" applyFill="1" applyBorder="1" applyAlignment="1">
      <alignment horizontal="right" vertical="center"/>
    </xf>
    <xf numFmtId="164" fontId="13" fillId="0" borderId="47" xfId="0" applyNumberFormat="1" applyFont="1" applyFill="1" applyBorder="1" applyAlignment="1">
      <alignment horizontal="right" vertical="center"/>
    </xf>
    <xf numFmtId="164" fontId="25" fillId="0" borderId="48" xfId="0" applyNumberFormat="1" applyFont="1" applyFill="1" applyBorder="1" applyAlignment="1">
      <alignment horizontal="right" vertical="center"/>
    </xf>
    <xf numFmtId="164" fontId="25" fillId="0" borderId="47" xfId="0" applyNumberFormat="1" applyFont="1" applyFill="1" applyBorder="1" applyAlignment="1">
      <alignment horizontal="right" vertical="center"/>
    </xf>
    <xf numFmtId="164" fontId="24" fillId="0" borderId="0" xfId="0" applyNumberFormat="1" applyFont="1" applyFill="1" applyBorder="1" applyAlignment="1">
      <alignment horizontal="right" vertical="center"/>
    </xf>
    <xf numFmtId="164" fontId="24" fillId="0" borderId="42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wrapText="1"/>
    </xf>
    <xf numFmtId="0" fontId="8" fillId="0" borderId="41" xfId="0" applyFont="1" applyBorder="1" applyAlignment="1" applyProtection="1">
      <alignment vertical="center"/>
    </xf>
    <xf numFmtId="0" fontId="8" fillId="0" borderId="41" xfId="0" applyFont="1" applyBorder="1" applyAlignment="1" applyProtection="1">
      <alignment horizontal="left" vertical="center" indent="3"/>
    </xf>
    <xf numFmtId="0" fontId="11" fillId="0" borderId="41" xfId="0" applyFont="1" applyBorder="1" applyAlignment="1" applyProtection="1">
      <alignment horizontal="left" vertical="center"/>
    </xf>
    <xf numFmtId="0" fontId="8" fillId="0" borderId="45" xfId="0" applyFont="1" applyBorder="1" applyAlignment="1" applyProtection="1">
      <alignment vertical="center"/>
    </xf>
    <xf numFmtId="37" fontId="0" fillId="0" borderId="0" xfId="0" applyNumberFormat="1"/>
    <xf numFmtId="0" fontId="0" fillId="0" borderId="0" xfId="0" applyBorder="1"/>
    <xf numFmtId="0" fontId="0" fillId="0" borderId="41" xfId="0" applyBorder="1"/>
    <xf numFmtId="0" fontId="3" fillId="0" borderId="0" xfId="0" applyFont="1" applyBorder="1"/>
    <xf numFmtId="37" fontId="29" fillId="0" borderId="0" xfId="0" applyNumberFormat="1" applyFont="1" applyBorder="1"/>
    <xf numFmtId="0" fontId="6" fillId="2" borderId="55" xfId="0" applyFont="1" applyFill="1" applyBorder="1" applyAlignment="1">
      <alignment horizontal="left" vertical="center" indent="3"/>
    </xf>
    <xf numFmtId="0" fontId="6" fillId="2" borderId="41" xfId="0" applyFont="1" applyFill="1" applyBorder="1" applyAlignment="1">
      <alignment horizontal="left" vertical="center" indent="3"/>
    </xf>
    <xf numFmtId="0" fontId="9" fillId="0" borderId="0" xfId="0" applyFont="1" applyBorder="1"/>
    <xf numFmtId="0" fontId="0" fillId="0" borderId="3" xfId="0" applyBorder="1"/>
    <xf numFmtId="0" fontId="0" fillId="0" borderId="13" xfId="0" applyBorder="1"/>
    <xf numFmtId="9" fontId="0" fillId="0" borderId="13" xfId="0" applyNumberFormat="1" applyBorder="1" applyAlignment="1">
      <alignment horizontal="center" vertical="center"/>
    </xf>
    <xf numFmtId="0" fontId="0" fillId="0" borderId="14" xfId="0" applyBorder="1"/>
    <xf numFmtId="0" fontId="0" fillId="0" borderId="17" xfId="0" applyBorder="1"/>
    <xf numFmtId="37" fontId="0" fillId="0" borderId="18" xfId="0" applyNumberFormat="1" applyBorder="1" applyAlignment="1">
      <alignment horizontal="right" vertical="center"/>
    </xf>
    <xf numFmtId="37" fontId="0" fillId="0" borderId="19" xfId="0" applyNumberFormat="1" applyBorder="1" applyAlignment="1">
      <alignment horizontal="right" vertical="center"/>
    </xf>
    <xf numFmtId="37" fontId="0" fillId="0" borderId="3" xfId="0" applyNumberFormat="1" applyBorder="1"/>
    <xf numFmtId="37" fontId="0" fillId="0" borderId="14" xfId="0" applyNumberFormat="1" applyBorder="1"/>
    <xf numFmtId="0" fontId="0" fillId="0" borderId="18" xfId="0" applyBorder="1"/>
    <xf numFmtId="10" fontId="0" fillId="0" borderId="19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2" fontId="0" fillId="0" borderId="8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left" vertical="center" indent="3"/>
    </xf>
    <xf numFmtId="0" fontId="14" fillId="0" borderId="42" xfId="0" applyFont="1" applyBorder="1" applyAlignment="1">
      <alignment horizontal="center" vertical="center"/>
    </xf>
    <xf numFmtId="167" fontId="14" fillId="0" borderId="0" xfId="0" applyNumberFormat="1" applyFont="1" applyBorder="1" applyAlignment="1">
      <alignment horizontal="center" vertical="center"/>
    </xf>
    <xf numFmtId="167" fontId="14" fillId="0" borderId="42" xfId="0" applyNumberFormat="1" applyFont="1" applyBorder="1" applyAlignment="1">
      <alignment horizontal="center" vertical="center"/>
    </xf>
    <xf numFmtId="9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42" xfId="0" applyNumberFormat="1" applyFont="1" applyBorder="1" applyAlignment="1">
      <alignment horizontal="center" vertical="center"/>
    </xf>
    <xf numFmtId="167" fontId="14" fillId="0" borderId="59" xfId="0" applyNumberFormat="1" applyFont="1" applyBorder="1" applyAlignment="1">
      <alignment horizontal="center" vertical="center"/>
    </xf>
    <xf numFmtId="0" fontId="9" fillId="0" borderId="45" xfId="0" applyFont="1" applyBorder="1" applyAlignment="1">
      <alignment vertical="center"/>
    </xf>
    <xf numFmtId="167" fontId="15" fillId="0" borderId="46" xfId="0" applyNumberFormat="1" applyFont="1" applyBorder="1" applyAlignment="1">
      <alignment horizontal="center" vertical="center"/>
    </xf>
    <xf numFmtId="167" fontId="15" fillId="0" borderId="49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45" xfId="0" applyFont="1" applyBorder="1" applyAlignment="1">
      <alignment vertical="center"/>
    </xf>
    <xf numFmtId="0" fontId="30" fillId="0" borderId="46" xfId="0" applyFont="1" applyBorder="1" applyAlignment="1">
      <alignment vertical="center"/>
    </xf>
    <xf numFmtId="0" fontId="30" fillId="0" borderId="0" xfId="0" applyFont="1" applyAlignment="1">
      <alignment vertical="center"/>
    </xf>
    <xf numFmtId="37" fontId="27" fillId="0" borderId="0" xfId="0" applyNumberFormat="1" applyFont="1" applyBorder="1" applyAlignment="1">
      <alignment vertical="center"/>
    </xf>
    <xf numFmtId="37" fontId="27" fillId="0" borderId="42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0" borderId="42" xfId="0" applyFont="1" applyBorder="1" applyAlignment="1">
      <alignment vertical="center"/>
    </xf>
    <xf numFmtId="0" fontId="0" fillId="0" borderId="41" xfId="0" applyBorder="1" applyAlignment="1">
      <alignment horizontal="left" vertical="center" indent="5"/>
    </xf>
    <xf numFmtId="0" fontId="2" fillId="0" borderId="0" xfId="0" applyFont="1" applyAlignment="1">
      <alignment vertical="center"/>
    </xf>
    <xf numFmtId="0" fontId="9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170" fontId="27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/>
    </xf>
    <xf numFmtId="171" fontId="27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169" fontId="27" fillId="0" borderId="0" xfId="0" applyNumberFormat="1" applyFont="1" applyBorder="1" applyAlignment="1">
      <alignment horizontal="center" vertical="center"/>
    </xf>
    <xf numFmtId="9" fontId="27" fillId="0" borderId="0" xfId="0" applyNumberFormat="1" applyFont="1" applyBorder="1" applyAlignment="1">
      <alignment horizontal="center" vertical="center"/>
    </xf>
    <xf numFmtId="168" fontId="27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9" fontId="27" fillId="0" borderId="0" xfId="0" applyNumberFormat="1" applyFont="1" applyBorder="1" applyAlignment="1">
      <alignment horizontal="center" vertical="center" wrapText="1"/>
    </xf>
    <xf numFmtId="9" fontId="19" fillId="0" borderId="54" xfId="2" applyFont="1" applyBorder="1" applyAlignment="1" applyProtection="1">
      <alignment horizontal="center" vertical="center"/>
    </xf>
    <xf numFmtId="9" fontId="19" fillId="0" borderId="53" xfId="2" applyFont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vertical="center" wrapText="1"/>
    </xf>
    <xf numFmtId="164" fontId="23" fillId="0" borderId="0" xfId="0" applyNumberFormat="1" applyFont="1" applyFill="1" applyBorder="1" applyAlignment="1">
      <alignment horizontal="right" vertical="center"/>
    </xf>
    <xf numFmtId="164" fontId="23" fillId="0" borderId="42" xfId="0" applyNumberFormat="1" applyFont="1" applyFill="1" applyBorder="1" applyAlignment="1">
      <alignment horizontal="right" vertical="center"/>
    </xf>
    <xf numFmtId="0" fontId="33" fillId="0" borderId="0" xfId="0" applyFont="1" applyBorder="1" applyAlignment="1">
      <alignment vertical="center"/>
    </xf>
    <xf numFmtId="0" fontId="34" fillId="2" borderId="41" xfId="0" applyFont="1" applyFill="1" applyBorder="1" applyAlignment="1" applyProtection="1">
      <alignment vertical="center"/>
    </xf>
    <xf numFmtId="164" fontId="13" fillId="0" borderId="56" xfId="0" applyNumberFormat="1" applyFont="1" applyFill="1" applyBorder="1" applyAlignment="1">
      <alignment horizontal="right" vertical="center"/>
    </xf>
    <xf numFmtId="164" fontId="13" fillId="0" borderId="57" xfId="0" applyNumberFormat="1" applyFont="1" applyFill="1" applyBorder="1" applyAlignment="1">
      <alignment horizontal="right" vertical="center"/>
    </xf>
    <xf numFmtId="164" fontId="13" fillId="0" borderId="58" xfId="0" applyNumberFormat="1" applyFont="1" applyFill="1" applyBorder="1" applyAlignment="1">
      <alignment horizontal="right" vertical="center"/>
    </xf>
    <xf numFmtId="0" fontId="34" fillId="2" borderId="45" xfId="0" applyFont="1" applyFill="1" applyBorder="1" applyAlignment="1" applyProtection="1">
      <alignment vertical="center"/>
    </xf>
    <xf numFmtId="0" fontId="17" fillId="0" borderId="46" xfId="0" applyFont="1" applyBorder="1" applyAlignment="1">
      <alignment vertical="center"/>
    </xf>
    <xf numFmtId="164" fontId="13" fillId="0" borderId="54" xfId="0" applyNumberFormat="1" applyFont="1" applyFill="1" applyBorder="1" applyAlignment="1">
      <alignment horizontal="right" vertical="center"/>
    </xf>
    <xf numFmtId="164" fontId="13" fillId="0" borderId="53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15" fillId="0" borderId="48" xfId="0" applyFont="1" applyBorder="1" applyAlignment="1">
      <alignment horizontal="center" vertical="center"/>
    </xf>
    <xf numFmtId="170" fontId="14" fillId="0" borderId="0" xfId="0" applyNumberFormat="1" applyFont="1" applyBorder="1" applyAlignment="1">
      <alignment horizontal="center" vertical="center"/>
    </xf>
    <xf numFmtId="0" fontId="35" fillId="3" borderId="0" xfId="0" applyFont="1" applyFill="1" applyAlignment="1">
      <alignment vertical="center" wrapText="1"/>
    </xf>
    <xf numFmtId="0" fontId="36" fillId="3" borderId="0" xfId="0" applyFont="1" applyFill="1" applyAlignment="1">
      <alignment vertical="center"/>
    </xf>
    <xf numFmtId="0" fontId="0" fillId="3" borderId="0" xfId="0" applyFill="1"/>
    <xf numFmtId="0" fontId="36" fillId="3" borderId="0" xfId="0" applyFont="1" applyFill="1" applyAlignment="1">
      <alignment vertical="center" wrapText="1"/>
    </xf>
    <xf numFmtId="0" fontId="37" fillId="3" borderId="0" xfId="0" applyFont="1" applyFill="1" applyAlignment="1">
      <alignment horizontal="center" vertical="center" wrapText="1"/>
    </xf>
    <xf numFmtId="0" fontId="35" fillId="3" borderId="0" xfId="0" applyFont="1" applyFill="1"/>
    <xf numFmtId="0" fontId="38" fillId="3" borderId="0" xfId="0" applyFont="1" applyFill="1" applyAlignment="1"/>
    <xf numFmtId="0" fontId="38" fillId="3" borderId="0" xfId="0" applyFont="1" applyFill="1"/>
    <xf numFmtId="173" fontId="40" fillId="5" borderId="3" xfId="4" applyNumberFormat="1" applyFont="1" applyFill="1" applyBorder="1" applyAlignment="1">
      <alignment horizontal="center"/>
    </xf>
    <xf numFmtId="0" fontId="0" fillId="0" borderId="3" xfId="0" applyFont="1" applyBorder="1"/>
    <xf numFmtId="173" fontId="35" fillId="3" borderId="3" xfId="4" applyNumberFormat="1" applyFont="1" applyFill="1" applyBorder="1"/>
    <xf numFmtId="173" fontId="35" fillId="5" borderId="3" xfId="4" applyNumberFormat="1" applyFont="1" applyFill="1" applyBorder="1"/>
    <xf numFmtId="0" fontId="40" fillId="0" borderId="0" xfId="0" applyFont="1" applyAlignment="1">
      <alignment horizontal="center"/>
    </xf>
    <xf numFmtId="0" fontId="0" fillId="3" borderId="3" xfId="0" applyFill="1" applyBorder="1"/>
    <xf numFmtId="173" fontId="35" fillId="3" borderId="3" xfId="4" applyNumberFormat="1" applyFont="1" applyFill="1" applyBorder="1" applyAlignment="1">
      <alignment horizontal="right"/>
    </xf>
    <xf numFmtId="173" fontId="35" fillId="6" borderId="3" xfId="2" applyNumberFormat="1" applyFont="1" applyFill="1" applyBorder="1" applyAlignment="1">
      <alignment horizontal="right"/>
    </xf>
    <xf numFmtId="0" fontId="39" fillId="4" borderId="65" xfId="0" applyFont="1" applyFill="1" applyBorder="1" applyAlignment="1"/>
    <xf numFmtId="0" fontId="41" fillId="3" borderId="3" xfId="0" applyFont="1" applyFill="1" applyBorder="1"/>
    <xf numFmtId="167" fontId="14" fillId="0" borderId="0" xfId="0" applyNumberFormat="1" applyFont="1" applyAlignment="1">
      <alignment horizontal="center"/>
    </xf>
    <xf numFmtId="167" fontId="15" fillId="0" borderId="48" xfId="0" applyNumberFormat="1" applyFont="1" applyBorder="1" applyAlignment="1">
      <alignment horizontal="center" vertical="center"/>
    </xf>
    <xf numFmtId="2" fontId="0" fillId="0" borderId="16" xfId="1" applyNumberFormat="1" applyFont="1" applyBorder="1" applyAlignment="1">
      <alignment horizontal="center"/>
    </xf>
    <xf numFmtId="9" fontId="14" fillId="0" borderId="0" xfId="2" applyFont="1" applyBorder="1" applyAlignment="1">
      <alignment horizontal="center" vertical="center"/>
    </xf>
    <xf numFmtId="170" fontId="15" fillId="0" borderId="0" xfId="0" applyNumberFormat="1" applyFont="1" applyBorder="1" applyAlignment="1">
      <alignment horizontal="center" vertical="center"/>
    </xf>
    <xf numFmtId="164" fontId="19" fillId="0" borderId="54" xfId="3" applyNumberFormat="1" applyFont="1" applyBorder="1" applyAlignment="1" applyProtection="1">
      <alignment horizontal="right" vertical="center"/>
    </xf>
    <xf numFmtId="9" fontId="0" fillId="0" borderId="0" xfId="2" applyFont="1" applyAlignment="1">
      <alignment horizontal="center"/>
    </xf>
    <xf numFmtId="9" fontId="0" fillId="0" borderId="0" xfId="2" applyFont="1"/>
    <xf numFmtId="164" fontId="27" fillId="0" borderId="0" xfId="0" applyNumberFormat="1" applyFont="1" applyBorder="1" applyAlignment="1">
      <alignment vertical="center"/>
    </xf>
    <xf numFmtId="164" fontId="27" fillId="0" borderId="42" xfId="0" applyNumberFormat="1" applyFont="1" applyBorder="1" applyAlignment="1">
      <alignment vertical="center"/>
    </xf>
    <xf numFmtId="164" fontId="27" fillId="0" borderId="37" xfId="0" applyNumberFormat="1" applyFont="1" applyBorder="1" applyAlignment="1">
      <alignment vertical="center"/>
    </xf>
    <xf numFmtId="164" fontId="27" fillId="0" borderId="44" xfId="0" applyNumberFormat="1" applyFont="1" applyBorder="1" applyAlignment="1">
      <alignment vertical="center"/>
    </xf>
    <xf numFmtId="164" fontId="32" fillId="0" borderId="0" xfId="0" applyNumberFormat="1" applyFont="1" applyBorder="1" applyAlignment="1">
      <alignment vertical="center"/>
    </xf>
    <xf numFmtId="164" fontId="32" fillId="0" borderId="42" xfId="0" applyNumberFormat="1" applyFont="1" applyBorder="1" applyAlignment="1">
      <alignment vertical="center"/>
    </xf>
    <xf numFmtId="164" fontId="32" fillId="0" borderId="48" xfId="0" applyNumberFormat="1" applyFont="1" applyBorder="1" applyAlignment="1">
      <alignment vertical="center"/>
    </xf>
    <xf numFmtId="164" fontId="32" fillId="0" borderId="47" xfId="0" applyNumberFormat="1" applyFont="1" applyBorder="1" applyAlignment="1">
      <alignment vertical="center"/>
    </xf>
    <xf numFmtId="164" fontId="27" fillId="0" borderId="0" xfId="0" applyNumberFormat="1" applyFont="1" applyBorder="1"/>
    <xf numFmtId="164" fontId="27" fillId="0" borderId="42" xfId="0" applyNumberFormat="1" applyFont="1" applyBorder="1"/>
    <xf numFmtId="164" fontId="31" fillId="0" borderId="54" xfId="0" applyNumberFormat="1" applyFont="1" applyBorder="1" applyAlignment="1">
      <alignment vertical="center"/>
    </xf>
    <xf numFmtId="164" fontId="31" fillId="0" borderId="53" xfId="0" applyNumberFormat="1" applyFont="1" applyBorder="1" applyAlignment="1">
      <alignment vertical="center"/>
    </xf>
    <xf numFmtId="164" fontId="29" fillId="0" borderId="39" xfId="0" applyNumberFormat="1" applyFont="1" applyBorder="1" applyAlignment="1">
      <alignment vertical="center"/>
    </xf>
    <xf numFmtId="164" fontId="29" fillId="0" borderId="40" xfId="0" applyNumberFormat="1" applyFont="1" applyBorder="1" applyAlignment="1">
      <alignment vertical="center"/>
    </xf>
    <xf numFmtId="164" fontId="29" fillId="0" borderId="46" xfId="0" applyNumberFormat="1" applyFont="1" applyBorder="1" applyAlignment="1">
      <alignment vertical="center"/>
    </xf>
    <xf numFmtId="164" fontId="29" fillId="0" borderId="49" xfId="0" applyNumberFormat="1" applyFont="1" applyBorder="1" applyAlignment="1">
      <alignment vertical="center"/>
    </xf>
    <xf numFmtId="0" fontId="11" fillId="0" borderId="50" xfId="0" applyFont="1" applyBorder="1" applyAlignment="1" applyProtection="1">
      <alignment horizontal="center" vertical="center"/>
    </xf>
    <xf numFmtId="0" fontId="19" fillId="0" borderId="51" xfId="0" applyFont="1" applyBorder="1" applyAlignment="1" applyProtection="1">
      <alignment horizontal="center" vertical="center"/>
    </xf>
    <xf numFmtId="9" fontId="19" fillId="0" borderId="51" xfId="2" applyFont="1" applyBorder="1" applyAlignment="1" applyProtection="1">
      <alignment horizontal="center" vertical="center"/>
    </xf>
    <xf numFmtId="9" fontId="19" fillId="0" borderId="52" xfId="2" applyFont="1" applyBorder="1" applyAlignment="1" applyProtection="1">
      <alignment horizontal="center" vertical="center"/>
    </xf>
    <xf numFmtId="170" fontId="19" fillId="0" borderId="0" xfId="3" applyNumberFormat="1" applyFont="1" applyBorder="1" applyAlignment="1" applyProtection="1">
      <alignment horizontal="center" vertical="center"/>
    </xf>
    <xf numFmtId="170" fontId="19" fillId="0" borderId="0" xfId="3" applyNumberFormat="1" applyFont="1" applyBorder="1" applyAlignment="1" applyProtection="1">
      <alignment horizontal="right" vertical="center"/>
    </xf>
    <xf numFmtId="9" fontId="19" fillId="0" borderId="0" xfId="2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center" vertical="center"/>
    </xf>
    <xf numFmtId="9" fontId="19" fillId="0" borderId="42" xfId="2" applyFont="1" applyBorder="1" applyAlignment="1" applyProtection="1">
      <alignment vertical="center"/>
    </xf>
    <xf numFmtId="164" fontId="43" fillId="0" borderId="0" xfId="3" applyNumberFormat="1" applyFont="1" applyBorder="1" applyAlignment="1" applyProtection="1">
      <alignment horizontal="right" vertical="center"/>
    </xf>
    <xf numFmtId="9" fontId="43" fillId="0" borderId="0" xfId="2" applyFont="1" applyBorder="1" applyAlignment="1" applyProtection="1">
      <alignment horizontal="center" vertical="center"/>
    </xf>
    <xf numFmtId="164" fontId="43" fillId="0" borderId="0" xfId="0" applyNumberFormat="1" applyFont="1" applyBorder="1" applyAlignment="1" applyProtection="1">
      <alignment horizontal="right" vertical="center"/>
    </xf>
    <xf numFmtId="9" fontId="43" fillId="0" borderId="42" xfId="2" applyFont="1" applyBorder="1" applyAlignment="1" applyProtection="1">
      <alignment vertical="center"/>
    </xf>
    <xf numFmtId="0" fontId="11" fillId="0" borderId="41" xfId="0" applyFont="1" applyBorder="1" applyAlignment="1" applyProtection="1">
      <alignment horizontal="left" vertical="center" indent="3"/>
    </xf>
    <xf numFmtId="164" fontId="43" fillId="0" borderId="37" xfId="3" applyNumberFormat="1" applyFont="1" applyBorder="1" applyAlignment="1" applyProtection="1">
      <alignment horizontal="right" vertical="center"/>
    </xf>
    <xf numFmtId="9" fontId="43" fillId="0" borderId="37" xfId="2" applyFont="1" applyBorder="1" applyAlignment="1" applyProtection="1">
      <alignment horizontal="center" vertical="center"/>
    </xf>
    <xf numFmtId="164" fontId="43" fillId="0" borderId="37" xfId="0" applyNumberFormat="1" applyFont="1" applyBorder="1" applyAlignment="1" applyProtection="1">
      <alignment horizontal="right" vertical="center"/>
    </xf>
    <xf numFmtId="9" fontId="43" fillId="0" borderId="44" xfId="2" applyFont="1" applyBorder="1" applyAlignment="1" applyProtection="1">
      <alignment vertical="center"/>
    </xf>
    <xf numFmtId="164" fontId="19" fillId="0" borderId="0" xfId="3" applyNumberFormat="1" applyFont="1" applyBorder="1" applyAlignment="1" applyProtection="1">
      <alignment horizontal="right" vertical="center"/>
    </xf>
    <xf numFmtId="9" fontId="43" fillId="0" borderId="37" xfId="2" applyFont="1" applyBorder="1" applyAlignment="1" applyProtection="1">
      <alignment horizontal="right" vertical="center"/>
    </xf>
    <xf numFmtId="9" fontId="43" fillId="0" borderId="44" xfId="2" applyFont="1" applyBorder="1" applyAlignment="1" applyProtection="1">
      <alignment horizontal="right" vertical="center"/>
    </xf>
    <xf numFmtId="9" fontId="19" fillId="0" borderId="42" xfId="2" applyFont="1" applyBorder="1" applyAlignment="1" applyProtection="1">
      <alignment horizontal="center" vertical="center"/>
    </xf>
    <xf numFmtId="0" fontId="11" fillId="0" borderId="41" xfId="0" applyFont="1" applyBorder="1" applyAlignment="1" applyProtection="1">
      <alignment vertical="center"/>
    </xf>
    <xf numFmtId="164" fontId="19" fillId="0" borderId="48" xfId="3" applyNumberFormat="1" applyFont="1" applyBorder="1" applyAlignment="1" applyProtection="1">
      <alignment horizontal="right" vertical="center"/>
    </xf>
    <xf numFmtId="9" fontId="19" fillId="0" borderId="48" xfId="2" applyFont="1" applyBorder="1" applyAlignment="1" applyProtection="1">
      <alignment horizontal="center" vertical="center"/>
    </xf>
    <xf numFmtId="164" fontId="19" fillId="0" borderId="48" xfId="0" applyNumberFormat="1" applyFont="1" applyBorder="1" applyAlignment="1" applyProtection="1">
      <alignment horizontal="right" vertical="center"/>
    </xf>
    <xf numFmtId="9" fontId="19" fillId="0" borderId="47" xfId="2" applyFont="1" applyBorder="1" applyAlignment="1" applyProtection="1">
      <alignment horizontal="center" vertical="center"/>
    </xf>
    <xf numFmtId="9" fontId="43" fillId="0" borderId="42" xfId="2" applyFont="1" applyBorder="1" applyAlignment="1" applyProtection="1">
      <alignment horizontal="center" vertical="center"/>
    </xf>
    <xf numFmtId="9" fontId="43" fillId="0" borderId="47" xfId="2" applyFont="1" applyBorder="1" applyAlignment="1" applyProtection="1">
      <alignment horizontal="center" vertical="center"/>
    </xf>
    <xf numFmtId="9" fontId="0" fillId="0" borderId="0" xfId="0" applyNumberFormat="1"/>
    <xf numFmtId="164" fontId="12" fillId="0" borderId="0" xfId="0" applyNumberFormat="1" applyFont="1" applyFill="1" applyAlignment="1">
      <alignment horizontal="right" vertical="center"/>
    </xf>
    <xf numFmtId="37" fontId="44" fillId="0" borderId="0" xfId="0" applyNumberFormat="1" applyFont="1" applyAlignment="1">
      <alignment vertical="center"/>
    </xf>
    <xf numFmtId="37" fontId="0" fillId="0" borderId="7" xfId="0" applyNumberFormat="1" applyBorder="1"/>
    <xf numFmtId="37" fontId="0" fillId="0" borderId="8" xfId="0" applyNumberFormat="1" applyBorder="1"/>
    <xf numFmtId="37" fontId="2" fillId="0" borderId="1" xfId="0" applyNumberFormat="1" applyFont="1" applyBorder="1"/>
    <xf numFmtId="164" fontId="30" fillId="0" borderId="0" xfId="0" applyNumberFormat="1" applyFont="1" applyAlignment="1">
      <alignment vertical="center"/>
    </xf>
    <xf numFmtId="173" fontId="35" fillId="3" borderId="66" xfId="4" applyNumberFormat="1" applyFont="1" applyFill="1" applyBorder="1"/>
    <xf numFmtId="173" fontId="11" fillId="6" borderId="3" xfId="0" applyNumberFormat="1" applyFont="1" applyFill="1" applyBorder="1"/>
    <xf numFmtId="0" fontId="0" fillId="0" borderId="66" xfId="0" applyFill="1" applyBorder="1"/>
    <xf numFmtId="173" fontId="45" fillId="0" borderId="3" xfId="0" applyNumberFormat="1" applyFont="1" applyBorder="1"/>
    <xf numFmtId="0" fontId="46" fillId="7" borderId="3" xfId="0" applyFont="1" applyFill="1" applyBorder="1"/>
    <xf numFmtId="175" fontId="0" fillId="0" borderId="12" xfId="0" applyNumberFormat="1" applyBorder="1" applyAlignment="1">
      <alignment horizontal="center" vertical="center"/>
    </xf>
    <xf numFmtId="175" fontId="0" fillId="0" borderId="17" xfId="0" applyNumberFormat="1" applyBorder="1" applyAlignment="1">
      <alignment horizontal="center" vertical="center"/>
    </xf>
    <xf numFmtId="175" fontId="0" fillId="0" borderId="18" xfId="0" applyNumberFormat="1" applyBorder="1" applyAlignment="1">
      <alignment horizontal="center" vertical="center"/>
    </xf>
    <xf numFmtId="175" fontId="0" fillId="0" borderId="19" xfId="0" applyNumberFormat="1" applyBorder="1" applyAlignment="1">
      <alignment horizontal="center" vertical="center"/>
    </xf>
    <xf numFmtId="175" fontId="0" fillId="0" borderId="0" xfId="0" applyNumberFormat="1" applyAlignment="1">
      <alignment horizontal="center" vertical="center"/>
    </xf>
    <xf numFmtId="175" fontId="0" fillId="0" borderId="15" xfId="0" applyNumberFormat="1" applyBorder="1" applyAlignment="1">
      <alignment horizontal="center" vertical="center"/>
    </xf>
    <xf numFmtId="175" fontId="0" fillId="0" borderId="3" xfId="0" applyNumberFormat="1" applyBorder="1" applyAlignment="1">
      <alignment horizontal="center" vertical="center"/>
    </xf>
    <xf numFmtId="175" fontId="0" fillId="0" borderId="16" xfId="0" applyNumberFormat="1" applyBorder="1" applyAlignment="1">
      <alignment horizontal="center" vertical="center"/>
    </xf>
    <xf numFmtId="175" fontId="0" fillId="0" borderId="0" xfId="0" applyNumberFormat="1" applyBorder="1" applyAlignment="1">
      <alignment horizontal="center" vertical="center"/>
    </xf>
    <xf numFmtId="175" fontId="0" fillId="0" borderId="13" xfId="0" applyNumberFormat="1" applyBorder="1" applyAlignment="1">
      <alignment horizontal="center" vertical="center"/>
    </xf>
    <xf numFmtId="175" fontId="0" fillId="0" borderId="14" xfId="0" applyNumberFormat="1" applyBorder="1" applyAlignment="1">
      <alignment horizontal="center" vertical="center"/>
    </xf>
    <xf numFmtId="175" fontId="0" fillId="0" borderId="6" xfId="0" applyNumberFormat="1" applyBorder="1" applyAlignment="1">
      <alignment horizontal="center" vertical="center"/>
    </xf>
    <xf numFmtId="175" fontId="0" fillId="0" borderId="7" xfId="0" applyNumberFormat="1" applyBorder="1" applyAlignment="1">
      <alignment horizontal="center" vertical="center"/>
    </xf>
    <xf numFmtId="175" fontId="0" fillId="0" borderId="8" xfId="0" applyNumberFormat="1" applyBorder="1" applyAlignment="1">
      <alignment horizontal="center" vertical="center"/>
    </xf>
    <xf numFmtId="167" fontId="27" fillId="0" borderId="0" xfId="0" applyNumberFormat="1" applyFont="1" applyBorder="1" applyAlignment="1">
      <alignment horizontal="center" vertical="center"/>
    </xf>
    <xf numFmtId="173" fontId="35" fillId="8" borderId="3" xfId="4" applyNumberFormat="1" applyFont="1" applyFill="1" applyBorder="1"/>
    <xf numFmtId="3" fontId="35" fillId="3" borderId="3" xfId="4" applyNumberFormat="1" applyFont="1" applyFill="1" applyBorder="1"/>
    <xf numFmtId="0" fontId="42" fillId="0" borderId="0" xfId="7"/>
    <xf numFmtId="0" fontId="49" fillId="0" borderId="67" xfId="7" applyFont="1" applyBorder="1" applyAlignment="1" applyProtection="1">
      <alignment horizontal="left"/>
    </xf>
    <xf numFmtId="177" fontId="49" fillId="0" borderId="67" xfId="7" applyNumberFormat="1" applyFont="1" applyBorder="1" applyAlignment="1" applyProtection="1">
      <alignment horizontal="center"/>
    </xf>
    <xf numFmtId="0" fontId="50" fillId="0" borderId="68" xfId="7" applyFont="1" applyBorder="1" applyAlignment="1" applyProtection="1">
      <alignment horizontal="left"/>
    </xf>
    <xf numFmtId="0" fontId="50" fillId="0" borderId="68" xfId="7" applyFont="1" applyBorder="1" applyAlignment="1" applyProtection="1">
      <alignment horizontal="center"/>
    </xf>
    <xf numFmtId="0" fontId="49" fillId="0" borderId="69" xfId="7" applyFont="1" applyBorder="1" applyAlignment="1" applyProtection="1">
      <alignment horizontal="center"/>
    </xf>
    <xf numFmtId="0" fontId="50" fillId="0" borderId="0" xfId="7" applyFont="1" applyAlignment="1" applyProtection="1">
      <alignment horizontal="left"/>
    </xf>
    <xf numFmtId="0" fontId="51" fillId="0" borderId="0" xfId="7" applyFont="1" applyProtection="1">
      <protection locked="0"/>
    </xf>
    <xf numFmtId="0" fontId="50" fillId="0" borderId="0" xfId="7" applyFont="1" applyBorder="1" applyAlignment="1" applyProtection="1">
      <alignment horizontal="left"/>
    </xf>
    <xf numFmtId="0" fontId="51" fillId="0" borderId="0" xfId="7" applyFont="1" applyBorder="1" applyProtection="1">
      <protection locked="0"/>
    </xf>
    <xf numFmtId="0" fontId="50" fillId="0" borderId="70" xfId="7" applyFont="1" applyBorder="1" applyAlignment="1" applyProtection="1">
      <alignment horizontal="left"/>
    </xf>
    <xf numFmtId="0" fontId="50" fillId="0" borderId="71" xfId="7" applyFont="1" applyBorder="1" applyProtection="1"/>
    <xf numFmtId="0" fontId="50" fillId="0" borderId="72" xfId="7" applyFont="1" applyBorder="1" applyAlignment="1" applyProtection="1">
      <alignment horizontal="left"/>
    </xf>
    <xf numFmtId="0" fontId="50" fillId="0" borderId="0" xfId="7" applyFont="1" applyBorder="1"/>
    <xf numFmtId="179" fontId="42" fillId="0" borderId="0" xfId="8" applyNumberFormat="1" applyFill="1" applyBorder="1" applyAlignment="1" applyProtection="1">
      <protection locked="0"/>
    </xf>
    <xf numFmtId="3" fontId="50" fillId="0" borderId="71" xfId="7" applyNumberFormat="1" applyFont="1" applyBorder="1" applyProtection="1"/>
    <xf numFmtId="3" fontId="50" fillId="0" borderId="0" xfId="7" applyNumberFormat="1" applyFont="1"/>
    <xf numFmtId="3" fontId="51" fillId="0" borderId="0" xfId="7" applyNumberFormat="1" applyFont="1" applyProtection="1">
      <protection locked="0"/>
    </xf>
    <xf numFmtId="3" fontId="51" fillId="0" borderId="0" xfId="7" applyNumberFormat="1" applyFont="1" applyBorder="1" applyProtection="1">
      <protection locked="0"/>
    </xf>
    <xf numFmtId="3" fontId="42" fillId="0" borderId="0" xfId="7" applyNumberFormat="1"/>
    <xf numFmtId="3" fontId="50" fillId="0" borderId="0" xfId="7" applyNumberFormat="1" applyFont="1" applyBorder="1" applyProtection="1"/>
    <xf numFmtId="3" fontId="50" fillId="0" borderId="0" xfId="7" applyNumberFormat="1" applyFont="1" applyBorder="1"/>
    <xf numFmtId="0" fontId="50" fillId="0" borderId="73" xfId="7" applyFont="1" applyBorder="1" applyAlignment="1" applyProtection="1">
      <alignment horizontal="left"/>
    </xf>
    <xf numFmtId="3" fontId="50" fillId="0" borderId="74" xfId="7" applyNumberFormat="1" applyFont="1" applyBorder="1" applyProtection="1"/>
    <xf numFmtId="3" fontId="50" fillId="0" borderId="75" xfId="7" applyNumberFormat="1" applyFont="1" applyBorder="1" applyProtection="1"/>
    <xf numFmtId="0" fontId="50" fillId="0" borderId="75" xfId="7" applyFont="1" applyBorder="1" applyAlignment="1" applyProtection="1">
      <alignment horizontal="left"/>
    </xf>
    <xf numFmtId="0" fontId="50" fillId="0" borderId="0" xfId="7" applyFont="1"/>
    <xf numFmtId="3" fontId="50" fillId="0" borderId="0" xfId="7" applyNumberFormat="1" applyFont="1" applyBorder="1" applyProtection="1">
      <protection locked="0"/>
    </xf>
    <xf numFmtId="0" fontId="42" fillId="0" borderId="0" xfId="7" applyBorder="1"/>
    <xf numFmtId="178" fontId="42" fillId="0" borderId="0" xfId="8" applyNumberFormat="1" applyFill="1" applyBorder="1" applyAlignment="1" applyProtection="1"/>
    <xf numFmtId="4" fontId="42" fillId="0" borderId="0" xfId="7" applyNumberFormat="1" applyBorder="1"/>
    <xf numFmtId="4" fontId="42" fillId="0" borderId="0" xfId="7" applyNumberFormat="1"/>
    <xf numFmtId="3" fontId="50" fillId="0" borderId="0" xfId="7" applyNumberFormat="1" applyFont="1" applyProtection="1"/>
    <xf numFmtId="0" fontId="49" fillId="0" borderId="70" xfId="7" applyFont="1" applyBorder="1" applyAlignment="1" applyProtection="1">
      <alignment horizontal="left"/>
    </xf>
    <xf numFmtId="3" fontId="49" fillId="0" borderId="71" xfId="7" applyNumberFormat="1" applyFont="1" applyBorder="1" applyProtection="1"/>
    <xf numFmtId="0" fontId="52" fillId="0" borderId="0" xfId="7" applyFont="1" applyBorder="1"/>
    <xf numFmtId="176" fontId="27" fillId="0" borderId="0" xfId="0" applyNumberFormat="1" applyFont="1" applyBorder="1" applyAlignment="1">
      <alignment vertical="center"/>
    </xf>
    <xf numFmtId="176" fontId="27" fillId="0" borderId="42" xfId="0" applyNumberFormat="1" applyFont="1" applyBorder="1" applyAlignment="1">
      <alignment vertical="center"/>
    </xf>
    <xf numFmtId="0" fontId="11" fillId="0" borderId="0" xfId="0" applyFont="1" applyAlignment="1" applyProtection="1">
      <alignment vertical="center"/>
    </xf>
    <xf numFmtId="9" fontId="43" fillId="0" borderId="0" xfId="2" applyFont="1" applyAlignment="1" applyProtection="1">
      <alignment horizontal="center"/>
    </xf>
    <xf numFmtId="170" fontId="43" fillId="0" borderId="0" xfId="0" applyNumberFormat="1" applyFont="1" applyAlignment="1" applyProtection="1">
      <alignment horizontal="right"/>
    </xf>
    <xf numFmtId="170" fontId="43" fillId="0" borderId="0" xfId="0" applyNumberFormat="1" applyFont="1" applyAlignment="1" applyProtection="1">
      <alignment horizontal="center"/>
    </xf>
    <xf numFmtId="9" fontId="43" fillId="0" borderId="0" xfId="2" applyFont="1" applyProtection="1"/>
    <xf numFmtId="180" fontId="43" fillId="0" borderId="0" xfId="0" applyNumberFormat="1" applyFont="1" applyAlignment="1" applyProtection="1">
      <alignment horizontal="center"/>
    </xf>
    <xf numFmtId="181" fontId="0" fillId="0" borderId="0" xfId="0" applyNumberFormat="1"/>
    <xf numFmtId="182" fontId="14" fillId="0" borderId="0" xfId="2" applyNumberFormat="1" applyFont="1" applyBorder="1" applyAlignment="1">
      <alignment horizontal="center" vertical="center"/>
    </xf>
    <xf numFmtId="9" fontId="43" fillId="0" borderId="0" xfId="2" applyFont="1" applyBorder="1" applyAlignment="1" applyProtection="1">
      <alignment horizontal="right" vertical="center"/>
    </xf>
    <xf numFmtId="9" fontId="43" fillId="0" borderId="42" xfId="2" applyFont="1" applyBorder="1" applyAlignment="1" applyProtection="1">
      <alignment horizontal="right" vertical="center"/>
    </xf>
    <xf numFmtId="171" fontId="43" fillId="0" borderId="0" xfId="3" applyNumberFormat="1" applyFont="1" applyBorder="1" applyAlignment="1" applyProtection="1">
      <alignment horizontal="center"/>
    </xf>
    <xf numFmtId="3" fontId="43" fillId="0" borderId="37" xfId="3" applyNumberFormat="1" applyFont="1" applyBorder="1" applyAlignment="1" applyProtection="1">
      <alignment horizontal="right" vertical="center"/>
    </xf>
    <xf numFmtId="180" fontId="44" fillId="0" borderId="0" xfId="0" applyNumberFormat="1" applyFont="1" applyAlignment="1">
      <alignment vertical="center"/>
    </xf>
    <xf numFmtId="37" fontId="0" fillId="0" borderId="0" xfId="0" applyNumberFormat="1" applyFill="1" applyBorder="1" applyAlignment="1">
      <alignment horizontal="right" vertical="center"/>
    </xf>
    <xf numFmtId="164" fontId="43" fillId="0" borderId="76" xfId="3" applyNumberFormat="1" applyFont="1" applyBorder="1" applyAlignment="1" applyProtection="1">
      <alignment horizontal="right" vertical="center"/>
    </xf>
    <xf numFmtId="164" fontId="43" fillId="0" borderId="2" xfId="3" applyNumberFormat="1" applyFont="1" applyBorder="1" applyAlignment="1" applyProtection="1">
      <alignment horizontal="right" vertical="center"/>
    </xf>
    <xf numFmtId="9" fontId="43" fillId="0" borderId="2" xfId="2" applyFont="1" applyBorder="1" applyAlignment="1" applyProtection="1">
      <alignment horizontal="center" vertical="center"/>
    </xf>
    <xf numFmtId="9" fontId="43" fillId="0" borderId="77" xfId="2" applyFont="1" applyBorder="1" applyAlignment="1" applyProtection="1">
      <alignment horizontal="center" vertical="center"/>
    </xf>
    <xf numFmtId="0" fontId="8" fillId="0" borderId="76" xfId="0" applyFont="1" applyBorder="1" applyAlignment="1" applyProtection="1">
      <alignment vertical="center"/>
    </xf>
    <xf numFmtId="164" fontId="19" fillId="0" borderId="2" xfId="3" applyNumberFormat="1" applyFont="1" applyBorder="1" applyAlignment="1" applyProtection="1">
      <alignment horizontal="right" vertical="center"/>
    </xf>
    <xf numFmtId="9" fontId="19" fillId="0" borderId="2" xfId="2" applyFont="1" applyBorder="1" applyAlignment="1" applyProtection="1">
      <alignment horizontal="center" vertical="center"/>
    </xf>
    <xf numFmtId="164" fontId="19" fillId="0" borderId="2" xfId="0" applyNumberFormat="1" applyFont="1" applyBorder="1" applyAlignment="1" applyProtection="1">
      <alignment horizontal="right" vertical="center"/>
    </xf>
    <xf numFmtId="9" fontId="19" fillId="0" borderId="77" xfId="2" applyFont="1" applyBorder="1" applyAlignment="1" applyProtection="1">
      <alignment horizontal="center" vertical="center"/>
    </xf>
    <xf numFmtId="170" fontId="0" fillId="7" borderId="26" xfId="0" applyNumberFormat="1" applyFill="1" applyBorder="1" applyAlignment="1">
      <alignment horizontal="center" vertical="center"/>
    </xf>
    <xf numFmtId="170" fontId="0" fillId="7" borderId="25" xfId="0" applyNumberFormat="1" applyFill="1" applyBorder="1" applyAlignment="1">
      <alignment horizontal="center" vertical="center"/>
    </xf>
    <xf numFmtId="170" fontId="0" fillId="7" borderId="27" xfId="0" applyNumberFormat="1" applyFill="1" applyBorder="1" applyAlignment="1">
      <alignment horizontal="center" vertical="center"/>
    </xf>
    <xf numFmtId="170" fontId="0" fillId="7" borderId="24" xfId="0" applyNumberFormat="1" applyFill="1" applyBorder="1" applyAlignment="1">
      <alignment horizontal="center" vertical="center"/>
    </xf>
    <xf numFmtId="170" fontId="0" fillId="7" borderId="15" xfId="0" applyNumberFormat="1" applyFill="1" applyBorder="1" applyAlignment="1">
      <alignment horizontal="center" vertical="center"/>
    </xf>
    <xf numFmtId="170" fontId="0" fillId="7" borderId="3" xfId="0" applyNumberForma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170" fontId="0" fillId="7" borderId="2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5" fontId="0" fillId="0" borderId="78" xfId="0" applyNumberFormat="1" applyBorder="1" applyAlignment="1">
      <alignment horizontal="center" vertical="center"/>
    </xf>
    <xf numFmtId="0" fontId="0" fillId="7" borderId="78" xfId="0" applyFill="1" applyBorder="1" applyAlignment="1">
      <alignment horizontal="center"/>
    </xf>
    <xf numFmtId="0" fontId="0" fillId="7" borderId="0" xfId="0" applyFill="1"/>
    <xf numFmtId="175" fontId="0" fillId="7" borderId="12" xfId="0" applyNumberFormat="1" applyFill="1" applyBorder="1" applyAlignment="1">
      <alignment horizontal="center" vertical="center"/>
    </xf>
    <xf numFmtId="175" fontId="0" fillId="7" borderId="79" xfId="0" applyNumberFormat="1" applyFill="1" applyBorder="1" applyAlignment="1">
      <alignment horizontal="center" vertical="center"/>
    </xf>
    <xf numFmtId="175" fontId="0" fillId="7" borderId="0" xfId="0" applyNumberFormat="1" applyFill="1" applyAlignment="1">
      <alignment horizontal="center" vertical="center"/>
    </xf>
    <xf numFmtId="175" fontId="0" fillId="7" borderId="80" xfId="0" applyNumberFormat="1" applyFill="1" applyBorder="1" applyAlignment="1">
      <alignment horizontal="center" vertical="center"/>
    </xf>
    <xf numFmtId="175" fontId="0" fillId="7" borderId="15" xfId="0" applyNumberFormat="1" applyFill="1" applyBorder="1" applyAlignment="1">
      <alignment horizontal="center" vertical="center"/>
    </xf>
    <xf numFmtId="175" fontId="0" fillId="7" borderId="0" xfId="0" applyNumberFormat="1" applyFill="1" applyBorder="1" applyAlignment="1">
      <alignment horizontal="center" vertical="center"/>
    </xf>
    <xf numFmtId="175" fontId="0" fillId="7" borderId="81" xfId="0" applyNumberFormat="1" applyFill="1" applyBorder="1" applyAlignment="1">
      <alignment horizontal="center" vertical="center"/>
    </xf>
    <xf numFmtId="175" fontId="0" fillId="7" borderId="17" xfId="0" applyNumberFormat="1" applyFill="1" applyBorder="1" applyAlignment="1">
      <alignment horizontal="center" vertical="center"/>
    </xf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center"/>
    </xf>
    <xf numFmtId="0" fontId="43" fillId="0" borderId="0" xfId="0" applyFont="1" applyAlignment="1" applyProtection="1">
      <alignment horizontal="center" vertical="center"/>
    </xf>
    <xf numFmtId="0" fontId="43" fillId="0" borderId="0" xfId="0" applyFont="1" applyProtection="1"/>
    <xf numFmtId="0" fontId="43" fillId="0" borderId="0" xfId="0" applyFont="1" applyAlignment="1" applyProtection="1">
      <alignment vertical="center"/>
    </xf>
    <xf numFmtId="1" fontId="43" fillId="0" borderId="0" xfId="0" applyNumberFormat="1" applyFont="1" applyProtection="1"/>
    <xf numFmtId="173" fontId="55" fillId="5" borderId="3" xfId="4" applyNumberFormat="1" applyFont="1" applyFill="1" applyBorder="1"/>
    <xf numFmtId="183" fontId="14" fillId="0" borderId="0" xfId="1" applyNumberFormat="1" applyFont="1" applyAlignment="1">
      <alignment horizontal="center"/>
    </xf>
    <xf numFmtId="183" fontId="15" fillId="0" borderId="48" xfId="1" applyNumberFormat="1" applyFont="1" applyBorder="1" applyAlignment="1">
      <alignment horizontal="center" vertical="center"/>
    </xf>
    <xf numFmtId="183" fontId="15" fillId="0" borderId="47" xfId="1" applyNumberFormat="1" applyFont="1" applyBorder="1" applyAlignment="1">
      <alignment horizontal="center" vertical="center"/>
    </xf>
    <xf numFmtId="0" fontId="57" fillId="10" borderId="4" xfId="9" applyFont="1" applyFill="1" applyBorder="1"/>
    <xf numFmtId="0" fontId="58" fillId="9" borderId="5" xfId="0" applyFont="1" applyFill="1" applyBorder="1"/>
    <xf numFmtId="166" fontId="0" fillId="0" borderId="86" xfId="1" applyFont="1" applyBorder="1"/>
    <xf numFmtId="0" fontId="57" fillId="10" borderId="87" xfId="9" applyFont="1" applyFill="1" applyBorder="1"/>
    <xf numFmtId="0" fontId="58" fillId="9" borderId="0" xfId="0" applyFont="1" applyFill="1" applyBorder="1"/>
    <xf numFmtId="166" fontId="0" fillId="0" borderId="88" xfId="1" applyFont="1" applyBorder="1"/>
    <xf numFmtId="0" fontId="57" fillId="10" borderId="89" xfId="9" applyFont="1" applyFill="1" applyBorder="1"/>
    <xf numFmtId="0" fontId="58" fillId="9" borderId="85" xfId="0" applyFont="1" applyFill="1" applyBorder="1"/>
    <xf numFmtId="166" fontId="0" fillId="0" borderId="90" xfId="1" applyFont="1" applyBorder="1"/>
    <xf numFmtId="0" fontId="60" fillId="0" borderId="94" xfId="11" applyFont="1" applyBorder="1"/>
    <xf numFmtId="0" fontId="59" fillId="0" borderId="94" xfId="11" applyBorder="1"/>
    <xf numFmtId="0" fontId="59" fillId="0" borderId="0" xfId="11"/>
    <xf numFmtId="0" fontId="59" fillId="0" borderId="0" xfId="11" quotePrefix="1" applyAlignment="1">
      <alignment horizontal="left"/>
    </xf>
    <xf numFmtId="0" fontId="61" fillId="0" borderId="0" xfId="11" quotePrefix="1" applyFont="1" applyAlignment="1">
      <alignment horizontal="left"/>
    </xf>
    <xf numFmtId="0" fontId="61" fillId="0" borderId="94" xfId="11" applyFont="1" applyBorder="1"/>
    <xf numFmtId="0" fontId="59" fillId="0" borderId="94" xfId="11" applyBorder="1" applyAlignment="1">
      <alignment horizontal="right"/>
    </xf>
    <xf numFmtId="0" fontId="61" fillId="0" borderId="94" xfId="11" applyFont="1" applyBorder="1" applyAlignment="1">
      <alignment horizontal="left"/>
    </xf>
    <xf numFmtId="0" fontId="59" fillId="0" borderId="0" xfId="11" applyAlignment="1">
      <alignment horizontal="right"/>
    </xf>
    <xf numFmtId="4" fontId="61" fillId="0" borderId="96" xfId="11" applyNumberFormat="1" applyFont="1" applyBorder="1"/>
    <xf numFmtId="14" fontId="59" fillId="0" borderId="92" xfId="11" applyNumberFormat="1" applyBorder="1" applyAlignment="1">
      <alignment horizontal="left"/>
    </xf>
    <xf numFmtId="10" fontId="59" fillId="0" borderId="66" xfId="11" applyNumberFormat="1" applyBorder="1" applyAlignment="1">
      <alignment horizontal="left"/>
    </xf>
    <xf numFmtId="0" fontId="59" fillId="0" borderId="92" xfId="11" applyBorder="1" applyAlignment="1">
      <alignment horizontal="left"/>
    </xf>
    <xf numFmtId="1" fontId="59" fillId="0" borderId="66" xfId="11" applyNumberFormat="1" applyBorder="1" applyAlignment="1">
      <alignment horizontal="left"/>
    </xf>
    <xf numFmtId="0" fontId="59" fillId="0" borderId="0" xfId="11" applyBorder="1" applyAlignment="1">
      <alignment horizontal="left"/>
    </xf>
    <xf numFmtId="0" fontId="59" fillId="0" borderId="66" xfId="11" applyBorder="1" applyAlignment="1">
      <alignment horizontal="left"/>
    </xf>
    <xf numFmtId="0" fontId="59" fillId="0" borderId="24" xfId="11" applyBorder="1"/>
    <xf numFmtId="0" fontId="59" fillId="0" borderId="84" xfId="11" applyBorder="1" applyAlignment="1">
      <alignment horizontal="right"/>
    </xf>
    <xf numFmtId="1" fontId="59" fillId="0" borderId="3" xfId="11" applyNumberFormat="1" applyBorder="1" applyAlignment="1">
      <alignment horizontal="left"/>
    </xf>
    <xf numFmtId="14" fontId="59" fillId="0" borderId="27" xfId="11" applyNumberFormat="1" applyBorder="1" applyAlignment="1">
      <alignment horizontal="left"/>
    </xf>
    <xf numFmtId="0" fontId="61" fillId="0" borderId="0" xfId="11" applyFont="1"/>
    <xf numFmtId="0" fontId="62" fillId="0" borderId="0" xfId="11" applyFont="1"/>
    <xf numFmtId="184" fontId="61" fillId="0" borderId="0" xfId="11" applyNumberFormat="1" applyFont="1"/>
    <xf numFmtId="184" fontId="59" fillId="0" borderId="0" xfId="11" applyNumberFormat="1" applyFont="1"/>
    <xf numFmtId="4" fontId="59" fillId="0" borderId="0" xfId="11" applyNumberFormat="1" applyFont="1"/>
    <xf numFmtId="0" fontId="59" fillId="0" borderId="0" xfId="11" applyAlignment="1">
      <alignment horizontal="left"/>
    </xf>
    <xf numFmtId="0" fontId="61" fillId="0" borderId="96" xfId="11" applyFont="1" applyBorder="1" applyAlignment="1">
      <alignment horizontal="center"/>
    </xf>
    <xf numFmtId="0" fontId="61" fillId="0" borderId="27" xfId="11" applyFont="1" applyBorder="1" applyAlignment="1">
      <alignment horizontal="center"/>
    </xf>
    <xf numFmtId="0" fontId="61" fillId="0" borderId="66" xfId="11" applyFont="1" applyBorder="1" applyAlignment="1">
      <alignment horizontal="center"/>
    </xf>
    <xf numFmtId="14" fontId="61" fillId="0" borderId="66" xfId="11" applyNumberFormat="1" applyFont="1" applyBorder="1" applyAlignment="1">
      <alignment horizontal="center"/>
    </xf>
    <xf numFmtId="4" fontId="61" fillId="0" borderId="66" xfId="11" applyNumberFormat="1" applyFont="1" applyBorder="1" applyAlignment="1">
      <alignment horizontal="center"/>
    </xf>
    <xf numFmtId="4" fontId="61" fillId="0" borderId="66" xfId="12" applyFont="1" applyBorder="1" applyAlignment="1">
      <alignment horizontal="center"/>
    </xf>
    <xf numFmtId="4" fontId="61" fillId="0" borderId="27" xfId="11" applyNumberFormat="1" applyFont="1" applyBorder="1" applyAlignment="1">
      <alignment horizontal="center"/>
    </xf>
    <xf numFmtId="0" fontId="59" fillId="0" borderId="96" xfId="11" applyBorder="1" applyAlignment="1">
      <alignment horizontal="center"/>
    </xf>
    <xf numFmtId="14" fontId="59" fillId="0" borderId="96" xfId="11" applyNumberFormat="1" applyBorder="1" applyAlignment="1">
      <alignment horizontal="center"/>
    </xf>
    <xf numFmtId="4" fontId="59" fillId="0" borderId="96" xfId="11" applyNumberFormat="1" applyBorder="1" applyAlignment="1">
      <alignment horizontal="center"/>
    </xf>
    <xf numFmtId="3" fontId="59" fillId="0" borderId="3" xfId="11" applyNumberFormat="1" applyFont="1" applyBorder="1" applyAlignment="1">
      <alignment horizontal="center"/>
    </xf>
    <xf numFmtId="0" fontId="59" fillId="0" borderId="66" xfId="11" applyBorder="1" applyAlignment="1">
      <alignment horizontal="center"/>
    </xf>
    <xf numFmtId="14" fontId="59" fillId="0" borderId="66" xfId="11" applyNumberFormat="1" applyBorder="1" applyAlignment="1">
      <alignment horizontal="center"/>
    </xf>
    <xf numFmtId="4" fontId="59" fillId="0" borderId="66" xfId="11" applyNumberFormat="1" applyBorder="1" applyAlignment="1">
      <alignment horizontal="center"/>
    </xf>
    <xf numFmtId="0" fontId="59" fillId="0" borderId="27" xfId="11" applyBorder="1" applyAlignment="1">
      <alignment horizontal="center"/>
    </xf>
    <xf numFmtId="4" fontId="59" fillId="0" borderId="27" xfId="11" applyNumberFormat="1" applyBorder="1" applyAlignment="1">
      <alignment horizontal="center"/>
    </xf>
    <xf numFmtId="14" fontId="59" fillId="0" borderId="27" xfId="11" applyNumberFormat="1" applyBorder="1" applyAlignment="1">
      <alignment horizontal="center"/>
    </xf>
    <xf numFmtId="0" fontId="59" fillId="0" borderId="91" xfId="11" applyBorder="1"/>
    <xf numFmtId="0" fontId="59" fillId="0" borderId="0" xfId="11" applyBorder="1"/>
    <xf numFmtId="0" fontId="59" fillId="0" borderId="93" xfId="11" applyBorder="1"/>
    <xf numFmtId="3" fontId="59" fillId="0" borderId="0" xfId="11" applyNumberFormat="1" applyBorder="1"/>
    <xf numFmtId="3" fontId="59" fillId="0" borderId="93" xfId="11" applyNumberFormat="1" applyBorder="1"/>
    <xf numFmtId="3" fontId="59" fillId="0" borderId="94" xfId="11" applyNumberFormat="1" applyBorder="1"/>
    <xf numFmtId="3" fontId="59" fillId="0" borderId="95" xfId="11" applyNumberFormat="1" applyBorder="1"/>
    <xf numFmtId="43" fontId="0" fillId="0" borderId="0" xfId="0" applyNumberFormat="1"/>
    <xf numFmtId="0" fontId="41" fillId="3" borderId="3" xfId="9" applyFont="1" applyFill="1" applyBorder="1"/>
    <xf numFmtId="0" fontId="1" fillId="0" borderId="3" xfId="9" applyFont="1" applyBorder="1"/>
    <xf numFmtId="0" fontId="63" fillId="0" borderId="0" xfId="0" applyFont="1" applyAlignment="1" applyProtection="1">
      <alignment horizontal="center" vertical="center"/>
    </xf>
    <xf numFmtId="0" fontId="63" fillId="0" borderId="0" xfId="0" applyFont="1" applyProtection="1"/>
    <xf numFmtId="0" fontId="63" fillId="0" borderId="0" xfId="0" applyFont="1" applyAlignment="1" applyProtection="1">
      <alignment vertical="center"/>
    </xf>
    <xf numFmtId="173" fontId="64" fillId="3" borderId="3" xfId="4" applyNumberFormat="1" applyFont="1" applyFill="1" applyBorder="1"/>
    <xf numFmtId="14" fontId="59" fillId="0" borderId="0" xfId="11" applyNumberFormat="1"/>
    <xf numFmtId="0" fontId="49" fillId="0" borderId="70" xfId="7" applyFont="1" applyBorder="1" applyAlignment="1" applyProtection="1">
      <alignment horizontal="center"/>
    </xf>
    <xf numFmtId="0" fontId="49" fillId="0" borderId="0" xfId="7" applyFont="1" applyBorder="1" applyAlignment="1" applyProtection="1">
      <alignment horizontal="center"/>
    </xf>
    <xf numFmtId="0" fontId="47" fillId="0" borderId="0" xfId="7" applyFont="1" applyBorder="1" applyAlignment="1">
      <alignment horizontal="center"/>
    </xf>
    <xf numFmtId="0" fontId="48" fillId="0" borderId="0" xfId="7" applyFont="1" applyBorder="1" applyAlignment="1">
      <alignment horizontal="center"/>
    </xf>
    <xf numFmtId="0" fontId="49" fillId="0" borderId="69" xfId="7" applyFont="1" applyBorder="1" applyAlignment="1" applyProtection="1">
      <alignment horizontal="center"/>
    </xf>
    <xf numFmtId="0" fontId="18" fillId="2" borderId="38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 applyProtection="1">
      <alignment horizontal="center" vertical="center"/>
    </xf>
    <xf numFmtId="0" fontId="18" fillId="2" borderId="51" xfId="0" applyFont="1" applyFill="1" applyBorder="1" applyAlignment="1" applyProtection="1">
      <alignment horizontal="center" vertical="center"/>
    </xf>
    <xf numFmtId="0" fontId="18" fillId="2" borderId="52" xfId="0" applyFont="1" applyFill="1" applyBorder="1" applyAlignment="1" applyProtection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/>
    </xf>
    <xf numFmtId="0" fontId="0" fillId="7" borderId="84" xfId="0" applyFill="1" applyBorder="1" applyAlignment="1">
      <alignment horizontal="center"/>
    </xf>
    <xf numFmtId="0" fontId="0" fillId="7" borderId="80" xfId="0" applyFill="1" applyBorder="1" applyAlignment="1">
      <alignment horizontal="center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8" fillId="2" borderId="29" xfId="0" applyFont="1" applyFill="1" applyBorder="1" applyAlignment="1">
      <alignment horizontal="center"/>
    </xf>
    <xf numFmtId="0" fontId="18" fillId="2" borderId="30" xfId="0" applyFont="1" applyFill="1" applyBorder="1" applyAlignment="1">
      <alignment horizontal="center"/>
    </xf>
    <xf numFmtId="0" fontId="18" fillId="2" borderId="31" xfId="0" applyFont="1" applyFill="1" applyBorder="1" applyAlignment="1">
      <alignment horizontal="center"/>
    </xf>
    <xf numFmtId="0" fontId="39" fillId="4" borderId="60" xfId="0" applyFont="1" applyFill="1" applyBorder="1" applyAlignment="1">
      <alignment horizontal="center"/>
    </xf>
    <xf numFmtId="0" fontId="39" fillId="4" borderId="61" xfId="0" applyFont="1" applyFill="1" applyBorder="1" applyAlignment="1">
      <alignment horizontal="center"/>
    </xf>
    <xf numFmtId="0" fontId="39" fillId="4" borderId="64" xfId="0" applyFont="1" applyFill="1" applyBorder="1" applyAlignment="1">
      <alignment horizontal="center"/>
    </xf>
    <xf numFmtId="0" fontId="39" fillId="4" borderId="60" xfId="0" applyFont="1" applyFill="1" applyBorder="1" applyAlignment="1">
      <alignment horizontal="center" wrapText="1"/>
    </xf>
    <xf numFmtId="0" fontId="39" fillId="4" borderId="62" xfId="0" applyFont="1" applyFill="1" applyBorder="1" applyAlignment="1">
      <alignment horizontal="center"/>
    </xf>
    <xf numFmtId="0" fontId="39" fillId="4" borderId="63" xfId="0" applyFont="1" applyFill="1" applyBorder="1" applyAlignment="1">
      <alignment horizontal="center"/>
    </xf>
  </cellXfs>
  <cellStyles count="13">
    <cellStyle name="Comma 2" xfId="4"/>
    <cellStyle name="Euro" xfId="5"/>
    <cellStyle name="Migliaia" xfId="1" builtinId="3"/>
    <cellStyle name="Migliaia 2" xfId="8"/>
    <cellStyle name="Migliaia 3" xfId="6"/>
    <cellStyle name="Migliaia 4" xfId="12"/>
    <cellStyle name="Normale" xfId="0" builtinId="0"/>
    <cellStyle name="Normale 2" xfId="7"/>
    <cellStyle name="Normale 3" xfId="9"/>
    <cellStyle name="Normale 4" xfId="11"/>
    <cellStyle name="Percentuale" xfId="2" builtinId="5"/>
    <cellStyle name="Percentuale 2" xfId="10"/>
    <cellStyle name="Valuta" xfId="3" builtinId="4"/>
  </cellStyles>
  <dxfs count="155">
    <dxf>
      <font>
        <strike val="0"/>
        <outline val="0"/>
        <shadow val="0"/>
        <u val="none"/>
        <vertAlign val="baseline"/>
        <color theme="3"/>
        <name val="Calibri"/>
        <scheme val="minor"/>
      </font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color theme="3"/>
        <name val="Calibri"/>
        <scheme val="minor"/>
      </font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color theme="3"/>
        <name val="Calibri"/>
        <scheme val="minor"/>
      </font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color theme="3"/>
        <name val="Calibri"/>
        <scheme val="minor"/>
      </font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color theme="3"/>
        <name val="Calibri"/>
        <scheme val="minor"/>
      </font>
    </dxf>
    <dxf>
      <alignment horizontal="center" vertical="center" textRotation="0" wrapText="0" relativeIndent="0" justifyLastLine="0" shrinkToFit="0" readingOrder="0"/>
    </dxf>
    <dxf>
      <numFmt numFmtId="172" formatCode="0.0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</dxf>
    <dxf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alignment horizontal="center" vertical="center" textRotation="0" wrapText="1" relativeIndent="0" justifyLastLine="0" shrinkToFit="0" readingOrder="0"/>
    </dxf>
    <dxf>
      <alignment horizontal="general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68" formatCode="_([$€-2]\ * #,##0.00_);_([$€-2]\ * \(#,##0.00\);_([$€-2]\ * &quot;-&quot;??_);_(@_)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68" formatCode="_([$€-2]\ * #,##0.00_);_([$€-2]\ * \(#,##0.00\);_([$€-2]\ * &quot;-&quot;??_);_(@_)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68" formatCode="_([$€-2]\ * #,##0.00_);_([$€-2]\ * \(#,##0.00\);_([$€-2]\ * &quot;-&quot;??_);_(@_)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68" formatCode="_([$€-2]\ * #,##0.00_);_([$€-2]\ * \(#,##0.00\);_([$€-2]\ * &quot;-&quot;??_);_(@_)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68" formatCode="_([$€-2]\ * #,##0.00_);_([$€-2]\ * \(#,##0.00\);_([$€-2]\ * &quot;-&quot;??_);_(@_)"/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relativeIndent="0" justifyLastLine="0" shrinkToFit="0" readingOrder="0"/>
    </dxf>
    <dxf>
      <border diagonalUp="0" diagonalDown="0">
        <left style="thick">
          <color rgb="FF0070C0"/>
        </left>
        <right style="thick">
          <color rgb="FF0070C0"/>
        </right>
        <top style="thick">
          <color rgb="FF0070C0"/>
        </top>
        <bottom style="thick">
          <color rgb="FF0070C0"/>
        </bottom>
      </border>
    </dxf>
    <dxf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Calibri"/>
        <scheme val="minor"/>
      </font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Calibri"/>
        <scheme val="minor"/>
      </font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Calibri"/>
        <scheme val="minor"/>
      </font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Calibri"/>
        <scheme val="minor"/>
      </font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Calibri"/>
        <scheme val="minor"/>
      </font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alignment horizontal="general" vertical="center" textRotation="0" wrapText="0" relativeIndent="0" justifyLastLine="0" shrinkToFit="0" readingOrder="0"/>
    </dxf>
    <dxf>
      <alignment horizontal="general" vertical="center" textRotation="0" wrapText="0" relativeIndent="0" justifyLastLine="0" shrinkToFit="0" readingOrder="0"/>
    </dxf>
    <dxf>
      <border diagonalUp="0" diagonalDown="0">
        <left style="thick">
          <color rgb="FF0070C0"/>
        </left>
        <right style="thick">
          <color rgb="FF0070C0"/>
        </right>
        <top style="thick">
          <color rgb="FF0070C0"/>
        </top>
        <bottom style="thick">
          <color rgb="FF0070C0"/>
        </bottom>
      </border>
    </dxf>
    <dxf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alignment horizontal="general" vertical="center" textRotation="0" wrapText="0" relativeIndent="0" justifyLastLine="0" shrinkToFit="0" readingOrder="0"/>
    </dxf>
    <dxf>
      <alignment horizontal="general" vertical="center" textRotation="0" wrapText="0" relativeIndent="0" justifyLastLine="0" shrinkToFit="0" readingOrder="0"/>
    </dxf>
    <dxf>
      <border diagonalUp="0" diagonalDown="0">
        <left style="thick">
          <color rgb="FF0070C0"/>
        </left>
        <right style="thick">
          <color rgb="FF0070C0"/>
        </right>
        <top style="thick">
          <color rgb="FF0070C0"/>
        </top>
        <bottom style="thick">
          <color rgb="FF0070C0"/>
        </bottom>
      </border>
    </dxf>
    <dxf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numFmt numFmtId="170" formatCode="_-[$€-410]\ * #,##0_-;\-[$€-410]\ * #,##0_-;_-[$€-410]\ * &quot;-&quot;??_-;_-@_-"/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70C0"/>
        <name val="Calibri"/>
        <scheme val="minor"/>
      </font>
      <numFmt numFmtId="164" formatCode="_(* #,##0_);_(* \(#,##0\);_(* &quot;-&quot;_);_(@_)"/>
      <alignment horizontal="general" vertical="center" textRotation="0" wrapText="0" indent="0" justifyLastLine="0" shrinkToFit="0" readingOrder="0"/>
    </dxf>
    <dxf>
      <numFmt numFmtId="176" formatCode="#,##0_);\(#,##0\)"/>
    </dxf>
    <dxf>
      <font>
        <strike val="0"/>
        <outline val="0"/>
        <shadow val="0"/>
        <u val="none"/>
        <vertAlign val="baseline"/>
        <sz val="12"/>
        <color rgb="FF0070C0"/>
        <name val="Calibri"/>
        <scheme val="minor"/>
      </font>
      <numFmt numFmtId="164" formatCode="_(* #,##0_);_(* \(#,##0\);_(* &quot;-&quot;_);_(@_)"/>
      <alignment horizontal="general" vertical="center" textRotation="0" wrapText="0" indent="0" justifyLastLine="0" shrinkToFit="0" readingOrder="0"/>
    </dxf>
    <dxf>
      <numFmt numFmtId="176" formatCode="#,##0_);\(#,##0\)"/>
    </dxf>
    <dxf>
      <font>
        <strike val="0"/>
        <outline val="0"/>
        <shadow val="0"/>
        <u val="none"/>
        <vertAlign val="baseline"/>
        <sz val="12"/>
        <color rgb="FF0070C0"/>
        <name val="Calibri"/>
        <scheme val="minor"/>
      </font>
      <numFmt numFmtId="164" formatCode="_(* #,##0_);_(* \(#,##0\);_(* &quot;-&quot;_);_(@_)"/>
      <alignment horizontal="general" vertical="center" textRotation="0" wrapText="0" indent="0" justifyLastLine="0" shrinkToFit="0" readingOrder="0"/>
    </dxf>
    <dxf>
      <numFmt numFmtId="176" formatCode="#,##0_);\(#,##0\)"/>
    </dxf>
    <dxf>
      <font>
        <strike val="0"/>
        <outline val="0"/>
        <shadow val="0"/>
        <u val="none"/>
        <vertAlign val="baseline"/>
        <sz val="12"/>
        <color rgb="FF0070C0"/>
        <name val="Calibri"/>
        <scheme val="minor"/>
      </font>
      <numFmt numFmtId="164" formatCode="_(* #,##0_);_(* \(#,##0\);_(* &quot;-&quot;_);_(@_)"/>
      <alignment horizontal="general" vertical="center" textRotation="0" wrapText="0" indent="0" justifyLastLine="0" shrinkToFit="0" readingOrder="0"/>
    </dxf>
    <dxf>
      <numFmt numFmtId="176" formatCode="#,##0_);\(#,##0\)"/>
    </dxf>
    <dxf>
      <font>
        <strike val="0"/>
        <outline val="0"/>
        <shadow val="0"/>
        <u val="none"/>
        <vertAlign val="baseline"/>
        <sz val="12"/>
        <color rgb="FF0070C0"/>
        <name val="Calibri"/>
        <scheme val="minor"/>
      </font>
      <numFmt numFmtId="164" formatCode="_(* #,##0_);_(* \(#,##0\);_(* &quot;-&quot;_);_(@_)"/>
      <alignment horizontal="general" vertical="center" textRotation="0" wrapText="0" indent="0" justifyLastLine="0" shrinkToFit="0" readingOrder="0"/>
    </dxf>
    <dxf>
      <numFmt numFmtId="176" formatCode="#,##0_);\(#,##0\)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76" formatCode="#,##0_);\(#,##0\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76" formatCode="#,##0_);\(#,##0\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76" formatCode="#,##0_);\(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76" formatCode="#,##0_);\(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76" formatCode="#,##0_);\(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76" formatCode="#,##0_);\(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76" formatCode="#,##0_);\(#,##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3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color theme="3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0"/>
        <color theme="3"/>
        <name val="Calibri"/>
        <scheme val="minor"/>
      </font>
      <protection locked="1" hidden="0"/>
    </dxf>
    <dxf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70" formatCode="_-[$€-410]\ * #,##0_-;\-[$€-410]\ * #,##0_-;_-[$€-410]\ * &quot;-&quot;??_-;_-@_-"/>
      <alignment horizontal="center" vertical="bottom" textRotation="0" wrapText="0" relativeIndent="0" justifyLastLine="0" shrinkToFit="0" readingOrder="0"/>
      <protection locked="1" hidden="0"/>
    </dxf>
    <dxf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Calibri"/>
        <scheme val="minor"/>
      </font>
      <protection locked="1" hidden="0"/>
    </dxf>
    <dxf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70" formatCode="_-[$€-410]\ * #,##0_-;\-[$€-410]\ * #,##0_-;_-[$€-410]\ * &quot;-&quot;??_-;_-@_-"/>
      <alignment horizontal="right" vertical="bottom" textRotation="0" wrapText="0" indent="0" justifyLastLine="0" shrinkToFit="0" readingOrder="0"/>
      <protection locked="1" hidden="0"/>
    </dxf>
    <dxf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Calibri"/>
        <scheme val="minor"/>
      </font>
      <protection locked="1" hidden="0"/>
    </dxf>
    <dxf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70" formatCode="_-[$€-410]\ * #,##0_-;\-[$€-410]\ * #,##0_-;_-[$€-410]\ * &quot;-&quot;??_-;_-@_-"/>
      <alignment horizontal="right" vertical="center" textRotation="0" wrapText="0" indent="0" justifyLastLine="0" shrinkToFit="0" readingOrder="0"/>
      <protection locked="1" hidden="0"/>
    </dxf>
    <dxf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Calibri"/>
        <scheme val="minor"/>
      </font>
      <protection locked="1" hidden="0"/>
    </dxf>
    <dxf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71" formatCode="_-[$€-410]\ * #,##0.00_-;\-[$€-410]\ * #,##0.00_-;_-[$€-410]\ * &quot;-&quot;??_-;_-@_-"/>
      <alignment horizontal="right" vertical="center" textRotation="0" wrapText="0" indent="0" justifyLastLine="0" shrinkToFit="0" readingOrder="0"/>
      <protection locked="1" hidden="0"/>
    </dxf>
    <dxf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numFmt numFmtId="171" formatCode="_-[$€-410]\ * #,##0.00_-;\-[$€-410]\ * #,##0.00_-;_-[$€-410]\ * &quot;-&quot;??_-;_-@_-"/>
      <alignment horizontal="center" vertical="bottom" textRotation="0" wrapText="0" relativeIndent="0" justifyLastLine="0" shrinkToFit="0" readingOrder="0"/>
      <protection locked="1" hidden="0"/>
    </dxf>
    <dxf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protection locked="1" hidden="0"/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protection locked="1" hidden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scheme val="none"/>
      </font>
      <numFmt numFmtId="164" formatCode="_(* #,##0_);_(* \(#,##0\);_(* &quot;-&quot;_);_(@_)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scheme val="none"/>
      </font>
      <numFmt numFmtId="164" formatCode="_(* #,##0_);_(* \(#,##0\);_(* &quot;-&quot;_);_(@_)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scheme val="none"/>
      </font>
      <numFmt numFmtId="164" formatCode="_(* #,##0_);_(* \(#,##0\);_(* &quot;-&quot;_);_(@_)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scheme val="none"/>
      </font>
      <numFmt numFmtId="164" formatCode="_(* #,##0_);_(* \(#,##0\);_(* &quot;-&quot;_);_(@_)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scheme val="none"/>
      </font>
      <numFmt numFmtId="164" formatCode="_(* #,##0_);_(* \(#,##0\);_(* &quot;-&quot;_);_(@_)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4" formatCode="_(* #,##0_);_(* \(#,##0\);_(* &quot;-&quot;_);_(@_)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theme="4"/>
      </font>
      <alignment vertical="center" textRotation="0" wrapTex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vertAlign val="baseline"/>
        <color theme="0"/>
      </font>
      <fill>
        <patternFill patternType="solid">
          <fgColor indexed="64"/>
          <bgColor theme="4"/>
        </patternFill>
      </fill>
      <alignment vertical="center" textRotation="0" wrapTex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</dxf>
    <dxf>
      <alignment horizontal="center" vertical="center" textRotation="0" wrapText="0" relativeIndent="0" justifyLastLine="0" shrinkToFit="0" readingOrder="0"/>
    </dxf>
  </dxfs>
  <tableStyles count="1" defaultTableStyle="TableStyleMedium9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ky%20dati/Files%20Word/BIL%202013/AD%20Micorturbine/bilancio%20ADVANCED%20MICROTURBINES%202013%20d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agli"/>
      <sheetName val="BilUe"/>
      <sheetName val="imposte"/>
      <sheetName val=" contabile anteimposte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id="11" name="Table11" displayName="Table11" ref="A2:H61" headerRowCount="0" totalsRowShown="0" headerRowDxfId="154" dataDxfId="153">
  <tableColumns count="8">
    <tableColumn id="1" name="Column1" headerRowDxfId="152" dataDxfId="151"/>
    <tableColumn id="2" name="Column2" headerRowDxfId="150" dataDxfId="149"/>
    <tableColumn id="8" name="Column8" headerRowDxfId="148" dataDxfId="147"/>
    <tableColumn id="3" name="Column3" headerRowDxfId="146" dataDxfId="145"/>
    <tableColumn id="4" name="Column4" headerRowDxfId="144" dataDxfId="143"/>
    <tableColumn id="5" name="Column5" headerRowDxfId="142" dataDxfId="141"/>
    <tableColumn id="6" name="Column6" headerRowDxfId="140" dataDxfId="139"/>
    <tableColumn id="7" name="Column7" headerRowDxfId="138" dataDxfId="13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2:L33" headerRowCount="0" headerRowDxfId="136" dataDxfId="134" totalsRowDxfId="132" headerRowBorderDxfId="135" tableBorderDxfId="133">
  <tableColumns count="12">
    <tableColumn id="1" name="Income Statement" totalsRowLabel="Total" headerRowDxfId="131" dataDxfId="130"/>
    <tableColumn id="2" name="Column1" headerRowDxfId="129" dataDxfId="128" totalsRowDxfId="127"/>
    <tableColumn id="3" name="Column2" headerRowDxfId="126" dataDxfId="125" totalsRowDxfId="124"/>
    <tableColumn id="4" name="Column3" headerRowDxfId="123" dataDxfId="122"/>
    <tableColumn id="5" name="Column4" headerRowDxfId="121" dataDxfId="120" totalsRowDxfId="119"/>
    <tableColumn id="6" name="Column5" headerRowDxfId="118" dataDxfId="117"/>
    <tableColumn id="7" name="Column6" headerRowDxfId="116" dataDxfId="115" totalsRowDxfId="114"/>
    <tableColumn id="8" name="Column7" headerRowDxfId="113" dataDxfId="112"/>
    <tableColumn id="9" name="Column8" headerRowDxfId="111" dataDxfId="110" totalsRowDxfId="109"/>
    <tableColumn id="10" name="Column9" totalsRowFunction="sum" headerRowDxfId="108" dataDxfId="107"/>
    <tableColumn id="11" name="Colonna1" headerRowDxfId="106" dataDxfId="105" totalsRowDxfId="104"/>
    <tableColumn id="12" name="Colonna2" headerRowDxfId="103" dataDxfId="102" totalsRowDxfId="101"/>
  </tableColumns>
  <tableStyleInfo name="TableStyleMedium9" showFirstColumn="1" showLastColumn="0" showRowStripes="1" showColumnStripes="0"/>
</table>
</file>

<file path=xl/tables/table3.xml><?xml version="1.0" encoding="utf-8"?>
<table xmlns="http://schemas.openxmlformats.org/spreadsheetml/2006/main" id="3" name="Table3" displayName="Table3" ref="A2:G23" headerRowCount="0" totalsRowShown="0" headerRowDxfId="100">
  <tableColumns count="7">
    <tableColumn id="1" name="Column1" headerRowDxfId="99"/>
    <tableColumn id="2" name="Column2" headerRowDxfId="98"/>
    <tableColumn id="3" name="Column3" headerRowDxfId="97" dataDxfId="96"/>
    <tableColumn id="4" name="Column4" headerRowDxfId="95" dataDxfId="94"/>
    <tableColumn id="5" name="Column5" headerRowDxfId="93" dataDxfId="92"/>
    <tableColumn id="6" name="Column6" headerRowDxfId="91" dataDxfId="90"/>
    <tableColumn id="7" name="Column7" headerRowDxfId="89" dataDxfId="88"/>
  </tableColumns>
  <tableStyleInfo name="TableStyleMedium9" showFirstColumn="1" showLastColumn="0" showRowStripes="1" showColumnStripes="0"/>
</table>
</file>

<file path=xl/tables/table4.xml><?xml version="1.0" encoding="utf-8"?>
<table xmlns="http://schemas.openxmlformats.org/spreadsheetml/2006/main" id="4" name="Table4" displayName="Table4" ref="A25:G26" headerRowCount="0" totalsRowShown="0" headerRowDxfId="87" dataDxfId="86">
  <tableColumns count="7">
    <tableColumn id="1" name="Column1" headerRowDxfId="85" dataDxfId="84"/>
    <tableColumn id="2" name="Column2" dataDxfId="83"/>
    <tableColumn id="3" name="Column3" headerRowDxfId="82" dataDxfId="81">
      <calculatedColumnFormula>C22+C25</calculatedColumnFormula>
    </tableColumn>
    <tableColumn id="4" name="Column4" headerRowDxfId="80" dataDxfId="79">
      <calculatedColumnFormula>D22+D25</calculatedColumnFormula>
    </tableColumn>
    <tableColumn id="5" name="Column5" headerRowDxfId="78" dataDxfId="77">
      <calculatedColumnFormula>E22+E25</calculatedColumnFormula>
    </tableColumn>
    <tableColumn id="6" name="Column6" headerRowDxfId="76" dataDxfId="75">
      <calculatedColumnFormula>F22+F25</calculatedColumnFormula>
    </tableColumn>
    <tableColumn id="7" name="Column7" headerRowDxfId="74" dataDxfId="73">
      <calculatedColumnFormula>G22+G25</calculatedColumnFormula>
    </tableColumn>
  </tableColumns>
  <tableStyleInfo name="TableStyleMedium9" showFirstColumn="1" showLastColumn="0" showRowStripes="1" showColumnStripes="0"/>
</table>
</file>

<file path=xl/tables/table5.xml><?xml version="1.0" encoding="utf-8"?>
<table xmlns="http://schemas.openxmlformats.org/spreadsheetml/2006/main" id="1" name="Table1" displayName="Table1" ref="A2:F18" headerRowCount="0" totalsRowShown="0" headerRowDxfId="72" dataDxfId="71">
  <tableColumns count="6">
    <tableColumn id="1" name="REVENUE MODEL" headerRowDxfId="70"/>
    <tableColumn id="2" name="Column1" headerRowDxfId="69" dataDxfId="68"/>
    <tableColumn id="3" name="Column2" headerRowDxfId="67" dataDxfId="66"/>
    <tableColumn id="4" name="Column3" headerRowDxfId="65" dataDxfId="64"/>
    <tableColumn id="5" name="Column4" headerRowDxfId="63" dataDxfId="62"/>
    <tableColumn id="6" name="Column5" headerRowDxfId="61" dataDxfId="60"/>
  </tableColumns>
  <tableStyleInfo name="TableStyleMedium9" showFirstColumn="1" showLastColumn="0" showRowStripes="1" showColumnStripes="0"/>
</table>
</file>

<file path=xl/tables/table6.xml><?xml version="1.0" encoding="utf-8"?>
<table xmlns="http://schemas.openxmlformats.org/spreadsheetml/2006/main" id="7" name="Table7" displayName="Table7" ref="A22:F31" headerRowCount="0" totalsRowShown="0" headerRowDxfId="59" dataDxfId="58" tableBorderDxfId="57">
  <tableColumns count="6">
    <tableColumn id="1" name="Column1" headerRowDxfId="56" dataDxfId="55"/>
    <tableColumn id="2" name="Column2" headerRowDxfId="54" dataDxfId="53"/>
    <tableColumn id="3" name="Column3" headerRowDxfId="52" dataDxfId="51"/>
    <tableColumn id="4" name="Column4" headerRowDxfId="50" dataDxfId="49"/>
    <tableColumn id="5" name="Column5" headerRowDxfId="48" dataDxfId="47"/>
    <tableColumn id="6" name="Column6" headerRowDxfId="46" dataDxfId="45"/>
  </tableColumns>
  <tableStyleInfo name="TableStyleMedium9" showFirstColumn="1" showLastColumn="0" showRowStripes="1" showColumnStripes="0"/>
</table>
</file>

<file path=xl/tables/table7.xml><?xml version="1.0" encoding="utf-8"?>
<table xmlns="http://schemas.openxmlformats.org/spreadsheetml/2006/main" id="8" name="Table8" displayName="Table8" ref="A34:F41" headerRowCount="0" totalsRowShown="0" headerRowDxfId="44" dataDxfId="43" tableBorderDxfId="42">
  <tableColumns count="6">
    <tableColumn id="1" name="Column1" headerRowDxfId="41" dataDxfId="40"/>
    <tableColumn id="2" name="Column2" headerRowDxfId="39" dataDxfId="38"/>
    <tableColumn id="3" name="Column3" headerRowDxfId="37" dataDxfId="36"/>
    <tableColumn id="4" name="Column4" headerRowDxfId="35" dataDxfId="34"/>
    <tableColumn id="5" name="Column5" headerRowDxfId="33" dataDxfId="32"/>
    <tableColumn id="6" name="Column6" headerRowDxfId="31" dataDxfId="30"/>
  </tableColumns>
  <tableStyleInfo name="TableStyleMedium9" showFirstColumn="1" showLastColumn="0" showRowStripes="1" showColumnStripes="0"/>
</table>
</file>

<file path=xl/tables/table8.xml><?xml version="1.0" encoding="utf-8"?>
<table xmlns="http://schemas.openxmlformats.org/spreadsheetml/2006/main" id="10" name="Table10" displayName="Table10" ref="A44:H49" headerRowCount="0" totalsRowShown="0" headerRowDxfId="29" dataDxfId="28" tableBorderDxfId="27">
  <tableColumns count="8">
    <tableColumn id="1" name="Column1" headerRowDxfId="26"/>
    <tableColumn id="2" name="Column2" headerRowDxfId="25" dataDxfId="24"/>
    <tableColumn id="3" name="Column3" headerRowDxfId="23" dataDxfId="22"/>
    <tableColumn id="4" name="Column4" headerRowDxfId="21" dataDxfId="20"/>
    <tableColumn id="5" name="Column5" headerRowDxfId="19" dataDxfId="18"/>
    <tableColumn id="6" name="Column6" headerRowDxfId="17" dataDxfId="16"/>
    <tableColumn id="7" name="Column7" headerRowDxfId="15" dataDxfId="14"/>
    <tableColumn id="8" name="Column8" headerRowDxfId="13" dataDxfId="12"/>
  </tableColumns>
  <tableStyleInfo name="TableStyleMedium9" showFirstColumn="1" showLastColumn="0" showRowStripes="1" showColumnStripes="0"/>
</table>
</file>

<file path=xl/tables/table9.xml><?xml version="1.0" encoding="utf-8"?>
<table xmlns="http://schemas.openxmlformats.org/spreadsheetml/2006/main" id="5" name="Table5" displayName="Table5" ref="A36:F37" headerRowCount="0" totalsRowShown="0" headerRowDxfId="11">
  <tableColumns count="6">
    <tableColumn id="1" name="Column1" headerRowDxfId="10"/>
    <tableColumn id="2" name="Column2" headerRowDxfId="9" dataDxfId="8"/>
    <tableColumn id="3" name="Column3" headerRowDxfId="7" dataDxfId="6">
      <calculatedColumnFormula>ROUND(C29,0)</calculatedColumnFormula>
    </tableColumn>
    <tableColumn id="4" name="Column4" headerRowDxfId="5" dataDxfId="4"/>
    <tableColumn id="5" name="Column5" headerRowDxfId="3" dataDxfId="2"/>
    <tableColumn id="6" name="Column6" headerRowDxfId="1" dataDxfId="0"/>
  </tableColumns>
  <tableStyleInfo name="TableStyleMedium9" showFirstColumn="1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0"/>
  <sheetViews>
    <sheetView zoomScale="120" zoomScaleNormal="120" zoomScaleSheetLayoutView="100" workbookViewId="0">
      <selection activeCell="A5" sqref="A5:B5"/>
    </sheetView>
  </sheetViews>
  <sheetFormatPr defaultRowHeight="12.75"/>
  <cols>
    <col min="1" max="1" width="41.7109375" style="310" customWidth="1"/>
    <col min="2" max="2" width="22.85546875" style="310" customWidth="1"/>
    <col min="3" max="3" width="3" style="310" customWidth="1"/>
    <col min="4" max="4" width="9.140625" style="310"/>
    <col min="5" max="5" width="11.5703125" style="310" customWidth="1"/>
    <col min="6" max="6" width="10.85546875" style="310" customWidth="1"/>
    <col min="7" max="7" width="12.140625" style="310" customWidth="1"/>
    <col min="8" max="256" width="9.140625" style="310"/>
    <col min="257" max="257" width="41.7109375" style="310" customWidth="1"/>
    <col min="258" max="258" width="22.85546875" style="310" customWidth="1"/>
    <col min="259" max="259" width="3" style="310" customWidth="1"/>
    <col min="260" max="260" width="9.140625" style="310"/>
    <col min="261" max="261" width="11.5703125" style="310" customWidth="1"/>
    <col min="262" max="262" width="10.85546875" style="310" customWidth="1"/>
    <col min="263" max="263" width="12.140625" style="310" customWidth="1"/>
    <col min="264" max="512" width="9.140625" style="310"/>
    <col min="513" max="513" width="41.7109375" style="310" customWidth="1"/>
    <col min="514" max="514" width="22.85546875" style="310" customWidth="1"/>
    <col min="515" max="515" width="3" style="310" customWidth="1"/>
    <col min="516" max="516" width="9.140625" style="310"/>
    <col min="517" max="517" width="11.5703125" style="310" customWidth="1"/>
    <col min="518" max="518" width="10.85546875" style="310" customWidth="1"/>
    <col min="519" max="519" width="12.140625" style="310" customWidth="1"/>
    <col min="520" max="768" width="9.140625" style="310"/>
    <col min="769" max="769" width="41.7109375" style="310" customWidth="1"/>
    <col min="770" max="770" width="22.85546875" style="310" customWidth="1"/>
    <col min="771" max="771" width="3" style="310" customWidth="1"/>
    <col min="772" max="772" width="9.140625" style="310"/>
    <col min="773" max="773" width="11.5703125" style="310" customWidth="1"/>
    <col min="774" max="774" width="10.85546875" style="310" customWidth="1"/>
    <col min="775" max="775" width="12.140625" style="310" customWidth="1"/>
    <col min="776" max="1024" width="9.140625" style="310"/>
    <col min="1025" max="1025" width="41.7109375" style="310" customWidth="1"/>
    <col min="1026" max="1026" width="22.85546875" style="310" customWidth="1"/>
    <col min="1027" max="1027" width="3" style="310" customWidth="1"/>
    <col min="1028" max="1028" width="9.140625" style="310"/>
    <col min="1029" max="1029" width="11.5703125" style="310" customWidth="1"/>
    <col min="1030" max="1030" width="10.85546875" style="310" customWidth="1"/>
    <col min="1031" max="1031" width="12.140625" style="310" customWidth="1"/>
    <col min="1032" max="1280" width="9.140625" style="310"/>
    <col min="1281" max="1281" width="41.7109375" style="310" customWidth="1"/>
    <col min="1282" max="1282" width="22.85546875" style="310" customWidth="1"/>
    <col min="1283" max="1283" width="3" style="310" customWidth="1"/>
    <col min="1284" max="1284" width="9.140625" style="310"/>
    <col min="1285" max="1285" width="11.5703125" style="310" customWidth="1"/>
    <col min="1286" max="1286" width="10.85546875" style="310" customWidth="1"/>
    <col min="1287" max="1287" width="12.140625" style="310" customWidth="1"/>
    <col min="1288" max="1536" width="9.140625" style="310"/>
    <col min="1537" max="1537" width="41.7109375" style="310" customWidth="1"/>
    <col min="1538" max="1538" width="22.85546875" style="310" customWidth="1"/>
    <col min="1539" max="1539" width="3" style="310" customWidth="1"/>
    <col min="1540" max="1540" width="9.140625" style="310"/>
    <col min="1541" max="1541" width="11.5703125" style="310" customWidth="1"/>
    <col min="1542" max="1542" width="10.85546875" style="310" customWidth="1"/>
    <col min="1543" max="1543" width="12.140625" style="310" customWidth="1"/>
    <col min="1544" max="1792" width="9.140625" style="310"/>
    <col min="1793" max="1793" width="41.7109375" style="310" customWidth="1"/>
    <col min="1794" max="1794" width="22.85546875" style="310" customWidth="1"/>
    <col min="1795" max="1795" width="3" style="310" customWidth="1"/>
    <col min="1796" max="1796" width="9.140625" style="310"/>
    <col min="1797" max="1797" width="11.5703125" style="310" customWidth="1"/>
    <col min="1798" max="1798" width="10.85546875" style="310" customWidth="1"/>
    <col min="1799" max="1799" width="12.140625" style="310" customWidth="1"/>
    <col min="1800" max="2048" width="9.140625" style="310"/>
    <col min="2049" max="2049" width="41.7109375" style="310" customWidth="1"/>
    <col min="2050" max="2050" width="22.85546875" style="310" customWidth="1"/>
    <col min="2051" max="2051" width="3" style="310" customWidth="1"/>
    <col min="2052" max="2052" width="9.140625" style="310"/>
    <col min="2053" max="2053" width="11.5703125" style="310" customWidth="1"/>
    <col min="2054" max="2054" width="10.85546875" style="310" customWidth="1"/>
    <col min="2055" max="2055" width="12.140625" style="310" customWidth="1"/>
    <col min="2056" max="2304" width="9.140625" style="310"/>
    <col min="2305" max="2305" width="41.7109375" style="310" customWidth="1"/>
    <col min="2306" max="2306" width="22.85546875" style="310" customWidth="1"/>
    <col min="2307" max="2307" width="3" style="310" customWidth="1"/>
    <col min="2308" max="2308" width="9.140625" style="310"/>
    <col min="2309" max="2309" width="11.5703125" style="310" customWidth="1"/>
    <col min="2310" max="2310" width="10.85546875" style="310" customWidth="1"/>
    <col min="2311" max="2311" width="12.140625" style="310" customWidth="1"/>
    <col min="2312" max="2560" width="9.140625" style="310"/>
    <col min="2561" max="2561" width="41.7109375" style="310" customWidth="1"/>
    <col min="2562" max="2562" width="22.85546875" style="310" customWidth="1"/>
    <col min="2563" max="2563" width="3" style="310" customWidth="1"/>
    <col min="2564" max="2564" width="9.140625" style="310"/>
    <col min="2565" max="2565" width="11.5703125" style="310" customWidth="1"/>
    <col min="2566" max="2566" width="10.85546875" style="310" customWidth="1"/>
    <col min="2567" max="2567" width="12.140625" style="310" customWidth="1"/>
    <col min="2568" max="2816" width="9.140625" style="310"/>
    <col min="2817" max="2817" width="41.7109375" style="310" customWidth="1"/>
    <col min="2818" max="2818" width="22.85546875" style="310" customWidth="1"/>
    <col min="2819" max="2819" width="3" style="310" customWidth="1"/>
    <col min="2820" max="2820" width="9.140625" style="310"/>
    <col min="2821" max="2821" width="11.5703125" style="310" customWidth="1"/>
    <col min="2822" max="2822" width="10.85546875" style="310" customWidth="1"/>
    <col min="2823" max="2823" width="12.140625" style="310" customWidth="1"/>
    <col min="2824" max="3072" width="9.140625" style="310"/>
    <col min="3073" max="3073" width="41.7109375" style="310" customWidth="1"/>
    <col min="3074" max="3074" width="22.85546875" style="310" customWidth="1"/>
    <col min="3075" max="3075" width="3" style="310" customWidth="1"/>
    <col min="3076" max="3076" width="9.140625" style="310"/>
    <col min="3077" max="3077" width="11.5703125" style="310" customWidth="1"/>
    <col min="3078" max="3078" width="10.85546875" style="310" customWidth="1"/>
    <col min="3079" max="3079" width="12.140625" style="310" customWidth="1"/>
    <col min="3080" max="3328" width="9.140625" style="310"/>
    <col min="3329" max="3329" width="41.7109375" style="310" customWidth="1"/>
    <col min="3330" max="3330" width="22.85546875" style="310" customWidth="1"/>
    <col min="3331" max="3331" width="3" style="310" customWidth="1"/>
    <col min="3332" max="3332" width="9.140625" style="310"/>
    <col min="3333" max="3333" width="11.5703125" style="310" customWidth="1"/>
    <col min="3334" max="3334" width="10.85546875" style="310" customWidth="1"/>
    <col min="3335" max="3335" width="12.140625" style="310" customWidth="1"/>
    <col min="3336" max="3584" width="9.140625" style="310"/>
    <col min="3585" max="3585" width="41.7109375" style="310" customWidth="1"/>
    <col min="3586" max="3586" width="22.85546875" style="310" customWidth="1"/>
    <col min="3587" max="3587" width="3" style="310" customWidth="1"/>
    <col min="3588" max="3588" width="9.140625" style="310"/>
    <col min="3589" max="3589" width="11.5703125" style="310" customWidth="1"/>
    <col min="3590" max="3590" width="10.85546875" style="310" customWidth="1"/>
    <col min="3591" max="3591" width="12.140625" style="310" customWidth="1"/>
    <col min="3592" max="3840" width="9.140625" style="310"/>
    <col min="3841" max="3841" width="41.7109375" style="310" customWidth="1"/>
    <col min="3842" max="3842" width="22.85546875" style="310" customWidth="1"/>
    <col min="3843" max="3843" width="3" style="310" customWidth="1"/>
    <col min="3844" max="3844" width="9.140625" style="310"/>
    <col min="3845" max="3845" width="11.5703125" style="310" customWidth="1"/>
    <col min="3846" max="3846" width="10.85546875" style="310" customWidth="1"/>
    <col min="3847" max="3847" width="12.140625" style="310" customWidth="1"/>
    <col min="3848" max="4096" width="9.140625" style="310"/>
    <col min="4097" max="4097" width="41.7109375" style="310" customWidth="1"/>
    <col min="4098" max="4098" width="22.85546875" style="310" customWidth="1"/>
    <col min="4099" max="4099" width="3" style="310" customWidth="1"/>
    <col min="4100" max="4100" width="9.140625" style="310"/>
    <col min="4101" max="4101" width="11.5703125" style="310" customWidth="1"/>
    <col min="4102" max="4102" width="10.85546875" style="310" customWidth="1"/>
    <col min="4103" max="4103" width="12.140625" style="310" customWidth="1"/>
    <col min="4104" max="4352" width="9.140625" style="310"/>
    <col min="4353" max="4353" width="41.7109375" style="310" customWidth="1"/>
    <col min="4354" max="4354" width="22.85546875" style="310" customWidth="1"/>
    <col min="4355" max="4355" width="3" style="310" customWidth="1"/>
    <col min="4356" max="4356" width="9.140625" style="310"/>
    <col min="4357" max="4357" width="11.5703125" style="310" customWidth="1"/>
    <col min="4358" max="4358" width="10.85546875" style="310" customWidth="1"/>
    <col min="4359" max="4359" width="12.140625" style="310" customWidth="1"/>
    <col min="4360" max="4608" width="9.140625" style="310"/>
    <col min="4609" max="4609" width="41.7109375" style="310" customWidth="1"/>
    <col min="4610" max="4610" width="22.85546875" style="310" customWidth="1"/>
    <col min="4611" max="4611" width="3" style="310" customWidth="1"/>
    <col min="4612" max="4612" width="9.140625" style="310"/>
    <col min="4613" max="4613" width="11.5703125" style="310" customWidth="1"/>
    <col min="4614" max="4614" width="10.85546875" style="310" customWidth="1"/>
    <col min="4615" max="4615" width="12.140625" style="310" customWidth="1"/>
    <col min="4616" max="4864" width="9.140625" style="310"/>
    <col min="4865" max="4865" width="41.7109375" style="310" customWidth="1"/>
    <col min="4866" max="4866" width="22.85546875" style="310" customWidth="1"/>
    <col min="4867" max="4867" width="3" style="310" customWidth="1"/>
    <col min="4868" max="4868" width="9.140625" style="310"/>
    <col min="4869" max="4869" width="11.5703125" style="310" customWidth="1"/>
    <col min="4870" max="4870" width="10.85546875" style="310" customWidth="1"/>
    <col min="4871" max="4871" width="12.140625" style="310" customWidth="1"/>
    <col min="4872" max="5120" width="9.140625" style="310"/>
    <col min="5121" max="5121" width="41.7109375" style="310" customWidth="1"/>
    <col min="5122" max="5122" width="22.85546875" style="310" customWidth="1"/>
    <col min="5123" max="5123" width="3" style="310" customWidth="1"/>
    <col min="5124" max="5124" width="9.140625" style="310"/>
    <col min="5125" max="5125" width="11.5703125" style="310" customWidth="1"/>
    <col min="5126" max="5126" width="10.85546875" style="310" customWidth="1"/>
    <col min="5127" max="5127" width="12.140625" style="310" customWidth="1"/>
    <col min="5128" max="5376" width="9.140625" style="310"/>
    <col min="5377" max="5377" width="41.7109375" style="310" customWidth="1"/>
    <col min="5378" max="5378" width="22.85546875" style="310" customWidth="1"/>
    <col min="5379" max="5379" width="3" style="310" customWidth="1"/>
    <col min="5380" max="5380" width="9.140625" style="310"/>
    <col min="5381" max="5381" width="11.5703125" style="310" customWidth="1"/>
    <col min="5382" max="5382" width="10.85546875" style="310" customWidth="1"/>
    <col min="5383" max="5383" width="12.140625" style="310" customWidth="1"/>
    <col min="5384" max="5632" width="9.140625" style="310"/>
    <col min="5633" max="5633" width="41.7109375" style="310" customWidth="1"/>
    <col min="5634" max="5634" width="22.85546875" style="310" customWidth="1"/>
    <col min="5635" max="5635" width="3" style="310" customWidth="1"/>
    <col min="5636" max="5636" width="9.140625" style="310"/>
    <col min="5637" max="5637" width="11.5703125" style="310" customWidth="1"/>
    <col min="5638" max="5638" width="10.85546875" style="310" customWidth="1"/>
    <col min="5639" max="5639" width="12.140625" style="310" customWidth="1"/>
    <col min="5640" max="5888" width="9.140625" style="310"/>
    <col min="5889" max="5889" width="41.7109375" style="310" customWidth="1"/>
    <col min="5890" max="5890" width="22.85546875" style="310" customWidth="1"/>
    <col min="5891" max="5891" width="3" style="310" customWidth="1"/>
    <col min="5892" max="5892" width="9.140625" style="310"/>
    <col min="5893" max="5893" width="11.5703125" style="310" customWidth="1"/>
    <col min="5894" max="5894" width="10.85546875" style="310" customWidth="1"/>
    <col min="5895" max="5895" width="12.140625" style="310" customWidth="1"/>
    <col min="5896" max="6144" width="9.140625" style="310"/>
    <col min="6145" max="6145" width="41.7109375" style="310" customWidth="1"/>
    <col min="6146" max="6146" width="22.85546875" style="310" customWidth="1"/>
    <col min="6147" max="6147" width="3" style="310" customWidth="1"/>
    <col min="6148" max="6148" width="9.140625" style="310"/>
    <col min="6149" max="6149" width="11.5703125" style="310" customWidth="1"/>
    <col min="6150" max="6150" width="10.85546875" style="310" customWidth="1"/>
    <col min="6151" max="6151" width="12.140625" style="310" customWidth="1"/>
    <col min="6152" max="6400" width="9.140625" style="310"/>
    <col min="6401" max="6401" width="41.7109375" style="310" customWidth="1"/>
    <col min="6402" max="6402" width="22.85546875" style="310" customWidth="1"/>
    <col min="6403" max="6403" width="3" style="310" customWidth="1"/>
    <col min="6404" max="6404" width="9.140625" style="310"/>
    <col min="6405" max="6405" width="11.5703125" style="310" customWidth="1"/>
    <col min="6406" max="6406" width="10.85546875" style="310" customWidth="1"/>
    <col min="6407" max="6407" width="12.140625" style="310" customWidth="1"/>
    <col min="6408" max="6656" width="9.140625" style="310"/>
    <col min="6657" max="6657" width="41.7109375" style="310" customWidth="1"/>
    <col min="6658" max="6658" width="22.85546875" style="310" customWidth="1"/>
    <col min="6659" max="6659" width="3" style="310" customWidth="1"/>
    <col min="6660" max="6660" width="9.140625" style="310"/>
    <col min="6661" max="6661" width="11.5703125" style="310" customWidth="1"/>
    <col min="6662" max="6662" width="10.85546875" style="310" customWidth="1"/>
    <col min="6663" max="6663" width="12.140625" style="310" customWidth="1"/>
    <col min="6664" max="6912" width="9.140625" style="310"/>
    <col min="6913" max="6913" width="41.7109375" style="310" customWidth="1"/>
    <col min="6914" max="6914" width="22.85546875" style="310" customWidth="1"/>
    <col min="6915" max="6915" width="3" style="310" customWidth="1"/>
    <col min="6916" max="6916" width="9.140625" style="310"/>
    <col min="6917" max="6917" width="11.5703125" style="310" customWidth="1"/>
    <col min="6918" max="6918" width="10.85546875" style="310" customWidth="1"/>
    <col min="6919" max="6919" width="12.140625" style="310" customWidth="1"/>
    <col min="6920" max="7168" width="9.140625" style="310"/>
    <col min="7169" max="7169" width="41.7109375" style="310" customWidth="1"/>
    <col min="7170" max="7170" width="22.85546875" style="310" customWidth="1"/>
    <col min="7171" max="7171" width="3" style="310" customWidth="1"/>
    <col min="7172" max="7172" width="9.140625" style="310"/>
    <col min="7173" max="7173" width="11.5703125" style="310" customWidth="1"/>
    <col min="7174" max="7174" width="10.85546875" style="310" customWidth="1"/>
    <col min="7175" max="7175" width="12.140625" style="310" customWidth="1"/>
    <col min="7176" max="7424" width="9.140625" style="310"/>
    <col min="7425" max="7425" width="41.7109375" style="310" customWidth="1"/>
    <col min="7426" max="7426" width="22.85546875" style="310" customWidth="1"/>
    <col min="7427" max="7427" width="3" style="310" customWidth="1"/>
    <col min="7428" max="7428" width="9.140625" style="310"/>
    <col min="7429" max="7429" width="11.5703125" style="310" customWidth="1"/>
    <col min="7430" max="7430" width="10.85546875" style="310" customWidth="1"/>
    <col min="7431" max="7431" width="12.140625" style="310" customWidth="1"/>
    <col min="7432" max="7680" width="9.140625" style="310"/>
    <col min="7681" max="7681" width="41.7109375" style="310" customWidth="1"/>
    <col min="7682" max="7682" width="22.85546875" style="310" customWidth="1"/>
    <col min="7683" max="7683" width="3" style="310" customWidth="1"/>
    <col min="7684" max="7684" width="9.140625" style="310"/>
    <col min="7685" max="7685" width="11.5703125" style="310" customWidth="1"/>
    <col min="7686" max="7686" width="10.85546875" style="310" customWidth="1"/>
    <col min="7687" max="7687" width="12.140625" style="310" customWidth="1"/>
    <col min="7688" max="7936" width="9.140625" style="310"/>
    <col min="7937" max="7937" width="41.7109375" style="310" customWidth="1"/>
    <col min="7938" max="7938" width="22.85546875" style="310" customWidth="1"/>
    <col min="7939" max="7939" width="3" style="310" customWidth="1"/>
    <col min="7940" max="7940" width="9.140625" style="310"/>
    <col min="7941" max="7941" width="11.5703125" style="310" customWidth="1"/>
    <col min="7942" max="7942" width="10.85546875" style="310" customWidth="1"/>
    <col min="7943" max="7943" width="12.140625" style="310" customWidth="1"/>
    <col min="7944" max="8192" width="9.140625" style="310"/>
    <col min="8193" max="8193" width="41.7109375" style="310" customWidth="1"/>
    <col min="8194" max="8194" width="22.85546875" style="310" customWidth="1"/>
    <col min="8195" max="8195" width="3" style="310" customWidth="1"/>
    <col min="8196" max="8196" width="9.140625" style="310"/>
    <col min="8197" max="8197" width="11.5703125" style="310" customWidth="1"/>
    <col min="8198" max="8198" width="10.85546875" style="310" customWidth="1"/>
    <col min="8199" max="8199" width="12.140625" style="310" customWidth="1"/>
    <col min="8200" max="8448" width="9.140625" style="310"/>
    <col min="8449" max="8449" width="41.7109375" style="310" customWidth="1"/>
    <col min="8450" max="8450" width="22.85546875" style="310" customWidth="1"/>
    <col min="8451" max="8451" width="3" style="310" customWidth="1"/>
    <col min="8452" max="8452" width="9.140625" style="310"/>
    <col min="8453" max="8453" width="11.5703125" style="310" customWidth="1"/>
    <col min="8454" max="8454" width="10.85546875" style="310" customWidth="1"/>
    <col min="8455" max="8455" width="12.140625" style="310" customWidth="1"/>
    <col min="8456" max="8704" width="9.140625" style="310"/>
    <col min="8705" max="8705" width="41.7109375" style="310" customWidth="1"/>
    <col min="8706" max="8706" width="22.85546875" style="310" customWidth="1"/>
    <col min="8707" max="8707" width="3" style="310" customWidth="1"/>
    <col min="8708" max="8708" width="9.140625" style="310"/>
    <col min="8709" max="8709" width="11.5703125" style="310" customWidth="1"/>
    <col min="8710" max="8710" width="10.85546875" style="310" customWidth="1"/>
    <col min="8711" max="8711" width="12.140625" style="310" customWidth="1"/>
    <col min="8712" max="8960" width="9.140625" style="310"/>
    <col min="8961" max="8961" width="41.7109375" style="310" customWidth="1"/>
    <col min="8962" max="8962" width="22.85546875" style="310" customWidth="1"/>
    <col min="8963" max="8963" width="3" style="310" customWidth="1"/>
    <col min="8964" max="8964" width="9.140625" style="310"/>
    <col min="8965" max="8965" width="11.5703125" style="310" customWidth="1"/>
    <col min="8966" max="8966" width="10.85546875" style="310" customWidth="1"/>
    <col min="8967" max="8967" width="12.140625" style="310" customWidth="1"/>
    <col min="8968" max="9216" width="9.140625" style="310"/>
    <col min="9217" max="9217" width="41.7109375" style="310" customWidth="1"/>
    <col min="9218" max="9218" width="22.85546875" style="310" customWidth="1"/>
    <col min="9219" max="9219" width="3" style="310" customWidth="1"/>
    <col min="9220" max="9220" width="9.140625" style="310"/>
    <col min="9221" max="9221" width="11.5703125" style="310" customWidth="1"/>
    <col min="9222" max="9222" width="10.85546875" style="310" customWidth="1"/>
    <col min="9223" max="9223" width="12.140625" style="310" customWidth="1"/>
    <col min="9224" max="9472" width="9.140625" style="310"/>
    <col min="9473" max="9473" width="41.7109375" style="310" customWidth="1"/>
    <col min="9474" max="9474" width="22.85546875" style="310" customWidth="1"/>
    <col min="9475" max="9475" width="3" style="310" customWidth="1"/>
    <col min="9476" max="9476" width="9.140625" style="310"/>
    <col min="9477" max="9477" width="11.5703125" style="310" customWidth="1"/>
    <col min="9478" max="9478" width="10.85546875" style="310" customWidth="1"/>
    <col min="9479" max="9479" width="12.140625" style="310" customWidth="1"/>
    <col min="9480" max="9728" width="9.140625" style="310"/>
    <col min="9729" max="9729" width="41.7109375" style="310" customWidth="1"/>
    <col min="9730" max="9730" width="22.85546875" style="310" customWidth="1"/>
    <col min="9731" max="9731" width="3" style="310" customWidth="1"/>
    <col min="9732" max="9732" width="9.140625" style="310"/>
    <col min="9733" max="9733" width="11.5703125" style="310" customWidth="1"/>
    <col min="9734" max="9734" width="10.85546875" style="310" customWidth="1"/>
    <col min="9735" max="9735" width="12.140625" style="310" customWidth="1"/>
    <col min="9736" max="9984" width="9.140625" style="310"/>
    <col min="9985" max="9985" width="41.7109375" style="310" customWidth="1"/>
    <col min="9986" max="9986" width="22.85546875" style="310" customWidth="1"/>
    <col min="9987" max="9987" width="3" style="310" customWidth="1"/>
    <col min="9988" max="9988" width="9.140625" style="310"/>
    <col min="9989" max="9989" width="11.5703125" style="310" customWidth="1"/>
    <col min="9990" max="9990" width="10.85546875" style="310" customWidth="1"/>
    <col min="9991" max="9991" width="12.140625" style="310" customWidth="1"/>
    <col min="9992" max="10240" width="9.140625" style="310"/>
    <col min="10241" max="10241" width="41.7109375" style="310" customWidth="1"/>
    <col min="10242" max="10242" width="22.85546875" style="310" customWidth="1"/>
    <col min="10243" max="10243" width="3" style="310" customWidth="1"/>
    <col min="10244" max="10244" width="9.140625" style="310"/>
    <col min="10245" max="10245" width="11.5703125" style="310" customWidth="1"/>
    <col min="10246" max="10246" width="10.85546875" style="310" customWidth="1"/>
    <col min="10247" max="10247" width="12.140625" style="310" customWidth="1"/>
    <col min="10248" max="10496" width="9.140625" style="310"/>
    <col min="10497" max="10497" width="41.7109375" style="310" customWidth="1"/>
    <col min="10498" max="10498" width="22.85546875" style="310" customWidth="1"/>
    <col min="10499" max="10499" width="3" style="310" customWidth="1"/>
    <col min="10500" max="10500" width="9.140625" style="310"/>
    <col min="10501" max="10501" width="11.5703125" style="310" customWidth="1"/>
    <col min="10502" max="10502" width="10.85546875" style="310" customWidth="1"/>
    <col min="10503" max="10503" width="12.140625" style="310" customWidth="1"/>
    <col min="10504" max="10752" width="9.140625" style="310"/>
    <col min="10753" max="10753" width="41.7109375" style="310" customWidth="1"/>
    <col min="10754" max="10754" width="22.85546875" style="310" customWidth="1"/>
    <col min="10755" max="10755" width="3" style="310" customWidth="1"/>
    <col min="10756" max="10756" width="9.140625" style="310"/>
    <col min="10757" max="10757" width="11.5703125" style="310" customWidth="1"/>
    <col min="10758" max="10758" width="10.85546875" style="310" customWidth="1"/>
    <col min="10759" max="10759" width="12.140625" style="310" customWidth="1"/>
    <col min="10760" max="11008" width="9.140625" style="310"/>
    <col min="11009" max="11009" width="41.7109375" style="310" customWidth="1"/>
    <col min="11010" max="11010" width="22.85546875" style="310" customWidth="1"/>
    <col min="11011" max="11011" width="3" style="310" customWidth="1"/>
    <col min="11012" max="11012" width="9.140625" style="310"/>
    <col min="11013" max="11013" width="11.5703125" style="310" customWidth="1"/>
    <col min="11014" max="11014" width="10.85546875" style="310" customWidth="1"/>
    <col min="11015" max="11015" width="12.140625" style="310" customWidth="1"/>
    <col min="11016" max="11264" width="9.140625" style="310"/>
    <col min="11265" max="11265" width="41.7109375" style="310" customWidth="1"/>
    <col min="11266" max="11266" width="22.85546875" style="310" customWidth="1"/>
    <col min="11267" max="11267" width="3" style="310" customWidth="1"/>
    <col min="11268" max="11268" width="9.140625" style="310"/>
    <col min="11269" max="11269" width="11.5703125" style="310" customWidth="1"/>
    <col min="11270" max="11270" width="10.85546875" style="310" customWidth="1"/>
    <col min="11271" max="11271" width="12.140625" style="310" customWidth="1"/>
    <col min="11272" max="11520" width="9.140625" style="310"/>
    <col min="11521" max="11521" width="41.7109375" style="310" customWidth="1"/>
    <col min="11522" max="11522" width="22.85546875" style="310" customWidth="1"/>
    <col min="11523" max="11523" width="3" style="310" customWidth="1"/>
    <col min="11524" max="11524" width="9.140625" style="310"/>
    <col min="11525" max="11525" width="11.5703125" style="310" customWidth="1"/>
    <col min="11526" max="11526" width="10.85546875" style="310" customWidth="1"/>
    <col min="11527" max="11527" width="12.140625" style="310" customWidth="1"/>
    <col min="11528" max="11776" width="9.140625" style="310"/>
    <col min="11777" max="11777" width="41.7109375" style="310" customWidth="1"/>
    <col min="11778" max="11778" width="22.85546875" style="310" customWidth="1"/>
    <col min="11779" max="11779" width="3" style="310" customWidth="1"/>
    <col min="11780" max="11780" width="9.140625" style="310"/>
    <col min="11781" max="11781" width="11.5703125" style="310" customWidth="1"/>
    <col min="11782" max="11782" width="10.85546875" style="310" customWidth="1"/>
    <col min="11783" max="11783" width="12.140625" style="310" customWidth="1"/>
    <col min="11784" max="12032" width="9.140625" style="310"/>
    <col min="12033" max="12033" width="41.7109375" style="310" customWidth="1"/>
    <col min="12034" max="12034" width="22.85546875" style="310" customWidth="1"/>
    <col min="12035" max="12035" width="3" style="310" customWidth="1"/>
    <col min="12036" max="12036" width="9.140625" style="310"/>
    <col min="12037" max="12037" width="11.5703125" style="310" customWidth="1"/>
    <col min="12038" max="12038" width="10.85546875" style="310" customWidth="1"/>
    <col min="12039" max="12039" width="12.140625" style="310" customWidth="1"/>
    <col min="12040" max="12288" width="9.140625" style="310"/>
    <col min="12289" max="12289" width="41.7109375" style="310" customWidth="1"/>
    <col min="12290" max="12290" width="22.85546875" style="310" customWidth="1"/>
    <col min="12291" max="12291" width="3" style="310" customWidth="1"/>
    <col min="12292" max="12292" width="9.140625" style="310"/>
    <col min="12293" max="12293" width="11.5703125" style="310" customWidth="1"/>
    <col min="12294" max="12294" width="10.85546875" style="310" customWidth="1"/>
    <col min="12295" max="12295" width="12.140625" style="310" customWidth="1"/>
    <col min="12296" max="12544" width="9.140625" style="310"/>
    <col min="12545" max="12545" width="41.7109375" style="310" customWidth="1"/>
    <col min="12546" max="12546" width="22.85546875" style="310" customWidth="1"/>
    <col min="12547" max="12547" width="3" style="310" customWidth="1"/>
    <col min="12548" max="12548" width="9.140625" style="310"/>
    <col min="12549" max="12549" width="11.5703125" style="310" customWidth="1"/>
    <col min="12550" max="12550" width="10.85546875" style="310" customWidth="1"/>
    <col min="12551" max="12551" width="12.140625" style="310" customWidth="1"/>
    <col min="12552" max="12800" width="9.140625" style="310"/>
    <col min="12801" max="12801" width="41.7109375" style="310" customWidth="1"/>
    <col min="12802" max="12802" width="22.85546875" style="310" customWidth="1"/>
    <col min="12803" max="12803" width="3" style="310" customWidth="1"/>
    <col min="12804" max="12804" width="9.140625" style="310"/>
    <col min="12805" max="12805" width="11.5703125" style="310" customWidth="1"/>
    <col min="12806" max="12806" width="10.85546875" style="310" customWidth="1"/>
    <col min="12807" max="12807" width="12.140625" style="310" customWidth="1"/>
    <col min="12808" max="13056" width="9.140625" style="310"/>
    <col min="13057" max="13057" width="41.7109375" style="310" customWidth="1"/>
    <col min="13058" max="13058" width="22.85546875" style="310" customWidth="1"/>
    <col min="13059" max="13059" width="3" style="310" customWidth="1"/>
    <col min="13060" max="13060" width="9.140625" style="310"/>
    <col min="13061" max="13061" width="11.5703125" style="310" customWidth="1"/>
    <col min="13062" max="13062" width="10.85546875" style="310" customWidth="1"/>
    <col min="13063" max="13063" width="12.140625" style="310" customWidth="1"/>
    <col min="13064" max="13312" width="9.140625" style="310"/>
    <col min="13313" max="13313" width="41.7109375" style="310" customWidth="1"/>
    <col min="13314" max="13314" width="22.85546875" style="310" customWidth="1"/>
    <col min="13315" max="13315" width="3" style="310" customWidth="1"/>
    <col min="13316" max="13316" width="9.140625" style="310"/>
    <col min="13317" max="13317" width="11.5703125" style="310" customWidth="1"/>
    <col min="13318" max="13318" width="10.85546875" style="310" customWidth="1"/>
    <col min="13319" max="13319" width="12.140625" style="310" customWidth="1"/>
    <col min="13320" max="13568" width="9.140625" style="310"/>
    <col min="13569" max="13569" width="41.7109375" style="310" customWidth="1"/>
    <col min="13570" max="13570" width="22.85546875" style="310" customWidth="1"/>
    <col min="13571" max="13571" width="3" style="310" customWidth="1"/>
    <col min="13572" max="13572" width="9.140625" style="310"/>
    <col min="13573" max="13573" width="11.5703125" style="310" customWidth="1"/>
    <col min="13574" max="13574" width="10.85546875" style="310" customWidth="1"/>
    <col min="13575" max="13575" width="12.140625" style="310" customWidth="1"/>
    <col min="13576" max="13824" width="9.140625" style="310"/>
    <col min="13825" max="13825" width="41.7109375" style="310" customWidth="1"/>
    <col min="13826" max="13826" width="22.85546875" style="310" customWidth="1"/>
    <col min="13827" max="13827" width="3" style="310" customWidth="1"/>
    <col min="13828" max="13828" width="9.140625" style="310"/>
    <col min="13829" max="13829" width="11.5703125" style="310" customWidth="1"/>
    <col min="13830" max="13830" width="10.85546875" style="310" customWidth="1"/>
    <col min="13831" max="13831" width="12.140625" style="310" customWidth="1"/>
    <col min="13832" max="14080" width="9.140625" style="310"/>
    <col min="14081" max="14081" width="41.7109375" style="310" customWidth="1"/>
    <col min="14082" max="14082" width="22.85546875" style="310" customWidth="1"/>
    <col min="14083" max="14083" width="3" style="310" customWidth="1"/>
    <col min="14084" max="14084" width="9.140625" style="310"/>
    <col min="14085" max="14085" width="11.5703125" style="310" customWidth="1"/>
    <col min="14086" max="14086" width="10.85546875" style="310" customWidth="1"/>
    <col min="14087" max="14087" width="12.140625" style="310" customWidth="1"/>
    <col min="14088" max="14336" width="9.140625" style="310"/>
    <col min="14337" max="14337" width="41.7109375" style="310" customWidth="1"/>
    <col min="14338" max="14338" width="22.85546875" style="310" customWidth="1"/>
    <col min="14339" max="14339" width="3" style="310" customWidth="1"/>
    <col min="14340" max="14340" width="9.140625" style="310"/>
    <col min="14341" max="14341" width="11.5703125" style="310" customWidth="1"/>
    <col min="14342" max="14342" width="10.85546875" style="310" customWidth="1"/>
    <col min="14343" max="14343" width="12.140625" style="310" customWidth="1"/>
    <col min="14344" max="14592" width="9.140625" style="310"/>
    <col min="14593" max="14593" width="41.7109375" style="310" customWidth="1"/>
    <col min="14594" max="14594" width="22.85546875" style="310" customWidth="1"/>
    <col min="14595" max="14595" width="3" style="310" customWidth="1"/>
    <col min="14596" max="14596" width="9.140625" style="310"/>
    <col min="14597" max="14597" width="11.5703125" style="310" customWidth="1"/>
    <col min="14598" max="14598" width="10.85546875" style="310" customWidth="1"/>
    <col min="14599" max="14599" width="12.140625" style="310" customWidth="1"/>
    <col min="14600" max="14848" width="9.140625" style="310"/>
    <col min="14849" max="14849" width="41.7109375" style="310" customWidth="1"/>
    <col min="14850" max="14850" width="22.85546875" style="310" customWidth="1"/>
    <col min="14851" max="14851" width="3" style="310" customWidth="1"/>
    <col min="14852" max="14852" width="9.140625" style="310"/>
    <col min="14853" max="14853" width="11.5703125" style="310" customWidth="1"/>
    <col min="14854" max="14854" width="10.85546875" style="310" customWidth="1"/>
    <col min="14855" max="14855" width="12.140625" style="310" customWidth="1"/>
    <col min="14856" max="15104" width="9.140625" style="310"/>
    <col min="15105" max="15105" width="41.7109375" style="310" customWidth="1"/>
    <col min="15106" max="15106" width="22.85546875" style="310" customWidth="1"/>
    <col min="15107" max="15107" width="3" style="310" customWidth="1"/>
    <col min="15108" max="15108" width="9.140625" style="310"/>
    <col min="15109" max="15109" width="11.5703125" style="310" customWidth="1"/>
    <col min="15110" max="15110" width="10.85546875" style="310" customWidth="1"/>
    <col min="15111" max="15111" width="12.140625" style="310" customWidth="1"/>
    <col min="15112" max="15360" width="9.140625" style="310"/>
    <col min="15361" max="15361" width="41.7109375" style="310" customWidth="1"/>
    <col min="15362" max="15362" width="22.85546875" style="310" customWidth="1"/>
    <col min="15363" max="15363" width="3" style="310" customWidth="1"/>
    <col min="15364" max="15364" width="9.140625" style="310"/>
    <col min="15365" max="15365" width="11.5703125" style="310" customWidth="1"/>
    <col min="15366" max="15366" width="10.85546875" style="310" customWidth="1"/>
    <col min="15367" max="15367" width="12.140625" style="310" customWidth="1"/>
    <col min="15368" max="15616" width="9.140625" style="310"/>
    <col min="15617" max="15617" width="41.7109375" style="310" customWidth="1"/>
    <col min="15618" max="15618" width="22.85546875" style="310" customWidth="1"/>
    <col min="15619" max="15619" width="3" style="310" customWidth="1"/>
    <col min="15620" max="15620" width="9.140625" style="310"/>
    <col min="15621" max="15621" width="11.5703125" style="310" customWidth="1"/>
    <col min="15622" max="15622" width="10.85546875" style="310" customWidth="1"/>
    <col min="15623" max="15623" width="12.140625" style="310" customWidth="1"/>
    <col min="15624" max="15872" width="9.140625" style="310"/>
    <col min="15873" max="15873" width="41.7109375" style="310" customWidth="1"/>
    <col min="15874" max="15874" width="22.85546875" style="310" customWidth="1"/>
    <col min="15875" max="15875" width="3" style="310" customWidth="1"/>
    <col min="15876" max="15876" width="9.140625" style="310"/>
    <col min="15877" max="15877" width="11.5703125" style="310" customWidth="1"/>
    <col min="15878" max="15878" width="10.85546875" style="310" customWidth="1"/>
    <col min="15879" max="15879" width="12.140625" style="310" customWidth="1"/>
    <col min="15880" max="16128" width="9.140625" style="310"/>
    <col min="16129" max="16129" width="41.7109375" style="310" customWidth="1"/>
    <col min="16130" max="16130" width="22.85546875" style="310" customWidth="1"/>
    <col min="16131" max="16131" width="3" style="310" customWidth="1"/>
    <col min="16132" max="16132" width="9.140625" style="310"/>
    <col min="16133" max="16133" width="11.5703125" style="310" customWidth="1"/>
    <col min="16134" max="16134" width="10.85546875" style="310" customWidth="1"/>
    <col min="16135" max="16135" width="12.140625" style="310" customWidth="1"/>
    <col min="16136" max="16384" width="9.140625" style="310"/>
  </cols>
  <sheetData>
    <row r="1" spans="1:3" ht="18">
      <c r="A1" s="475" t="s">
        <v>491</v>
      </c>
      <c r="B1" s="475"/>
    </row>
    <row r="2" spans="1:3" ht="18">
      <c r="A2" s="476" t="s">
        <v>302</v>
      </c>
      <c r="B2" s="476"/>
    </row>
    <row r="3" spans="1:3" ht="18">
      <c r="A3" s="476" t="s">
        <v>305</v>
      </c>
      <c r="B3" s="476"/>
    </row>
    <row r="4" spans="1:3" ht="18">
      <c r="A4" s="476" t="s">
        <v>91</v>
      </c>
      <c r="B4" s="476"/>
    </row>
    <row r="5" spans="1:3" ht="18">
      <c r="A5" s="476"/>
      <c r="B5" s="476"/>
    </row>
    <row r="6" spans="1:3" ht="17.25" thickBot="1">
      <c r="A6" s="311" t="s">
        <v>303</v>
      </c>
      <c r="B6" s="312">
        <v>42735</v>
      </c>
    </row>
    <row r="7" spans="1:3" ht="18" thickTop="1" thickBot="1">
      <c r="A7" s="313" t="s">
        <v>92</v>
      </c>
      <c r="B7" s="314" t="s">
        <v>93</v>
      </c>
    </row>
    <row r="8" spans="1:3" ht="18" thickTop="1" thickBot="1">
      <c r="A8" s="477" t="s">
        <v>94</v>
      </c>
      <c r="B8" s="477"/>
      <c r="C8" s="315"/>
    </row>
    <row r="9" spans="1:3" ht="17.25" thickTop="1">
      <c r="A9" s="316" t="s">
        <v>95</v>
      </c>
      <c r="B9" s="316" t="s">
        <v>83</v>
      </c>
    </row>
    <row r="10" spans="1:3" ht="16.5">
      <c r="A10" s="316" t="s">
        <v>96</v>
      </c>
      <c r="B10" s="317"/>
    </row>
    <row r="11" spans="1:3" ht="16.5">
      <c r="A11" s="318" t="s">
        <v>97</v>
      </c>
      <c r="B11" s="319"/>
    </row>
    <row r="12" spans="1:3" ht="16.5">
      <c r="A12" s="320" t="s">
        <v>98</v>
      </c>
      <c r="B12" s="321">
        <f>SUM(B10:B11)</f>
        <v>0</v>
      </c>
    </row>
    <row r="13" spans="1:3" ht="16.5">
      <c r="A13" s="322" t="s">
        <v>99</v>
      </c>
      <c r="B13" s="323"/>
    </row>
    <row r="14" spans="1:3" ht="16.5">
      <c r="A14" s="322" t="s">
        <v>100</v>
      </c>
      <c r="B14" s="323"/>
    </row>
    <row r="15" spans="1:3" ht="16.5">
      <c r="A15" s="322" t="s">
        <v>101</v>
      </c>
      <c r="B15" s="324">
        <v>2000</v>
      </c>
    </row>
    <row r="16" spans="1:3" ht="16.5">
      <c r="A16" s="322" t="s">
        <v>102</v>
      </c>
      <c r="B16" s="324">
        <v>0</v>
      </c>
    </row>
    <row r="17" spans="1:3" ht="16.5">
      <c r="A17" s="322" t="s">
        <v>103</v>
      </c>
      <c r="B17" s="324">
        <v>0</v>
      </c>
    </row>
    <row r="18" spans="1:3" ht="16.5">
      <c r="A18" s="322" t="s">
        <v>104</v>
      </c>
      <c r="B18" s="324">
        <v>0</v>
      </c>
    </row>
    <row r="19" spans="1:3" ht="16.5">
      <c r="A19" s="322" t="s">
        <v>105</v>
      </c>
      <c r="B19" s="324">
        <v>0</v>
      </c>
    </row>
    <row r="20" spans="1:3" ht="16.5">
      <c r="A20" s="322" t="s">
        <v>106</v>
      </c>
      <c r="B20" s="324"/>
    </row>
    <row r="21" spans="1:3" ht="16.5">
      <c r="A21" s="322" t="s">
        <v>107</v>
      </c>
      <c r="B21" s="324">
        <v>0</v>
      </c>
    </row>
    <row r="22" spans="1:3" ht="16.5">
      <c r="A22" s="320" t="s">
        <v>108</v>
      </c>
      <c r="B22" s="325">
        <f>SUM(B15:B20)</f>
        <v>2000</v>
      </c>
    </row>
    <row r="23" spans="1:3" ht="16.5">
      <c r="A23" s="316" t="s">
        <v>109</v>
      </c>
      <c r="B23" s="326" t="s">
        <v>83</v>
      </c>
    </row>
    <row r="24" spans="1:3" ht="16.5">
      <c r="A24" s="316" t="s">
        <v>110</v>
      </c>
      <c r="B24" s="327"/>
    </row>
    <row r="25" spans="1:3" ht="16.5">
      <c r="A25" s="316" t="s">
        <v>111</v>
      </c>
      <c r="B25" s="327"/>
    </row>
    <row r="26" spans="1:3" ht="16.5">
      <c r="A26" s="316" t="s">
        <v>112</v>
      </c>
      <c r="B26" s="327"/>
    </row>
    <row r="27" spans="1:3" ht="16.5">
      <c r="A27" s="316" t="s">
        <v>113</v>
      </c>
      <c r="B27" s="327"/>
    </row>
    <row r="28" spans="1:3" ht="16.5">
      <c r="A28" s="318" t="s">
        <v>114</v>
      </c>
      <c r="B28" s="328"/>
    </row>
    <row r="29" spans="1:3" ht="16.5">
      <c r="A29" s="320" t="s">
        <v>115</v>
      </c>
      <c r="B29" s="325">
        <v>0</v>
      </c>
      <c r="C29" s="329"/>
    </row>
    <row r="30" spans="1:3" ht="16.5">
      <c r="A30" s="316" t="s">
        <v>116</v>
      </c>
      <c r="B30" s="326"/>
    </row>
    <row r="31" spans="1:3" ht="16.5">
      <c r="A31" s="316" t="s">
        <v>117</v>
      </c>
      <c r="B31" s="326"/>
    </row>
    <row r="32" spans="1:3" ht="16.5">
      <c r="A32" s="316" t="s">
        <v>118</v>
      </c>
      <c r="B32" s="327"/>
    </row>
    <row r="33" spans="1:2" ht="16.5">
      <c r="A33" s="316" t="s">
        <v>119</v>
      </c>
      <c r="B33" s="328"/>
    </row>
    <row r="34" spans="1:2" ht="16.5">
      <c r="A34" s="316" t="s">
        <v>120</v>
      </c>
      <c r="B34" s="330"/>
    </row>
    <row r="35" spans="1:2" ht="16.5">
      <c r="A35" s="316" t="s">
        <v>121</v>
      </c>
      <c r="B35" s="331"/>
    </row>
    <row r="36" spans="1:2" ht="16.5">
      <c r="A36" s="316" t="s">
        <v>122</v>
      </c>
      <c r="B36" s="327"/>
    </row>
    <row r="37" spans="1:2" ht="16.5">
      <c r="A37" s="316" t="s">
        <v>123</v>
      </c>
      <c r="B37" s="327"/>
    </row>
    <row r="38" spans="1:2" ht="16.5">
      <c r="A38" s="316" t="s">
        <v>124</v>
      </c>
      <c r="B38" s="327"/>
    </row>
    <row r="39" spans="1:2" ht="16.5">
      <c r="A39" s="316" t="s">
        <v>125</v>
      </c>
      <c r="B39" s="327"/>
    </row>
    <row r="40" spans="1:2" ht="16.5">
      <c r="A40" s="316" t="s">
        <v>126</v>
      </c>
      <c r="B40" s="327"/>
    </row>
    <row r="41" spans="1:2" ht="16.5">
      <c r="A41" s="316" t="s">
        <v>127</v>
      </c>
      <c r="B41" s="327"/>
    </row>
    <row r="42" spans="1:2" ht="16.5">
      <c r="A42" s="316" t="s">
        <v>128</v>
      </c>
      <c r="B42" s="327"/>
    </row>
    <row r="43" spans="1:2" ht="16.5">
      <c r="A43" s="316" t="s">
        <v>129</v>
      </c>
      <c r="B43" s="327"/>
    </row>
    <row r="44" spans="1:2" ht="16.5">
      <c r="A44" s="316" t="s">
        <v>130</v>
      </c>
      <c r="B44" s="327"/>
    </row>
    <row r="45" spans="1:2" ht="16.5">
      <c r="A45" s="318" t="s">
        <v>131</v>
      </c>
      <c r="B45" s="328"/>
    </row>
    <row r="46" spans="1:2" ht="16.5">
      <c r="A46" s="332" t="s">
        <v>132</v>
      </c>
      <c r="B46" s="333">
        <f>SUM(B32:B45)</f>
        <v>0</v>
      </c>
    </row>
    <row r="47" spans="1:2" ht="16.5">
      <c r="A47" s="320" t="s">
        <v>133</v>
      </c>
      <c r="B47" s="325">
        <f>B22+B29+B46</f>
        <v>2000</v>
      </c>
    </row>
    <row r="48" spans="1:2" ht="16.5">
      <c r="A48" s="316" t="s">
        <v>134</v>
      </c>
      <c r="B48" s="326"/>
    </row>
    <row r="49" spans="1:2" ht="16.5">
      <c r="A49" s="316" t="s">
        <v>135</v>
      </c>
      <c r="B49" s="331" t="s">
        <v>83</v>
      </c>
    </row>
    <row r="50" spans="1:2" ht="16.5">
      <c r="A50" s="316" t="s">
        <v>136</v>
      </c>
      <c r="B50" s="330"/>
    </row>
    <row r="51" spans="1:2" ht="16.5">
      <c r="A51" s="316" t="s">
        <v>137</v>
      </c>
      <c r="B51" s="330"/>
    </row>
    <row r="52" spans="1:2" ht="16.5">
      <c r="A52" s="316" t="s">
        <v>138</v>
      </c>
      <c r="B52" s="330"/>
    </row>
    <row r="53" spans="1:2" ht="16.5">
      <c r="A53" s="316" t="s">
        <v>139</v>
      </c>
      <c r="B53" s="330"/>
    </row>
    <row r="54" spans="1:2" ht="16.5">
      <c r="A54" s="316" t="s">
        <v>140</v>
      </c>
      <c r="B54" s="334"/>
    </row>
    <row r="55" spans="1:2" ht="16.5">
      <c r="A55" s="320" t="s">
        <v>141</v>
      </c>
      <c r="B55" s="325">
        <f>SUM(B50:B54)</f>
        <v>0</v>
      </c>
    </row>
    <row r="56" spans="1:2" ht="16.5">
      <c r="A56" s="316" t="s">
        <v>142</v>
      </c>
      <c r="B56" s="333"/>
    </row>
    <row r="57" spans="1:2" ht="16.5">
      <c r="A57" s="316" t="s">
        <v>143</v>
      </c>
      <c r="B57" s="330"/>
    </row>
    <row r="58" spans="1:2" ht="16.5">
      <c r="A58" s="316" t="s">
        <v>144</v>
      </c>
      <c r="B58" s="330"/>
    </row>
    <row r="59" spans="1:2" ht="16.5">
      <c r="A59" s="316" t="s">
        <v>145</v>
      </c>
      <c r="B59" s="330"/>
    </row>
    <row r="60" spans="1:2" ht="16.5">
      <c r="A60" s="316" t="s">
        <v>146</v>
      </c>
      <c r="B60" s="330"/>
    </row>
    <row r="61" spans="1:2" ht="16.5">
      <c r="A61" s="316" t="s">
        <v>144</v>
      </c>
      <c r="B61" s="330"/>
    </row>
    <row r="62" spans="1:2" ht="16.5">
      <c r="A62" s="316" t="s">
        <v>145</v>
      </c>
      <c r="B62" s="330"/>
    </row>
    <row r="63" spans="1:2" ht="16.5">
      <c r="A63" s="316" t="s">
        <v>147</v>
      </c>
      <c r="B63" s="330"/>
    </row>
    <row r="64" spans="1:2" ht="16.5">
      <c r="A64" s="316" t="s">
        <v>144</v>
      </c>
      <c r="B64" s="330"/>
    </row>
    <row r="65" spans="1:2" ht="16.5">
      <c r="A65" s="316" t="s">
        <v>145</v>
      </c>
      <c r="B65" s="330"/>
    </row>
    <row r="66" spans="1:2" ht="16.5">
      <c r="A66" s="316" t="s">
        <v>148</v>
      </c>
      <c r="B66" s="330"/>
    </row>
    <row r="67" spans="1:2" ht="16.5">
      <c r="A67" s="316" t="s">
        <v>144</v>
      </c>
      <c r="B67" s="330"/>
    </row>
    <row r="68" spans="1:2" ht="16.5">
      <c r="A68" s="316" t="s">
        <v>145</v>
      </c>
      <c r="B68" s="330"/>
    </row>
    <row r="69" spans="1:2" ht="16.5">
      <c r="A69" s="316" t="s">
        <v>149</v>
      </c>
      <c r="B69" s="330" t="s">
        <v>83</v>
      </c>
    </row>
    <row r="70" spans="1:2" ht="16.5">
      <c r="A70" s="316" t="s">
        <v>144</v>
      </c>
      <c r="B70" s="330">
        <v>0</v>
      </c>
    </row>
    <row r="71" spans="1:2" ht="16.5">
      <c r="A71" s="335" t="s">
        <v>145</v>
      </c>
      <c r="B71" s="334">
        <f>'[1] contabile anteimposte'!E14</f>
        <v>0</v>
      </c>
    </row>
    <row r="72" spans="1:2" ht="16.5">
      <c r="A72" s="316" t="s">
        <v>150</v>
      </c>
      <c r="B72" s="330">
        <v>0</v>
      </c>
    </row>
    <row r="73" spans="1:2" ht="16.5">
      <c r="A73" s="316" t="s">
        <v>151</v>
      </c>
      <c r="B73" s="333"/>
    </row>
    <row r="74" spans="1:2" ht="16.5">
      <c r="A74" s="316" t="s">
        <v>144</v>
      </c>
      <c r="B74" s="330">
        <f>'[1] contabile anteimposte'!E13</f>
        <v>0</v>
      </c>
    </row>
    <row r="75" spans="1:2" ht="16.5">
      <c r="A75" s="318" t="s">
        <v>145</v>
      </c>
      <c r="B75" s="334"/>
    </row>
    <row r="76" spans="1:2" ht="16.5">
      <c r="A76" s="320" t="s">
        <v>152</v>
      </c>
      <c r="B76" s="325">
        <f>SUM(B58:B75)</f>
        <v>0</v>
      </c>
    </row>
    <row r="77" spans="1:2" ht="16.5">
      <c r="A77" s="316" t="s">
        <v>153</v>
      </c>
      <c r="B77" s="333"/>
    </row>
    <row r="78" spans="1:2" ht="16.5">
      <c r="A78" s="316" t="s">
        <v>154</v>
      </c>
      <c r="B78" s="330"/>
    </row>
    <row r="79" spans="1:2" ht="16.5">
      <c r="A79" s="316" t="s">
        <v>155</v>
      </c>
      <c r="B79" s="330"/>
    </row>
    <row r="80" spans="1:2" ht="16.5">
      <c r="A80" s="316" t="s">
        <v>156</v>
      </c>
      <c r="B80" s="330"/>
    </row>
    <row r="81" spans="1:3" ht="16.5">
      <c r="A81" s="316" t="s">
        <v>157</v>
      </c>
      <c r="B81" s="330"/>
    </row>
    <row r="82" spans="1:3" ht="16.5">
      <c r="A82" s="318" t="s">
        <v>158</v>
      </c>
      <c r="B82" s="334"/>
    </row>
    <row r="83" spans="1:3" ht="16.5">
      <c r="A83" s="320" t="s">
        <v>159</v>
      </c>
      <c r="B83" s="325">
        <f>SUM(B78:B82)</f>
        <v>0</v>
      </c>
    </row>
    <row r="84" spans="1:3" ht="16.5">
      <c r="A84" s="316" t="s">
        <v>160</v>
      </c>
      <c r="B84" s="333"/>
    </row>
    <row r="85" spans="1:3" ht="16.5">
      <c r="A85" s="316" t="s">
        <v>161</v>
      </c>
      <c r="B85" s="330">
        <v>8000</v>
      </c>
    </row>
    <row r="86" spans="1:3" ht="16.5">
      <c r="A86" s="316" t="s">
        <v>162</v>
      </c>
      <c r="B86" s="330"/>
    </row>
    <row r="87" spans="1:3" ht="16.5">
      <c r="A87" s="318" t="s">
        <v>163</v>
      </c>
      <c r="B87" s="334"/>
    </row>
    <row r="88" spans="1:3" ht="16.5">
      <c r="A88" s="320" t="s">
        <v>164</v>
      </c>
      <c r="B88" s="325">
        <f>SUM(B85:B87)</f>
        <v>8000</v>
      </c>
    </row>
    <row r="89" spans="1:3" ht="16.5">
      <c r="A89" s="320" t="s">
        <v>165</v>
      </c>
      <c r="B89" s="325">
        <f>B22+B29+B46+B76+B88</f>
        <v>10000</v>
      </c>
    </row>
    <row r="90" spans="1:3" ht="16.5">
      <c r="A90" s="316" t="s">
        <v>166</v>
      </c>
      <c r="B90" s="333"/>
    </row>
    <row r="91" spans="1:3" ht="16.5">
      <c r="A91" s="316" t="s">
        <v>167</v>
      </c>
      <c r="B91" s="330">
        <v>0</v>
      </c>
    </row>
    <row r="92" spans="1:3" ht="16.5">
      <c r="A92" s="318" t="s">
        <v>168</v>
      </c>
      <c r="B92" s="334"/>
    </row>
    <row r="93" spans="1:3" ht="16.5">
      <c r="A93" s="320" t="s">
        <v>169</v>
      </c>
      <c r="B93" s="325">
        <f>SUM(B91:B92)</f>
        <v>0</v>
      </c>
    </row>
    <row r="94" spans="1:3" ht="16.5">
      <c r="A94" s="318" t="s">
        <v>170</v>
      </c>
      <c r="B94" s="325">
        <f>B89+B93</f>
        <v>10000</v>
      </c>
      <c r="C94" s="329"/>
    </row>
    <row r="95" spans="1:3" ht="16.5">
      <c r="A95" s="473" t="s">
        <v>171</v>
      </c>
      <c r="B95" s="473"/>
    </row>
    <row r="96" spans="1:3" ht="16.5">
      <c r="A96" s="316" t="s">
        <v>172</v>
      </c>
      <c r="B96" s="336"/>
    </row>
    <row r="97" spans="1:2" ht="16.5">
      <c r="A97" s="316" t="s">
        <v>173</v>
      </c>
      <c r="B97" s="330">
        <v>10000</v>
      </c>
    </row>
    <row r="98" spans="1:2" ht="16.5">
      <c r="A98" s="316" t="s">
        <v>174</v>
      </c>
      <c r="B98" s="330">
        <v>0</v>
      </c>
    </row>
    <row r="99" spans="1:2" ht="16.5">
      <c r="A99" s="316" t="s">
        <v>175</v>
      </c>
      <c r="B99" s="327"/>
    </row>
    <row r="100" spans="1:2" ht="16.5">
      <c r="A100" s="316" t="s">
        <v>176</v>
      </c>
      <c r="B100" s="327"/>
    </row>
    <row r="101" spans="1:2" ht="16.5">
      <c r="A101" s="316" t="s">
        <v>177</v>
      </c>
      <c r="B101" s="327"/>
    </row>
    <row r="102" spans="1:2" ht="16.5">
      <c r="A102" s="316" t="s">
        <v>178</v>
      </c>
      <c r="B102" s="327"/>
    </row>
    <row r="103" spans="1:2" ht="16.5">
      <c r="A103" s="316" t="s">
        <v>179</v>
      </c>
      <c r="B103" s="327"/>
    </row>
    <row r="104" spans="1:2" ht="16.5">
      <c r="A104" s="316" t="s">
        <v>180</v>
      </c>
      <c r="B104" s="327"/>
    </row>
    <row r="105" spans="1:2" ht="16.5">
      <c r="A105" s="316" t="s">
        <v>181</v>
      </c>
      <c r="B105" s="327"/>
    </row>
    <row r="106" spans="1:2" ht="16.5">
      <c r="A106" s="316" t="s">
        <v>182</v>
      </c>
      <c r="B106" s="327"/>
    </row>
    <row r="107" spans="1:2" ht="16.5">
      <c r="A107" s="316" t="s">
        <v>183</v>
      </c>
      <c r="B107" s="327"/>
    </row>
    <row r="108" spans="1:2" ht="16.5">
      <c r="A108" s="316" t="s">
        <v>184</v>
      </c>
      <c r="B108" s="327"/>
    </row>
    <row r="109" spans="1:2" ht="16.5">
      <c r="A109" s="318" t="s">
        <v>185</v>
      </c>
      <c r="B109" s="330">
        <v>0</v>
      </c>
    </row>
    <row r="110" spans="1:2" ht="16.5">
      <c r="A110" s="320" t="s">
        <v>186</v>
      </c>
      <c r="B110" s="325">
        <f>SUM(B97:B109)</f>
        <v>10000</v>
      </c>
    </row>
    <row r="111" spans="1:2" ht="16.5">
      <c r="A111" s="316" t="s">
        <v>187</v>
      </c>
      <c r="B111" s="326"/>
    </row>
    <row r="112" spans="1:2" ht="16.5">
      <c r="A112" s="316" t="s">
        <v>188</v>
      </c>
      <c r="B112" s="328"/>
    </row>
    <row r="113" spans="1:4" ht="16.5">
      <c r="A113" s="316" t="s">
        <v>189</v>
      </c>
      <c r="B113" s="328"/>
    </row>
    <row r="114" spans="1:4" ht="16.5">
      <c r="A114" s="318" t="s">
        <v>190</v>
      </c>
      <c r="B114" s="328"/>
    </row>
    <row r="115" spans="1:4" ht="16.5">
      <c r="A115" s="320" t="s">
        <v>191</v>
      </c>
      <c r="B115" s="325">
        <f>SUM(B112:B114)</f>
        <v>0</v>
      </c>
    </row>
    <row r="116" spans="1:4" ht="16.5">
      <c r="A116" s="320" t="s">
        <v>192</v>
      </c>
      <c r="B116" s="325">
        <v>0</v>
      </c>
    </row>
    <row r="117" spans="1:4" ht="16.5">
      <c r="A117" s="316" t="s">
        <v>193</v>
      </c>
      <c r="B117" s="326"/>
    </row>
    <row r="118" spans="1:4" ht="16.5">
      <c r="A118" s="316" t="s">
        <v>194</v>
      </c>
      <c r="B118" s="326"/>
    </row>
    <row r="119" spans="1:4" ht="16.5">
      <c r="A119" s="316" t="s">
        <v>144</v>
      </c>
      <c r="B119" s="327"/>
    </row>
    <row r="120" spans="1:4" ht="16.5">
      <c r="A120" s="316" t="s">
        <v>145</v>
      </c>
      <c r="B120" s="327"/>
    </row>
    <row r="121" spans="1:4" ht="16.5">
      <c r="A121" s="316" t="s">
        <v>195</v>
      </c>
      <c r="B121" s="326"/>
    </row>
    <row r="122" spans="1:4" ht="16.5">
      <c r="A122" s="316" t="s">
        <v>144</v>
      </c>
      <c r="B122" s="327"/>
    </row>
    <row r="123" spans="1:4" ht="16.5">
      <c r="A123" s="316" t="s">
        <v>145</v>
      </c>
      <c r="B123" s="327"/>
    </row>
    <row r="124" spans="1:4" ht="16.5">
      <c r="A124" s="316" t="s">
        <v>196</v>
      </c>
      <c r="B124" s="326"/>
    </row>
    <row r="125" spans="1:4" ht="16.5">
      <c r="A125" s="316" t="s">
        <v>144</v>
      </c>
      <c r="B125" s="327"/>
    </row>
    <row r="126" spans="1:4" ht="16.5">
      <c r="A126" s="316" t="s">
        <v>145</v>
      </c>
      <c r="B126" s="327"/>
    </row>
    <row r="127" spans="1:4" ht="16.5">
      <c r="A127" s="316" t="s">
        <v>197</v>
      </c>
      <c r="B127" s="326"/>
    </row>
    <row r="128" spans="1:4" ht="16.5">
      <c r="A128" s="316" t="s">
        <v>144</v>
      </c>
      <c r="B128" s="327">
        <v>0</v>
      </c>
      <c r="D128" s="310" t="s">
        <v>315</v>
      </c>
    </row>
    <row r="129" spans="1:4" ht="16.5">
      <c r="A129" s="316" t="s">
        <v>145</v>
      </c>
      <c r="B129" s="327">
        <v>0</v>
      </c>
      <c r="D129" s="310" t="s">
        <v>316</v>
      </c>
    </row>
    <row r="130" spans="1:4" ht="16.5">
      <c r="A130" s="316" t="s">
        <v>198</v>
      </c>
      <c r="B130" s="326"/>
    </row>
    <row r="131" spans="1:4" ht="16.5">
      <c r="A131" s="316" t="s">
        <v>144</v>
      </c>
      <c r="B131" s="327"/>
    </row>
    <row r="132" spans="1:4" ht="16.5">
      <c r="A132" s="316" t="s">
        <v>145</v>
      </c>
      <c r="B132" s="327"/>
    </row>
    <row r="133" spans="1:4" ht="16.5">
      <c r="A133" s="316" t="s">
        <v>199</v>
      </c>
    </row>
    <row r="134" spans="1:4" ht="16.5">
      <c r="A134" s="316" t="s">
        <v>144</v>
      </c>
      <c r="B134" s="326">
        <v>0</v>
      </c>
    </row>
    <row r="135" spans="1:4" ht="16.5">
      <c r="A135" s="316" t="s">
        <v>145</v>
      </c>
      <c r="B135" s="327"/>
    </row>
    <row r="136" spans="1:4" ht="16.5">
      <c r="A136" s="316" t="s">
        <v>200</v>
      </c>
      <c r="B136" s="326"/>
    </row>
    <row r="137" spans="1:4" ht="16.5">
      <c r="A137" s="316" t="s">
        <v>144</v>
      </c>
      <c r="B137" s="327"/>
    </row>
    <row r="138" spans="1:4" ht="16.5">
      <c r="A138" s="316" t="s">
        <v>145</v>
      </c>
      <c r="B138" s="327"/>
    </row>
    <row r="139" spans="1:4" ht="16.5">
      <c r="A139" s="316" t="s">
        <v>201</v>
      </c>
      <c r="B139" s="326"/>
    </row>
    <row r="140" spans="1:4" ht="16.5">
      <c r="A140" s="316" t="s">
        <v>144</v>
      </c>
      <c r="B140" s="327"/>
    </row>
    <row r="141" spans="1:4" ht="16.5">
      <c r="A141" s="316" t="s">
        <v>145</v>
      </c>
      <c r="B141" s="327"/>
    </row>
    <row r="142" spans="1:4" ht="16.5">
      <c r="A142" s="316" t="s">
        <v>202</v>
      </c>
      <c r="B142" s="326"/>
    </row>
    <row r="143" spans="1:4" ht="16.5">
      <c r="A143" s="316" t="s">
        <v>144</v>
      </c>
      <c r="B143" s="327"/>
    </row>
    <row r="144" spans="1:4" ht="16.5">
      <c r="A144" s="316" t="s">
        <v>145</v>
      </c>
      <c r="B144" s="327"/>
    </row>
    <row r="145" spans="1:2" ht="16.5">
      <c r="A145" s="316" t="s">
        <v>203</v>
      </c>
      <c r="B145" s="326"/>
    </row>
    <row r="146" spans="1:2" ht="16.5">
      <c r="A146" s="316" t="s">
        <v>144</v>
      </c>
      <c r="B146" s="330"/>
    </row>
    <row r="147" spans="1:2" ht="16.5">
      <c r="A147" s="316" t="s">
        <v>145</v>
      </c>
      <c r="B147" s="330"/>
    </row>
    <row r="148" spans="1:2" ht="16.5">
      <c r="A148" s="316" t="s">
        <v>204</v>
      </c>
      <c r="B148" s="330"/>
    </row>
    <row r="149" spans="1:2" ht="16.5">
      <c r="A149" s="316" t="s">
        <v>144</v>
      </c>
      <c r="B149" s="330">
        <v>0</v>
      </c>
    </row>
    <row r="150" spans="1:2" ht="16.5">
      <c r="A150" s="316" t="s">
        <v>145</v>
      </c>
      <c r="B150" s="330"/>
    </row>
    <row r="151" spans="1:2" ht="16.5">
      <c r="A151" s="316" t="s">
        <v>205</v>
      </c>
      <c r="B151" s="330"/>
    </row>
    <row r="152" spans="1:2" ht="16.5">
      <c r="A152" s="316" t="s">
        <v>144</v>
      </c>
      <c r="B152" s="330">
        <v>0</v>
      </c>
    </row>
    <row r="153" spans="1:2" ht="16.5">
      <c r="A153" s="316" t="s">
        <v>145</v>
      </c>
      <c r="B153" s="330"/>
    </row>
    <row r="154" spans="1:2" ht="16.5">
      <c r="A154" s="316" t="s">
        <v>206</v>
      </c>
      <c r="B154" s="330"/>
    </row>
    <row r="155" spans="1:2" ht="16.5">
      <c r="A155" s="316" t="s">
        <v>144</v>
      </c>
      <c r="B155" s="330">
        <v>0</v>
      </c>
    </row>
    <row r="156" spans="1:2" ht="16.5">
      <c r="A156" s="318" t="s">
        <v>145</v>
      </c>
      <c r="B156" s="328"/>
    </row>
    <row r="157" spans="1:2" ht="16.5">
      <c r="A157" s="320" t="s">
        <v>207</v>
      </c>
      <c r="B157" s="325">
        <f>SUM(B118:B156)</f>
        <v>0</v>
      </c>
    </row>
    <row r="158" spans="1:2" ht="16.5">
      <c r="A158" s="316" t="s">
        <v>208</v>
      </c>
      <c r="B158" s="326"/>
    </row>
    <row r="159" spans="1:2" ht="16.5">
      <c r="A159" s="316" t="s">
        <v>209</v>
      </c>
      <c r="B159" s="327"/>
    </row>
    <row r="160" spans="1:2" ht="16.5">
      <c r="A160" s="318" t="s">
        <v>168</v>
      </c>
      <c r="B160" s="330">
        <v>0</v>
      </c>
    </row>
    <row r="161" spans="1:5" ht="16.5">
      <c r="A161" s="320" t="s">
        <v>169</v>
      </c>
      <c r="B161" s="325">
        <f>SUM(B159:B160)</f>
        <v>0</v>
      </c>
    </row>
    <row r="162" spans="1:5" ht="16.5">
      <c r="A162" s="320" t="s">
        <v>210</v>
      </c>
      <c r="B162" s="325">
        <f>B110+B157+B161+B116</f>
        <v>10000</v>
      </c>
      <c r="C162" s="329"/>
      <c r="D162" s="329">
        <f>+B162-B94</f>
        <v>0</v>
      </c>
      <c r="E162" s="329"/>
    </row>
    <row r="163" spans="1:5" ht="16.5">
      <c r="A163" s="474"/>
      <c r="B163" s="474"/>
      <c r="D163" s="329"/>
    </row>
    <row r="164" spans="1:5" ht="16.5">
      <c r="A164" s="473" t="s">
        <v>211</v>
      </c>
      <c r="B164" s="473"/>
    </row>
    <row r="165" spans="1:5" ht="16.5">
      <c r="A165" s="316" t="s">
        <v>212</v>
      </c>
      <c r="B165" s="336"/>
    </row>
    <row r="166" spans="1:5" ht="16.5">
      <c r="A166" s="316" t="s">
        <v>213</v>
      </c>
      <c r="B166" s="325">
        <v>0</v>
      </c>
    </row>
    <row r="167" spans="1:5" ht="16.5">
      <c r="A167" s="316" t="s">
        <v>214</v>
      </c>
      <c r="B167" s="330"/>
    </row>
    <row r="168" spans="1:5" ht="16.5">
      <c r="A168" s="316" t="s">
        <v>215</v>
      </c>
      <c r="B168" s="327"/>
    </row>
    <row r="169" spans="1:5" ht="16.5">
      <c r="A169" s="316" t="s">
        <v>216</v>
      </c>
      <c r="B169" s="327"/>
    </row>
    <row r="170" spans="1:5" ht="16.5">
      <c r="A170" s="318" t="s">
        <v>217</v>
      </c>
      <c r="B170" s="337">
        <v>0</v>
      </c>
    </row>
    <row r="171" spans="1:5" ht="16.5">
      <c r="A171" s="318" t="s">
        <v>218</v>
      </c>
      <c r="B171" s="328"/>
    </row>
    <row r="172" spans="1:5" ht="16.5">
      <c r="A172" s="320" t="s">
        <v>219</v>
      </c>
      <c r="B172" s="325">
        <f>SUM(B166:B171)</f>
        <v>0</v>
      </c>
    </row>
    <row r="173" spans="1:5" ht="16.5">
      <c r="A173" s="316" t="s">
        <v>220</v>
      </c>
      <c r="B173" s="326"/>
    </row>
    <row r="174" spans="1:5" ht="16.5">
      <c r="A174" s="316" t="s">
        <v>221</v>
      </c>
      <c r="B174" s="330"/>
    </row>
    <row r="175" spans="1:5" ht="16.5">
      <c r="A175" s="316" t="s">
        <v>222</v>
      </c>
      <c r="B175" s="330"/>
    </row>
    <row r="176" spans="1:5" ht="16.5">
      <c r="A176" s="316" t="s">
        <v>223</v>
      </c>
      <c r="B176" s="330"/>
    </row>
    <row r="177" spans="1:7" ht="16.5">
      <c r="A177" s="316" t="s">
        <v>224</v>
      </c>
      <c r="B177" s="330"/>
    </row>
    <row r="178" spans="1:7" ht="16.5">
      <c r="A178" s="316" t="s">
        <v>225</v>
      </c>
      <c r="B178" s="330"/>
    </row>
    <row r="179" spans="1:7" ht="16.5">
      <c r="A179" s="316" t="s">
        <v>226</v>
      </c>
      <c r="B179" s="330"/>
    </row>
    <row r="180" spans="1:7" ht="16.5">
      <c r="A180" s="316" t="s">
        <v>227</v>
      </c>
      <c r="B180" s="330"/>
    </row>
    <row r="181" spans="1:7" ht="16.5">
      <c r="A181" s="316" t="s">
        <v>228</v>
      </c>
      <c r="B181" s="330"/>
    </row>
    <row r="182" spans="1:7" ht="16.5">
      <c r="A182" s="316" t="s">
        <v>229</v>
      </c>
      <c r="B182" s="330"/>
    </row>
    <row r="183" spans="1:7" ht="16.5">
      <c r="A183" s="316" t="s">
        <v>230</v>
      </c>
      <c r="B183" s="330"/>
    </row>
    <row r="184" spans="1:7" ht="16.5">
      <c r="A184" s="316" t="s">
        <v>231</v>
      </c>
      <c r="B184" s="330"/>
    </row>
    <row r="185" spans="1:7" ht="16.5">
      <c r="A185" s="316" t="s">
        <v>232</v>
      </c>
      <c r="B185" s="330"/>
    </row>
    <row r="186" spans="1:7" ht="16.5">
      <c r="A186" s="316" t="s">
        <v>233</v>
      </c>
      <c r="B186" s="330"/>
      <c r="E186" s="338"/>
      <c r="F186" s="338"/>
      <c r="G186" s="339"/>
    </row>
    <row r="187" spans="1:7" ht="16.5">
      <c r="A187" s="316" t="s">
        <v>234</v>
      </c>
      <c r="B187" s="330"/>
      <c r="E187" s="340"/>
      <c r="F187" s="338"/>
      <c r="G187" s="339"/>
    </row>
    <row r="188" spans="1:7" ht="16.5">
      <c r="A188" s="316" t="s">
        <v>235</v>
      </c>
      <c r="B188" s="330"/>
    </row>
    <row r="189" spans="1:7" ht="16.5">
      <c r="A189" s="316" t="s">
        <v>236</v>
      </c>
      <c r="B189" s="330"/>
    </row>
    <row r="190" spans="1:7" ht="16.5">
      <c r="A190" s="316" t="s">
        <v>237</v>
      </c>
      <c r="B190" s="330"/>
    </row>
    <row r="191" spans="1:7" ht="16.5">
      <c r="A191" s="316" t="s">
        <v>238</v>
      </c>
      <c r="B191" s="330"/>
    </row>
    <row r="192" spans="1:7" ht="16.5">
      <c r="A192" s="316" t="s">
        <v>239</v>
      </c>
      <c r="B192" s="330"/>
    </row>
    <row r="193" spans="1:2" ht="16.5">
      <c r="A193" s="316" t="s">
        <v>240</v>
      </c>
      <c r="B193" s="330"/>
    </row>
    <row r="194" spans="1:2" ht="16.5">
      <c r="A194" s="316" t="s">
        <v>241</v>
      </c>
      <c r="B194" s="330"/>
    </row>
    <row r="195" spans="1:2" ht="16.5">
      <c r="A195" s="318" t="s">
        <v>242</v>
      </c>
      <c r="B195" s="334"/>
    </row>
    <row r="196" spans="1:2" ht="16.5">
      <c r="A196" s="320" t="s">
        <v>243</v>
      </c>
      <c r="B196" s="325">
        <f>SUM(B174:B195)</f>
        <v>0</v>
      </c>
    </row>
    <row r="197" spans="1:2" ht="16.5">
      <c r="A197" s="320" t="s">
        <v>244</v>
      </c>
      <c r="B197" s="325">
        <f>B172-B196</f>
        <v>0</v>
      </c>
    </row>
    <row r="198" spans="1:2" ht="16.5">
      <c r="A198" s="316" t="s">
        <v>245</v>
      </c>
      <c r="B198" s="326"/>
    </row>
    <row r="199" spans="1:2" ht="16.5">
      <c r="A199" s="316" t="s">
        <v>246</v>
      </c>
      <c r="B199" s="326"/>
    </row>
    <row r="200" spans="1:2" ht="16.5">
      <c r="A200" s="316" t="s">
        <v>118</v>
      </c>
      <c r="B200" s="327"/>
    </row>
    <row r="201" spans="1:2" ht="16.5">
      <c r="A201" s="316" t="s">
        <v>119</v>
      </c>
      <c r="B201" s="327"/>
    </row>
    <row r="202" spans="1:2" ht="16.5">
      <c r="A202" s="316" t="s">
        <v>247</v>
      </c>
      <c r="B202" s="327"/>
    </row>
    <row r="203" spans="1:2" ht="16.5">
      <c r="A203" s="316" t="s">
        <v>248</v>
      </c>
      <c r="B203" s="327"/>
    </row>
    <row r="204" spans="1:2" ht="16.5">
      <c r="A204" s="316" t="s">
        <v>249</v>
      </c>
      <c r="B204" s="326"/>
    </row>
    <row r="205" spans="1:2" ht="16.5">
      <c r="A205" s="316" t="s">
        <v>250</v>
      </c>
      <c r="B205" s="327"/>
    </row>
    <row r="206" spans="1:2" ht="16.5">
      <c r="A206" s="316" t="s">
        <v>251</v>
      </c>
      <c r="B206" s="327"/>
    </row>
    <row r="207" spans="1:2" ht="16.5">
      <c r="A207" s="316" t="s">
        <v>252</v>
      </c>
      <c r="B207" s="327"/>
    </row>
    <row r="208" spans="1:2" ht="16.5">
      <c r="A208" s="316" t="s">
        <v>253</v>
      </c>
      <c r="B208" s="327"/>
    </row>
    <row r="209" spans="1:2" ht="16.5">
      <c r="A209" s="316" t="s">
        <v>254</v>
      </c>
      <c r="B209" s="327"/>
    </row>
    <row r="210" spans="1:2" ht="16.5">
      <c r="A210" s="316" t="s">
        <v>255</v>
      </c>
      <c r="B210" s="326"/>
    </row>
    <row r="211" spans="1:2" ht="16.5">
      <c r="A211" s="316" t="s">
        <v>256</v>
      </c>
      <c r="B211" s="327"/>
    </row>
    <row r="212" spans="1:2" ht="16.5">
      <c r="A212" s="316" t="s">
        <v>257</v>
      </c>
      <c r="B212" s="326"/>
    </row>
    <row r="213" spans="1:2" ht="16.5">
      <c r="A213" s="316" t="s">
        <v>258</v>
      </c>
      <c r="B213" s="327"/>
    </row>
    <row r="214" spans="1:2" ht="16.5">
      <c r="A214" s="316" t="s">
        <v>259</v>
      </c>
      <c r="B214" s="327"/>
    </row>
    <row r="215" spans="1:2" ht="16.5">
      <c r="A215" s="316" t="s">
        <v>260</v>
      </c>
      <c r="B215" s="327"/>
    </row>
    <row r="216" spans="1:2" ht="16.5">
      <c r="A216" s="316" t="s">
        <v>261</v>
      </c>
      <c r="B216" s="327"/>
    </row>
    <row r="217" spans="1:2" ht="16.5">
      <c r="A217" s="316" t="s">
        <v>262</v>
      </c>
      <c r="B217" s="327"/>
    </row>
    <row r="218" spans="1:2" ht="16.5">
      <c r="A218" s="318" t="s">
        <v>263</v>
      </c>
      <c r="B218" s="325">
        <v>0</v>
      </c>
    </row>
    <row r="219" spans="1:2" ht="16.5">
      <c r="A219" s="320" t="s">
        <v>264</v>
      </c>
      <c r="B219" s="325">
        <f>SUM(B200:B218)</f>
        <v>0</v>
      </c>
    </row>
    <row r="220" spans="1:2" ht="16.5">
      <c r="A220" s="316" t="s">
        <v>265</v>
      </c>
      <c r="B220" s="326"/>
    </row>
    <row r="221" spans="1:2" ht="16.5">
      <c r="A221" s="316" t="s">
        <v>266</v>
      </c>
      <c r="B221" s="327"/>
    </row>
    <row r="222" spans="1:2" ht="16.5">
      <c r="A222" s="316" t="s">
        <v>267</v>
      </c>
      <c r="B222" s="327"/>
    </row>
    <row r="223" spans="1:2" ht="16.5">
      <c r="A223" s="316" t="s">
        <v>268</v>
      </c>
      <c r="B223" s="327"/>
    </row>
    <row r="224" spans="1:2" ht="16.5">
      <c r="A224" s="316" t="s">
        <v>269</v>
      </c>
      <c r="B224" s="327"/>
    </row>
    <row r="225" spans="1:2" ht="16.5">
      <c r="A225" s="316" t="s">
        <v>270</v>
      </c>
      <c r="B225" s="327"/>
    </row>
    <row r="226" spans="1:2" ht="16.5">
      <c r="A226" s="316" t="s">
        <v>271</v>
      </c>
      <c r="B226" s="327"/>
    </row>
    <row r="227" spans="1:2" ht="16.5">
      <c r="A227" s="318" t="s">
        <v>272</v>
      </c>
      <c r="B227" s="328"/>
    </row>
    <row r="228" spans="1:2" ht="16.5">
      <c r="A228" s="320" t="s">
        <v>273</v>
      </c>
      <c r="B228" s="325">
        <v>0</v>
      </c>
    </row>
    <row r="229" spans="1:2" ht="16.5">
      <c r="A229" s="320" t="s">
        <v>274</v>
      </c>
      <c r="B229" s="325">
        <f>B219-B228</f>
        <v>0</v>
      </c>
    </row>
    <row r="230" spans="1:2" ht="16.5">
      <c r="A230" s="316" t="s">
        <v>275</v>
      </c>
      <c r="B230" s="326"/>
    </row>
    <row r="231" spans="1:2" ht="16.5">
      <c r="A231" s="316" t="s">
        <v>276</v>
      </c>
      <c r="B231" s="326"/>
    </row>
    <row r="232" spans="1:2" ht="16.5">
      <c r="A232" s="316" t="s">
        <v>277</v>
      </c>
      <c r="B232" s="327"/>
    </row>
    <row r="233" spans="1:2" ht="16.5">
      <c r="A233" s="316" t="s">
        <v>278</v>
      </c>
      <c r="B233" s="327"/>
    </row>
    <row r="234" spans="1:2" ht="16.5">
      <c r="A234" s="318" t="s">
        <v>279</v>
      </c>
      <c r="B234" s="328"/>
    </row>
    <row r="235" spans="1:2" ht="16.5">
      <c r="A235" s="320" t="s">
        <v>280</v>
      </c>
      <c r="B235" s="325"/>
    </row>
    <row r="236" spans="1:2" ht="16.5">
      <c r="A236" s="316" t="s">
        <v>281</v>
      </c>
      <c r="B236" s="326"/>
    </row>
    <row r="237" spans="1:2" ht="16.5">
      <c r="A237" s="316" t="s">
        <v>277</v>
      </c>
      <c r="B237" s="327"/>
    </row>
    <row r="238" spans="1:2" ht="16.5">
      <c r="A238" s="316" t="s">
        <v>278</v>
      </c>
      <c r="B238" s="327"/>
    </row>
    <row r="239" spans="1:2" ht="16.5">
      <c r="A239" s="318" t="s">
        <v>279</v>
      </c>
      <c r="B239" s="328"/>
    </row>
    <row r="240" spans="1:2" ht="16.5">
      <c r="A240" s="320" t="s">
        <v>282</v>
      </c>
      <c r="B240" s="325"/>
    </row>
    <row r="241" spans="1:6" ht="16.5">
      <c r="A241" s="320" t="s">
        <v>283</v>
      </c>
      <c r="B241" s="325">
        <v>0</v>
      </c>
    </row>
    <row r="242" spans="1:6" ht="16.5">
      <c r="A242" s="316" t="s">
        <v>284</v>
      </c>
      <c r="B242" s="326"/>
    </row>
    <row r="243" spans="1:6" ht="16.5">
      <c r="A243" s="316" t="s">
        <v>285</v>
      </c>
      <c r="B243" s="326"/>
    </row>
    <row r="244" spans="1:6" ht="16.5">
      <c r="A244" s="316" t="s">
        <v>286</v>
      </c>
      <c r="B244" s="327"/>
    </row>
    <row r="245" spans="1:6" ht="16.5">
      <c r="A245" s="318" t="s">
        <v>287</v>
      </c>
      <c r="B245" s="328"/>
    </row>
    <row r="246" spans="1:6" ht="16.5">
      <c r="A246" s="320" t="s">
        <v>288</v>
      </c>
      <c r="B246" s="325">
        <v>0</v>
      </c>
    </row>
    <row r="247" spans="1:6" ht="16.5">
      <c r="A247" s="316" t="s">
        <v>289</v>
      </c>
      <c r="B247" s="326"/>
    </row>
    <row r="248" spans="1:6" ht="16.5">
      <c r="A248" s="316" t="s">
        <v>290</v>
      </c>
      <c r="B248" s="327"/>
    </row>
    <row r="249" spans="1:6" ht="16.5">
      <c r="A249" s="316" t="s">
        <v>291</v>
      </c>
      <c r="B249" s="327"/>
    </row>
    <row r="250" spans="1:6" ht="16.5">
      <c r="A250" s="318" t="s">
        <v>292</v>
      </c>
      <c r="B250" s="328"/>
    </row>
    <row r="251" spans="1:6" ht="16.5">
      <c r="A251" s="320" t="s">
        <v>293</v>
      </c>
      <c r="B251" s="325">
        <v>0</v>
      </c>
    </row>
    <row r="252" spans="1:6" ht="16.5">
      <c r="A252" s="320" t="s">
        <v>294</v>
      </c>
      <c r="B252" s="325">
        <v>0</v>
      </c>
    </row>
    <row r="253" spans="1:6" ht="16.5">
      <c r="A253" s="320" t="s">
        <v>295</v>
      </c>
      <c r="B253" s="325">
        <f>B197+B229</f>
        <v>0</v>
      </c>
      <c r="F253" s="341"/>
    </row>
    <row r="254" spans="1:6" ht="16.5">
      <c r="A254" s="316" t="s">
        <v>296</v>
      </c>
      <c r="B254" s="326"/>
      <c r="F254" s="341"/>
    </row>
    <row r="255" spans="1:6" ht="16.5">
      <c r="A255" s="316" t="s">
        <v>297</v>
      </c>
      <c r="B255" s="342"/>
    </row>
    <row r="256" spans="1:6" ht="16.5">
      <c r="A256" s="318" t="s">
        <v>298</v>
      </c>
      <c r="B256" s="330"/>
    </row>
    <row r="257" spans="1:2" ht="16.5">
      <c r="A257" s="320" t="s">
        <v>299</v>
      </c>
      <c r="B257" s="325">
        <f>SUM(B256+B255)</f>
        <v>0</v>
      </c>
    </row>
    <row r="258" spans="1:2" ht="16.5">
      <c r="A258" s="343" t="s">
        <v>300</v>
      </c>
      <c r="B258" s="344">
        <f>+B253-B257</f>
        <v>0</v>
      </c>
    </row>
    <row r="259" spans="1:2">
      <c r="A259" s="345"/>
    </row>
    <row r="260" spans="1:2" ht="16.5">
      <c r="B260" s="323"/>
    </row>
  </sheetData>
  <sheetProtection selectLockedCells="1" selectUnlockedCells="1"/>
  <mergeCells count="9">
    <mergeCell ref="A95:B95"/>
    <mergeCell ref="A163:B163"/>
    <mergeCell ref="A164:B164"/>
    <mergeCell ref="A1:B1"/>
    <mergeCell ref="A2:B2"/>
    <mergeCell ref="A3:B3"/>
    <mergeCell ref="A4:B4"/>
    <mergeCell ref="A5:B5"/>
    <mergeCell ref="A8:B8"/>
  </mergeCells>
  <pageMargins left="0.47013888888888888" right="0.74791666666666667" top="0.69027777777777777" bottom="0.98402777777777772" header="0.51180555555555551" footer="0.51180555555555551"/>
  <pageSetup paperSize="9" scale="92" firstPageNumber="0" orientation="portrait" horizontalDpi="300" verticalDpi="300" r:id="rId1"/>
  <headerFooter alignWithMargins="0"/>
  <rowBreaks count="5" manualBreakCount="5">
    <brk id="47" max="16383" man="1"/>
    <brk id="94" max="16383" man="1"/>
    <brk id="163" max="16383" man="1"/>
    <brk id="210" max="16383" man="1"/>
    <brk id="25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showGridLines="0" workbookViewId="0">
      <selection activeCell="N32" sqref="N32"/>
    </sheetView>
  </sheetViews>
  <sheetFormatPr defaultColWidth="11.42578125" defaultRowHeight="12.75"/>
  <cols>
    <col min="1" max="1" width="4.42578125" style="417" customWidth="1"/>
    <col min="2" max="2" width="19.28515625" style="417" customWidth="1"/>
    <col min="3" max="3" width="15" style="417" customWidth="1"/>
    <col min="4" max="5" width="13.7109375" style="417" customWidth="1"/>
    <col min="6" max="6" width="17.28515625" style="417" customWidth="1"/>
    <col min="7" max="7" width="15.42578125" style="417" customWidth="1"/>
    <col min="8" max="8" width="12.85546875" style="417" customWidth="1"/>
    <col min="9" max="9" width="13.85546875" style="417" customWidth="1"/>
    <col min="10" max="10" width="13.28515625" style="417" customWidth="1"/>
    <col min="11" max="11" width="14.28515625" style="417" customWidth="1"/>
    <col min="12" max="12" width="13.42578125" style="417" customWidth="1"/>
    <col min="13" max="13" width="12.28515625" style="417" customWidth="1"/>
    <col min="14" max="256" width="11.42578125" style="417"/>
    <col min="257" max="257" width="4.42578125" style="417" customWidth="1"/>
    <col min="258" max="258" width="19.28515625" style="417" customWidth="1"/>
    <col min="259" max="259" width="15" style="417" customWidth="1"/>
    <col min="260" max="261" width="13.7109375" style="417" customWidth="1"/>
    <col min="262" max="262" width="17.28515625" style="417" customWidth="1"/>
    <col min="263" max="263" width="15.42578125" style="417" customWidth="1"/>
    <col min="264" max="264" width="12.85546875" style="417" customWidth="1"/>
    <col min="265" max="265" width="13.85546875" style="417" customWidth="1"/>
    <col min="266" max="266" width="13.28515625" style="417" customWidth="1"/>
    <col min="267" max="267" width="14.28515625" style="417" customWidth="1"/>
    <col min="268" max="268" width="13.42578125" style="417" customWidth="1"/>
    <col min="269" max="269" width="12.28515625" style="417" customWidth="1"/>
    <col min="270" max="512" width="11.42578125" style="417"/>
    <col min="513" max="513" width="4.42578125" style="417" customWidth="1"/>
    <col min="514" max="514" width="19.28515625" style="417" customWidth="1"/>
    <col min="515" max="515" width="15" style="417" customWidth="1"/>
    <col min="516" max="517" width="13.7109375" style="417" customWidth="1"/>
    <col min="518" max="518" width="17.28515625" style="417" customWidth="1"/>
    <col min="519" max="519" width="15.42578125" style="417" customWidth="1"/>
    <col min="520" max="520" width="12.85546875" style="417" customWidth="1"/>
    <col min="521" max="521" width="13.85546875" style="417" customWidth="1"/>
    <col min="522" max="522" width="13.28515625" style="417" customWidth="1"/>
    <col min="523" max="523" width="14.28515625" style="417" customWidth="1"/>
    <col min="524" max="524" width="13.42578125" style="417" customWidth="1"/>
    <col min="525" max="525" width="12.28515625" style="417" customWidth="1"/>
    <col min="526" max="768" width="11.42578125" style="417"/>
    <col min="769" max="769" width="4.42578125" style="417" customWidth="1"/>
    <col min="770" max="770" width="19.28515625" style="417" customWidth="1"/>
    <col min="771" max="771" width="15" style="417" customWidth="1"/>
    <col min="772" max="773" width="13.7109375" style="417" customWidth="1"/>
    <col min="774" max="774" width="17.28515625" style="417" customWidth="1"/>
    <col min="775" max="775" width="15.42578125" style="417" customWidth="1"/>
    <col min="776" max="776" width="12.85546875" style="417" customWidth="1"/>
    <col min="777" max="777" width="13.85546875" style="417" customWidth="1"/>
    <col min="778" max="778" width="13.28515625" style="417" customWidth="1"/>
    <col min="779" max="779" width="14.28515625" style="417" customWidth="1"/>
    <col min="780" max="780" width="13.42578125" style="417" customWidth="1"/>
    <col min="781" max="781" width="12.28515625" style="417" customWidth="1"/>
    <col min="782" max="1024" width="11.42578125" style="417"/>
    <col min="1025" max="1025" width="4.42578125" style="417" customWidth="1"/>
    <col min="1026" max="1026" width="19.28515625" style="417" customWidth="1"/>
    <col min="1027" max="1027" width="15" style="417" customWidth="1"/>
    <col min="1028" max="1029" width="13.7109375" style="417" customWidth="1"/>
    <col min="1030" max="1030" width="17.28515625" style="417" customWidth="1"/>
    <col min="1031" max="1031" width="15.42578125" style="417" customWidth="1"/>
    <col min="1032" max="1032" width="12.85546875" style="417" customWidth="1"/>
    <col min="1033" max="1033" width="13.85546875" style="417" customWidth="1"/>
    <col min="1034" max="1034" width="13.28515625" style="417" customWidth="1"/>
    <col min="1035" max="1035" width="14.28515625" style="417" customWidth="1"/>
    <col min="1036" max="1036" width="13.42578125" style="417" customWidth="1"/>
    <col min="1037" max="1037" width="12.28515625" style="417" customWidth="1"/>
    <col min="1038" max="1280" width="11.42578125" style="417"/>
    <col min="1281" max="1281" width="4.42578125" style="417" customWidth="1"/>
    <col min="1282" max="1282" width="19.28515625" style="417" customWidth="1"/>
    <col min="1283" max="1283" width="15" style="417" customWidth="1"/>
    <col min="1284" max="1285" width="13.7109375" style="417" customWidth="1"/>
    <col min="1286" max="1286" width="17.28515625" style="417" customWidth="1"/>
    <col min="1287" max="1287" width="15.42578125" style="417" customWidth="1"/>
    <col min="1288" max="1288" width="12.85546875" style="417" customWidth="1"/>
    <col min="1289" max="1289" width="13.85546875" style="417" customWidth="1"/>
    <col min="1290" max="1290" width="13.28515625" style="417" customWidth="1"/>
    <col min="1291" max="1291" width="14.28515625" style="417" customWidth="1"/>
    <col min="1292" max="1292" width="13.42578125" style="417" customWidth="1"/>
    <col min="1293" max="1293" width="12.28515625" style="417" customWidth="1"/>
    <col min="1294" max="1536" width="11.42578125" style="417"/>
    <col min="1537" max="1537" width="4.42578125" style="417" customWidth="1"/>
    <col min="1538" max="1538" width="19.28515625" style="417" customWidth="1"/>
    <col min="1539" max="1539" width="15" style="417" customWidth="1"/>
    <col min="1540" max="1541" width="13.7109375" style="417" customWidth="1"/>
    <col min="1542" max="1542" width="17.28515625" style="417" customWidth="1"/>
    <col min="1543" max="1543" width="15.42578125" style="417" customWidth="1"/>
    <col min="1544" max="1544" width="12.85546875" style="417" customWidth="1"/>
    <col min="1545" max="1545" width="13.85546875" style="417" customWidth="1"/>
    <col min="1546" max="1546" width="13.28515625" style="417" customWidth="1"/>
    <col min="1547" max="1547" width="14.28515625" style="417" customWidth="1"/>
    <col min="1548" max="1548" width="13.42578125" style="417" customWidth="1"/>
    <col min="1549" max="1549" width="12.28515625" style="417" customWidth="1"/>
    <col min="1550" max="1792" width="11.42578125" style="417"/>
    <col min="1793" max="1793" width="4.42578125" style="417" customWidth="1"/>
    <col min="1794" max="1794" width="19.28515625" style="417" customWidth="1"/>
    <col min="1795" max="1795" width="15" style="417" customWidth="1"/>
    <col min="1796" max="1797" width="13.7109375" style="417" customWidth="1"/>
    <col min="1798" max="1798" width="17.28515625" style="417" customWidth="1"/>
    <col min="1799" max="1799" width="15.42578125" style="417" customWidth="1"/>
    <col min="1800" max="1800" width="12.85546875" style="417" customWidth="1"/>
    <col min="1801" max="1801" width="13.85546875" style="417" customWidth="1"/>
    <col min="1802" max="1802" width="13.28515625" style="417" customWidth="1"/>
    <col min="1803" max="1803" width="14.28515625" style="417" customWidth="1"/>
    <col min="1804" max="1804" width="13.42578125" style="417" customWidth="1"/>
    <col min="1805" max="1805" width="12.28515625" style="417" customWidth="1"/>
    <col min="1806" max="2048" width="11.42578125" style="417"/>
    <col min="2049" max="2049" width="4.42578125" style="417" customWidth="1"/>
    <col min="2050" max="2050" width="19.28515625" style="417" customWidth="1"/>
    <col min="2051" max="2051" width="15" style="417" customWidth="1"/>
    <col min="2052" max="2053" width="13.7109375" style="417" customWidth="1"/>
    <col min="2054" max="2054" width="17.28515625" style="417" customWidth="1"/>
    <col min="2055" max="2055" width="15.42578125" style="417" customWidth="1"/>
    <col min="2056" max="2056" width="12.85546875" style="417" customWidth="1"/>
    <col min="2057" max="2057" width="13.85546875" style="417" customWidth="1"/>
    <col min="2058" max="2058" width="13.28515625" style="417" customWidth="1"/>
    <col min="2059" max="2059" width="14.28515625" style="417" customWidth="1"/>
    <col min="2060" max="2060" width="13.42578125" style="417" customWidth="1"/>
    <col min="2061" max="2061" width="12.28515625" style="417" customWidth="1"/>
    <col min="2062" max="2304" width="11.42578125" style="417"/>
    <col min="2305" max="2305" width="4.42578125" style="417" customWidth="1"/>
    <col min="2306" max="2306" width="19.28515625" style="417" customWidth="1"/>
    <col min="2307" max="2307" width="15" style="417" customWidth="1"/>
    <col min="2308" max="2309" width="13.7109375" style="417" customWidth="1"/>
    <col min="2310" max="2310" width="17.28515625" style="417" customWidth="1"/>
    <col min="2311" max="2311" width="15.42578125" style="417" customWidth="1"/>
    <col min="2312" max="2312" width="12.85546875" style="417" customWidth="1"/>
    <col min="2313" max="2313" width="13.85546875" style="417" customWidth="1"/>
    <col min="2314" max="2314" width="13.28515625" style="417" customWidth="1"/>
    <col min="2315" max="2315" width="14.28515625" style="417" customWidth="1"/>
    <col min="2316" max="2316" width="13.42578125" style="417" customWidth="1"/>
    <col min="2317" max="2317" width="12.28515625" style="417" customWidth="1"/>
    <col min="2318" max="2560" width="11.42578125" style="417"/>
    <col min="2561" max="2561" width="4.42578125" style="417" customWidth="1"/>
    <col min="2562" max="2562" width="19.28515625" style="417" customWidth="1"/>
    <col min="2563" max="2563" width="15" style="417" customWidth="1"/>
    <col min="2564" max="2565" width="13.7109375" style="417" customWidth="1"/>
    <col min="2566" max="2566" width="17.28515625" style="417" customWidth="1"/>
    <col min="2567" max="2567" width="15.42578125" style="417" customWidth="1"/>
    <col min="2568" max="2568" width="12.85546875" style="417" customWidth="1"/>
    <col min="2569" max="2569" width="13.85546875" style="417" customWidth="1"/>
    <col min="2570" max="2570" width="13.28515625" style="417" customWidth="1"/>
    <col min="2571" max="2571" width="14.28515625" style="417" customWidth="1"/>
    <col min="2572" max="2572" width="13.42578125" style="417" customWidth="1"/>
    <col min="2573" max="2573" width="12.28515625" style="417" customWidth="1"/>
    <col min="2574" max="2816" width="11.42578125" style="417"/>
    <col min="2817" max="2817" width="4.42578125" style="417" customWidth="1"/>
    <col min="2818" max="2818" width="19.28515625" style="417" customWidth="1"/>
    <col min="2819" max="2819" width="15" style="417" customWidth="1"/>
    <col min="2820" max="2821" width="13.7109375" style="417" customWidth="1"/>
    <col min="2822" max="2822" width="17.28515625" style="417" customWidth="1"/>
    <col min="2823" max="2823" width="15.42578125" style="417" customWidth="1"/>
    <col min="2824" max="2824" width="12.85546875" style="417" customWidth="1"/>
    <col min="2825" max="2825" width="13.85546875" style="417" customWidth="1"/>
    <col min="2826" max="2826" width="13.28515625" style="417" customWidth="1"/>
    <col min="2827" max="2827" width="14.28515625" style="417" customWidth="1"/>
    <col min="2828" max="2828" width="13.42578125" style="417" customWidth="1"/>
    <col min="2829" max="2829" width="12.28515625" style="417" customWidth="1"/>
    <col min="2830" max="3072" width="11.42578125" style="417"/>
    <col min="3073" max="3073" width="4.42578125" style="417" customWidth="1"/>
    <col min="3074" max="3074" width="19.28515625" style="417" customWidth="1"/>
    <col min="3075" max="3075" width="15" style="417" customWidth="1"/>
    <col min="3076" max="3077" width="13.7109375" style="417" customWidth="1"/>
    <col min="3078" max="3078" width="17.28515625" style="417" customWidth="1"/>
    <col min="3079" max="3079" width="15.42578125" style="417" customWidth="1"/>
    <col min="3080" max="3080" width="12.85546875" style="417" customWidth="1"/>
    <col min="3081" max="3081" width="13.85546875" style="417" customWidth="1"/>
    <col min="3082" max="3082" width="13.28515625" style="417" customWidth="1"/>
    <col min="3083" max="3083" width="14.28515625" style="417" customWidth="1"/>
    <col min="3084" max="3084" width="13.42578125" style="417" customWidth="1"/>
    <col min="3085" max="3085" width="12.28515625" style="417" customWidth="1"/>
    <col min="3086" max="3328" width="11.42578125" style="417"/>
    <col min="3329" max="3329" width="4.42578125" style="417" customWidth="1"/>
    <col min="3330" max="3330" width="19.28515625" style="417" customWidth="1"/>
    <col min="3331" max="3331" width="15" style="417" customWidth="1"/>
    <col min="3332" max="3333" width="13.7109375" style="417" customWidth="1"/>
    <col min="3334" max="3334" width="17.28515625" style="417" customWidth="1"/>
    <col min="3335" max="3335" width="15.42578125" style="417" customWidth="1"/>
    <col min="3336" max="3336" width="12.85546875" style="417" customWidth="1"/>
    <col min="3337" max="3337" width="13.85546875" style="417" customWidth="1"/>
    <col min="3338" max="3338" width="13.28515625" style="417" customWidth="1"/>
    <col min="3339" max="3339" width="14.28515625" style="417" customWidth="1"/>
    <col min="3340" max="3340" width="13.42578125" style="417" customWidth="1"/>
    <col min="3341" max="3341" width="12.28515625" style="417" customWidth="1"/>
    <col min="3342" max="3584" width="11.42578125" style="417"/>
    <col min="3585" max="3585" width="4.42578125" style="417" customWidth="1"/>
    <col min="3586" max="3586" width="19.28515625" style="417" customWidth="1"/>
    <col min="3587" max="3587" width="15" style="417" customWidth="1"/>
    <col min="3588" max="3589" width="13.7109375" style="417" customWidth="1"/>
    <col min="3590" max="3590" width="17.28515625" style="417" customWidth="1"/>
    <col min="3591" max="3591" width="15.42578125" style="417" customWidth="1"/>
    <col min="3592" max="3592" width="12.85546875" style="417" customWidth="1"/>
    <col min="3593" max="3593" width="13.85546875" style="417" customWidth="1"/>
    <col min="3594" max="3594" width="13.28515625" style="417" customWidth="1"/>
    <col min="3595" max="3595" width="14.28515625" style="417" customWidth="1"/>
    <col min="3596" max="3596" width="13.42578125" style="417" customWidth="1"/>
    <col min="3597" max="3597" width="12.28515625" style="417" customWidth="1"/>
    <col min="3598" max="3840" width="11.42578125" style="417"/>
    <col min="3841" max="3841" width="4.42578125" style="417" customWidth="1"/>
    <col min="3842" max="3842" width="19.28515625" style="417" customWidth="1"/>
    <col min="3843" max="3843" width="15" style="417" customWidth="1"/>
    <col min="3844" max="3845" width="13.7109375" style="417" customWidth="1"/>
    <col min="3846" max="3846" width="17.28515625" style="417" customWidth="1"/>
    <col min="3847" max="3847" width="15.42578125" style="417" customWidth="1"/>
    <col min="3848" max="3848" width="12.85546875" style="417" customWidth="1"/>
    <col min="3849" max="3849" width="13.85546875" style="417" customWidth="1"/>
    <col min="3850" max="3850" width="13.28515625" style="417" customWidth="1"/>
    <col min="3851" max="3851" width="14.28515625" style="417" customWidth="1"/>
    <col min="3852" max="3852" width="13.42578125" style="417" customWidth="1"/>
    <col min="3853" max="3853" width="12.28515625" style="417" customWidth="1"/>
    <col min="3854" max="4096" width="11.42578125" style="417"/>
    <col min="4097" max="4097" width="4.42578125" style="417" customWidth="1"/>
    <col min="4098" max="4098" width="19.28515625" style="417" customWidth="1"/>
    <col min="4099" max="4099" width="15" style="417" customWidth="1"/>
    <col min="4100" max="4101" width="13.7109375" style="417" customWidth="1"/>
    <col min="4102" max="4102" width="17.28515625" style="417" customWidth="1"/>
    <col min="4103" max="4103" width="15.42578125" style="417" customWidth="1"/>
    <col min="4104" max="4104" width="12.85546875" style="417" customWidth="1"/>
    <col min="4105" max="4105" width="13.85546875" style="417" customWidth="1"/>
    <col min="4106" max="4106" width="13.28515625" style="417" customWidth="1"/>
    <col min="4107" max="4107" width="14.28515625" style="417" customWidth="1"/>
    <col min="4108" max="4108" width="13.42578125" style="417" customWidth="1"/>
    <col min="4109" max="4109" width="12.28515625" style="417" customWidth="1"/>
    <col min="4110" max="4352" width="11.42578125" style="417"/>
    <col min="4353" max="4353" width="4.42578125" style="417" customWidth="1"/>
    <col min="4354" max="4354" width="19.28515625" style="417" customWidth="1"/>
    <col min="4355" max="4355" width="15" style="417" customWidth="1"/>
    <col min="4356" max="4357" width="13.7109375" style="417" customWidth="1"/>
    <col min="4358" max="4358" width="17.28515625" style="417" customWidth="1"/>
    <col min="4359" max="4359" width="15.42578125" style="417" customWidth="1"/>
    <col min="4360" max="4360" width="12.85546875" style="417" customWidth="1"/>
    <col min="4361" max="4361" width="13.85546875" style="417" customWidth="1"/>
    <col min="4362" max="4362" width="13.28515625" style="417" customWidth="1"/>
    <col min="4363" max="4363" width="14.28515625" style="417" customWidth="1"/>
    <col min="4364" max="4364" width="13.42578125" style="417" customWidth="1"/>
    <col min="4365" max="4365" width="12.28515625" style="417" customWidth="1"/>
    <col min="4366" max="4608" width="11.42578125" style="417"/>
    <col min="4609" max="4609" width="4.42578125" style="417" customWidth="1"/>
    <col min="4610" max="4610" width="19.28515625" style="417" customWidth="1"/>
    <col min="4611" max="4611" width="15" style="417" customWidth="1"/>
    <col min="4612" max="4613" width="13.7109375" style="417" customWidth="1"/>
    <col min="4614" max="4614" width="17.28515625" style="417" customWidth="1"/>
    <col min="4615" max="4615" width="15.42578125" style="417" customWidth="1"/>
    <col min="4616" max="4616" width="12.85546875" style="417" customWidth="1"/>
    <col min="4617" max="4617" width="13.85546875" style="417" customWidth="1"/>
    <col min="4618" max="4618" width="13.28515625" style="417" customWidth="1"/>
    <col min="4619" max="4619" width="14.28515625" style="417" customWidth="1"/>
    <col min="4620" max="4620" width="13.42578125" style="417" customWidth="1"/>
    <col min="4621" max="4621" width="12.28515625" style="417" customWidth="1"/>
    <col min="4622" max="4864" width="11.42578125" style="417"/>
    <col min="4865" max="4865" width="4.42578125" style="417" customWidth="1"/>
    <col min="4866" max="4866" width="19.28515625" style="417" customWidth="1"/>
    <col min="4867" max="4867" width="15" style="417" customWidth="1"/>
    <col min="4868" max="4869" width="13.7109375" style="417" customWidth="1"/>
    <col min="4870" max="4870" width="17.28515625" style="417" customWidth="1"/>
    <col min="4871" max="4871" width="15.42578125" style="417" customWidth="1"/>
    <col min="4872" max="4872" width="12.85546875" style="417" customWidth="1"/>
    <col min="4873" max="4873" width="13.85546875" style="417" customWidth="1"/>
    <col min="4874" max="4874" width="13.28515625" style="417" customWidth="1"/>
    <col min="4875" max="4875" width="14.28515625" style="417" customWidth="1"/>
    <col min="4876" max="4876" width="13.42578125" style="417" customWidth="1"/>
    <col min="4877" max="4877" width="12.28515625" style="417" customWidth="1"/>
    <col min="4878" max="5120" width="11.42578125" style="417"/>
    <col min="5121" max="5121" width="4.42578125" style="417" customWidth="1"/>
    <col min="5122" max="5122" width="19.28515625" style="417" customWidth="1"/>
    <col min="5123" max="5123" width="15" style="417" customWidth="1"/>
    <col min="5124" max="5125" width="13.7109375" style="417" customWidth="1"/>
    <col min="5126" max="5126" width="17.28515625" style="417" customWidth="1"/>
    <col min="5127" max="5127" width="15.42578125" style="417" customWidth="1"/>
    <col min="5128" max="5128" width="12.85546875" style="417" customWidth="1"/>
    <col min="5129" max="5129" width="13.85546875" style="417" customWidth="1"/>
    <col min="5130" max="5130" width="13.28515625" style="417" customWidth="1"/>
    <col min="5131" max="5131" width="14.28515625" style="417" customWidth="1"/>
    <col min="5132" max="5132" width="13.42578125" style="417" customWidth="1"/>
    <col min="5133" max="5133" width="12.28515625" style="417" customWidth="1"/>
    <col min="5134" max="5376" width="11.42578125" style="417"/>
    <col min="5377" max="5377" width="4.42578125" style="417" customWidth="1"/>
    <col min="5378" max="5378" width="19.28515625" style="417" customWidth="1"/>
    <col min="5379" max="5379" width="15" style="417" customWidth="1"/>
    <col min="5380" max="5381" width="13.7109375" style="417" customWidth="1"/>
    <col min="5382" max="5382" width="17.28515625" style="417" customWidth="1"/>
    <col min="5383" max="5383" width="15.42578125" style="417" customWidth="1"/>
    <col min="5384" max="5384" width="12.85546875" style="417" customWidth="1"/>
    <col min="5385" max="5385" width="13.85546875" style="417" customWidth="1"/>
    <col min="5386" max="5386" width="13.28515625" style="417" customWidth="1"/>
    <col min="5387" max="5387" width="14.28515625" style="417" customWidth="1"/>
    <col min="5388" max="5388" width="13.42578125" style="417" customWidth="1"/>
    <col min="5389" max="5389" width="12.28515625" style="417" customWidth="1"/>
    <col min="5390" max="5632" width="11.42578125" style="417"/>
    <col min="5633" max="5633" width="4.42578125" style="417" customWidth="1"/>
    <col min="5634" max="5634" width="19.28515625" style="417" customWidth="1"/>
    <col min="5635" max="5635" width="15" style="417" customWidth="1"/>
    <col min="5636" max="5637" width="13.7109375" style="417" customWidth="1"/>
    <col min="5638" max="5638" width="17.28515625" style="417" customWidth="1"/>
    <col min="5639" max="5639" width="15.42578125" style="417" customWidth="1"/>
    <col min="5640" max="5640" width="12.85546875" style="417" customWidth="1"/>
    <col min="5641" max="5641" width="13.85546875" style="417" customWidth="1"/>
    <col min="5642" max="5642" width="13.28515625" style="417" customWidth="1"/>
    <col min="5643" max="5643" width="14.28515625" style="417" customWidth="1"/>
    <col min="5644" max="5644" width="13.42578125" style="417" customWidth="1"/>
    <col min="5645" max="5645" width="12.28515625" style="417" customWidth="1"/>
    <col min="5646" max="5888" width="11.42578125" style="417"/>
    <col min="5889" max="5889" width="4.42578125" style="417" customWidth="1"/>
    <col min="5890" max="5890" width="19.28515625" style="417" customWidth="1"/>
    <col min="5891" max="5891" width="15" style="417" customWidth="1"/>
    <col min="5892" max="5893" width="13.7109375" style="417" customWidth="1"/>
    <col min="5894" max="5894" width="17.28515625" style="417" customWidth="1"/>
    <col min="5895" max="5895" width="15.42578125" style="417" customWidth="1"/>
    <col min="5896" max="5896" width="12.85546875" style="417" customWidth="1"/>
    <col min="5897" max="5897" width="13.85546875" style="417" customWidth="1"/>
    <col min="5898" max="5898" width="13.28515625" style="417" customWidth="1"/>
    <col min="5899" max="5899" width="14.28515625" style="417" customWidth="1"/>
    <col min="5900" max="5900" width="13.42578125" style="417" customWidth="1"/>
    <col min="5901" max="5901" width="12.28515625" style="417" customWidth="1"/>
    <col min="5902" max="6144" width="11.42578125" style="417"/>
    <col min="6145" max="6145" width="4.42578125" style="417" customWidth="1"/>
    <col min="6146" max="6146" width="19.28515625" style="417" customWidth="1"/>
    <col min="6147" max="6147" width="15" style="417" customWidth="1"/>
    <col min="6148" max="6149" width="13.7109375" style="417" customWidth="1"/>
    <col min="6150" max="6150" width="17.28515625" style="417" customWidth="1"/>
    <col min="6151" max="6151" width="15.42578125" style="417" customWidth="1"/>
    <col min="6152" max="6152" width="12.85546875" style="417" customWidth="1"/>
    <col min="6153" max="6153" width="13.85546875" style="417" customWidth="1"/>
    <col min="6154" max="6154" width="13.28515625" style="417" customWidth="1"/>
    <col min="6155" max="6155" width="14.28515625" style="417" customWidth="1"/>
    <col min="6156" max="6156" width="13.42578125" style="417" customWidth="1"/>
    <col min="6157" max="6157" width="12.28515625" style="417" customWidth="1"/>
    <col min="6158" max="6400" width="11.42578125" style="417"/>
    <col min="6401" max="6401" width="4.42578125" style="417" customWidth="1"/>
    <col min="6402" max="6402" width="19.28515625" style="417" customWidth="1"/>
    <col min="6403" max="6403" width="15" style="417" customWidth="1"/>
    <col min="6404" max="6405" width="13.7109375" style="417" customWidth="1"/>
    <col min="6406" max="6406" width="17.28515625" style="417" customWidth="1"/>
    <col min="6407" max="6407" width="15.42578125" style="417" customWidth="1"/>
    <col min="6408" max="6408" width="12.85546875" style="417" customWidth="1"/>
    <col min="6409" max="6409" width="13.85546875" style="417" customWidth="1"/>
    <col min="6410" max="6410" width="13.28515625" style="417" customWidth="1"/>
    <col min="6411" max="6411" width="14.28515625" style="417" customWidth="1"/>
    <col min="6412" max="6412" width="13.42578125" style="417" customWidth="1"/>
    <col min="6413" max="6413" width="12.28515625" style="417" customWidth="1"/>
    <col min="6414" max="6656" width="11.42578125" style="417"/>
    <col min="6657" max="6657" width="4.42578125" style="417" customWidth="1"/>
    <col min="6658" max="6658" width="19.28515625" style="417" customWidth="1"/>
    <col min="6659" max="6659" width="15" style="417" customWidth="1"/>
    <col min="6660" max="6661" width="13.7109375" style="417" customWidth="1"/>
    <col min="6662" max="6662" width="17.28515625" style="417" customWidth="1"/>
    <col min="6663" max="6663" width="15.42578125" style="417" customWidth="1"/>
    <col min="6664" max="6664" width="12.85546875" style="417" customWidth="1"/>
    <col min="6665" max="6665" width="13.85546875" style="417" customWidth="1"/>
    <col min="6666" max="6666" width="13.28515625" style="417" customWidth="1"/>
    <col min="6667" max="6667" width="14.28515625" style="417" customWidth="1"/>
    <col min="6668" max="6668" width="13.42578125" style="417" customWidth="1"/>
    <col min="6669" max="6669" width="12.28515625" style="417" customWidth="1"/>
    <col min="6670" max="6912" width="11.42578125" style="417"/>
    <col min="6913" max="6913" width="4.42578125" style="417" customWidth="1"/>
    <col min="6914" max="6914" width="19.28515625" style="417" customWidth="1"/>
    <col min="6915" max="6915" width="15" style="417" customWidth="1"/>
    <col min="6916" max="6917" width="13.7109375" style="417" customWidth="1"/>
    <col min="6918" max="6918" width="17.28515625" style="417" customWidth="1"/>
    <col min="6919" max="6919" width="15.42578125" style="417" customWidth="1"/>
    <col min="6920" max="6920" width="12.85546875" style="417" customWidth="1"/>
    <col min="6921" max="6921" width="13.85546875" style="417" customWidth="1"/>
    <col min="6922" max="6922" width="13.28515625" style="417" customWidth="1"/>
    <col min="6923" max="6923" width="14.28515625" style="417" customWidth="1"/>
    <col min="6924" max="6924" width="13.42578125" style="417" customWidth="1"/>
    <col min="6925" max="6925" width="12.28515625" style="417" customWidth="1"/>
    <col min="6926" max="7168" width="11.42578125" style="417"/>
    <col min="7169" max="7169" width="4.42578125" style="417" customWidth="1"/>
    <col min="7170" max="7170" width="19.28515625" style="417" customWidth="1"/>
    <col min="7171" max="7171" width="15" style="417" customWidth="1"/>
    <col min="7172" max="7173" width="13.7109375" style="417" customWidth="1"/>
    <col min="7174" max="7174" width="17.28515625" style="417" customWidth="1"/>
    <col min="7175" max="7175" width="15.42578125" style="417" customWidth="1"/>
    <col min="7176" max="7176" width="12.85546875" style="417" customWidth="1"/>
    <col min="7177" max="7177" width="13.85546875" style="417" customWidth="1"/>
    <col min="7178" max="7178" width="13.28515625" style="417" customWidth="1"/>
    <col min="7179" max="7179" width="14.28515625" style="417" customWidth="1"/>
    <col min="7180" max="7180" width="13.42578125" style="417" customWidth="1"/>
    <col min="7181" max="7181" width="12.28515625" style="417" customWidth="1"/>
    <col min="7182" max="7424" width="11.42578125" style="417"/>
    <col min="7425" max="7425" width="4.42578125" style="417" customWidth="1"/>
    <col min="7426" max="7426" width="19.28515625" style="417" customWidth="1"/>
    <col min="7427" max="7427" width="15" style="417" customWidth="1"/>
    <col min="7428" max="7429" width="13.7109375" style="417" customWidth="1"/>
    <col min="7430" max="7430" width="17.28515625" style="417" customWidth="1"/>
    <col min="7431" max="7431" width="15.42578125" style="417" customWidth="1"/>
    <col min="7432" max="7432" width="12.85546875" style="417" customWidth="1"/>
    <col min="7433" max="7433" width="13.85546875" style="417" customWidth="1"/>
    <col min="7434" max="7434" width="13.28515625" style="417" customWidth="1"/>
    <col min="7435" max="7435" width="14.28515625" style="417" customWidth="1"/>
    <col min="7436" max="7436" width="13.42578125" style="417" customWidth="1"/>
    <col min="7437" max="7437" width="12.28515625" style="417" customWidth="1"/>
    <col min="7438" max="7680" width="11.42578125" style="417"/>
    <col min="7681" max="7681" width="4.42578125" style="417" customWidth="1"/>
    <col min="7682" max="7682" width="19.28515625" style="417" customWidth="1"/>
    <col min="7683" max="7683" width="15" style="417" customWidth="1"/>
    <col min="7684" max="7685" width="13.7109375" style="417" customWidth="1"/>
    <col min="7686" max="7686" width="17.28515625" style="417" customWidth="1"/>
    <col min="7687" max="7687" width="15.42578125" style="417" customWidth="1"/>
    <col min="7688" max="7688" width="12.85546875" style="417" customWidth="1"/>
    <col min="7689" max="7689" width="13.85546875" style="417" customWidth="1"/>
    <col min="7690" max="7690" width="13.28515625" style="417" customWidth="1"/>
    <col min="7691" max="7691" width="14.28515625" style="417" customWidth="1"/>
    <col min="7692" max="7692" width="13.42578125" style="417" customWidth="1"/>
    <col min="7693" max="7693" width="12.28515625" style="417" customWidth="1"/>
    <col min="7694" max="7936" width="11.42578125" style="417"/>
    <col min="7937" max="7937" width="4.42578125" style="417" customWidth="1"/>
    <col min="7938" max="7938" width="19.28515625" style="417" customWidth="1"/>
    <col min="7939" max="7939" width="15" style="417" customWidth="1"/>
    <col min="7940" max="7941" width="13.7109375" style="417" customWidth="1"/>
    <col min="7942" max="7942" width="17.28515625" style="417" customWidth="1"/>
    <col min="7943" max="7943" width="15.42578125" style="417" customWidth="1"/>
    <col min="7944" max="7944" width="12.85546875" style="417" customWidth="1"/>
    <col min="7945" max="7945" width="13.85546875" style="417" customWidth="1"/>
    <col min="7946" max="7946" width="13.28515625" style="417" customWidth="1"/>
    <col min="7947" max="7947" width="14.28515625" style="417" customWidth="1"/>
    <col min="7948" max="7948" width="13.42578125" style="417" customWidth="1"/>
    <col min="7949" max="7949" width="12.28515625" style="417" customWidth="1"/>
    <col min="7950" max="8192" width="11.42578125" style="417"/>
    <col min="8193" max="8193" width="4.42578125" style="417" customWidth="1"/>
    <col min="8194" max="8194" width="19.28515625" style="417" customWidth="1"/>
    <col min="8195" max="8195" width="15" style="417" customWidth="1"/>
    <col min="8196" max="8197" width="13.7109375" style="417" customWidth="1"/>
    <col min="8198" max="8198" width="17.28515625" style="417" customWidth="1"/>
    <col min="8199" max="8199" width="15.42578125" style="417" customWidth="1"/>
    <col min="8200" max="8200" width="12.85546875" style="417" customWidth="1"/>
    <col min="8201" max="8201" width="13.85546875" style="417" customWidth="1"/>
    <col min="8202" max="8202" width="13.28515625" style="417" customWidth="1"/>
    <col min="8203" max="8203" width="14.28515625" style="417" customWidth="1"/>
    <col min="8204" max="8204" width="13.42578125" style="417" customWidth="1"/>
    <col min="8205" max="8205" width="12.28515625" style="417" customWidth="1"/>
    <col min="8206" max="8448" width="11.42578125" style="417"/>
    <col min="8449" max="8449" width="4.42578125" style="417" customWidth="1"/>
    <col min="8450" max="8450" width="19.28515625" style="417" customWidth="1"/>
    <col min="8451" max="8451" width="15" style="417" customWidth="1"/>
    <col min="8452" max="8453" width="13.7109375" style="417" customWidth="1"/>
    <col min="8454" max="8454" width="17.28515625" style="417" customWidth="1"/>
    <col min="8455" max="8455" width="15.42578125" style="417" customWidth="1"/>
    <col min="8456" max="8456" width="12.85546875" style="417" customWidth="1"/>
    <col min="8457" max="8457" width="13.85546875" style="417" customWidth="1"/>
    <col min="8458" max="8458" width="13.28515625" style="417" customWidth="1"/>
    <col min="8459" max="8459" width="14.28515625" style="417" customWidth="1"/>
    <col min="8460" max="8460" width="13.42578125" style="417" customWidth="1"/>
    <col min="8461" max="8461" width="12.28515625" style="417" customWidth="1"/>
    <col min="8462" max="8704" width="11.42578125" style="417"/>
    <col min="8705" max="8705" width="4.42578125" style="417" customWidth="1"/>
    <col min="8706" max="8706" width="19.28515625" style="417" customWidth="1"/>
    <col min="8707" max="8707" width="15" style="417" customWidth="1"/>
    <col min="8708" max="8709" width="13.7109375" style="417" customWidth="1"/>
    <col min="8710" max="8710" width="17.28515625" style="417" customWidth="1"/>
    <col min="8711" max="8711" width="15.42578125" style="417" customWidth="1"/>
    <col min="8712" max="8712" width="12.85546875" style="417" customWidth="1"/>
    <col min="8713" max="8713" width="13.85546875" style="417" customWidth="1"/>
    <col min="8714" max="8714" width="13.28515625" style="417" customWidth="1"/>
    <col min="8715" max="8715" width="14.28515625" style="417" customWidth="1"/>
    <col min="8716" max="8716" width="13.42578125" style="417" customWidth="1"/>
    <col min="8717" max="8717" width="12.28515625" style="417" customWidth="1"/>
    <col min="8718" max="8960" width="11.42578125" style="417"/>
    <col min="8961" max="8961" width="4.42578125" style="417" customWidth="1"/>
    <col min="8962" max="8962" width="19.28515625" style="417" customWidth="1"/>
    <col min="8963" max="8963" width="15" style="417" customWidth="1"/>
    <col min="8964" max="8965" width="13.7109375" style="417" customWidth="1"/>
    <col min="8966" max="8966" width="17.28515625" style="417" customWidth="1"/>
    <col min="8967" max="8967" width="15.42578125" style="417" customWidth="1"/>
    <col min="8968" max="8968" width="12.85546875" style="417" customWidth="1"/>
    <col min="8969" max="8969" width="13.85546875" style="417" customWidth="1"/>
    <col min="8970" max="8970" width="13.28515625" style="417" customWidth="1"/>
    <col min="8971" max="8971" width="14.28515625" style="417" customWidth="1"/>
    <col min="8972" max="8972" width="13.42578125" style="417" customWidth="1"/>
    <col min="8973" max="8973" width="12.28515625" style="417" customWidth="1"/>
    <col min="8974" max="9216" width="11.42578125" style="417"/>
    <col min="9217" max="9217" width="4.42578125" style="417" customWidth="1"/>
    <col min="9218" max="9218" width="19.28515625" style="417" customWidth="1"/>
    <col min="9219" max="9219" width="15" style="417" customWidth="1"/>
    <col min="9220" max="9221" width="13.7109375" style="417" customWidth="1"/>
    <col min="9222" max="9222" width="17.28515625" style="417" customWidth="1"/>
    <col min="9223" max="9223" width="15.42578125" style="417" customWidth="1"/>
    <col min="9224" max="9224" width="12.85546875" style="417" customWidth="1"/>
    <col min="9225" max="9225" width="13.85546875" style="417" customWidth="1"/>
    <col min="9226" max="9226" width="13.28515625" style="417" customWidth="1"/>
    <col min="9227" max="9227" width="14.28515625" style="417" customWidth="1"/>
    <col min="9228" max="9228" width="13.42578125" style="417" customWidth="1"/>
    <col min="9229" max="9229" width="12.28515625" style="417" customWidth="1"/>
    <col min="9230" max="9472" width="11.42578125" style="417"/>
    <col min="9473" max="9473" width="4.42578125" style="417" customWidth="1"/>
    <col min="9474" max="9474" width="19.28515625" style="417" customWidth="1"/>
    <col min="9475" max="9475" width="15" style="417" customWidth="1"/>
    <col min="9476" max="9477" width="13.7109375" style="417" customWidth="1"/>
    <col min="9478" max="9478" width="17.28515625" style="417" customWidth="1"/>
    <col min="9479" max="9479" width="15.42578125" style="417" customWidth="1"/>
    <col min="9480" max="9480" width="12.85546875" style="417" customWidth="1"/>
    <col min="9481" max="9481" width="13.85546875" style="417" customWidth="1"/>
    <col min="9482" max="9482" width="13.28515625" style="417" customWidth="1"/>
    <col min="9483" max="9483" width="14.28515625" style="417" customWidth="1"/>
    <col min="9484" max="9484" width="13.42578125" style="417" customWidth="1"/>
    <col min="9485" max="9485" width="12.28515625" style="417" customWidth="1"/>
    <col min="9486" max="9728" width="11.42578125" style="417"/>
    <col min="9729" max="9729" width="4.42578125" style="417" customWidth="1"/>
    <col min="9730" max="9730" width="19.28515625" style="417" customWidth="1"/>
    <col min="9731" max="9731" width="15" style="417" customWidth="1"/>
    <col min="9732" max="9733" width="13.7109375" style="417" customWidth="1"/>
    <col min="9734" max="9734" width="17.28515625" style="417" customWidth="1"/>
    <col min="9735" max="9735" width="15.42578125" style="417" customWidth="1"/>
    <col min="9736" max="9736" width="12.85546875" style="417" customWidth="1"/>
    <col min="9737" max="9737" width="13.85546875" style="417" customWidth="1"/>
    <col min="9738" max="9738" width="13.28515625" style="417" customWidth="1"/>
    <col min="9739" max="9739" width="14.28515625" style="417" customWidth="1"/>
    <col min="9740" max="9740" width="13.42578125" style="417" customWidth="1"/>
    <col min="9741" max="9741" width="12.28515625" style="417" customWidth="1"/>
    <col min="9742" max="9984" width="11.42578125" style="417"/>
    <col min="9985" max="9985" width="4.42578125" style="417" customWidth="1"/>
    <col min="9986" max="9986" width="19.28515625" style="417" customWidth="1"/>
    <col min="9987" max="9987" width="15" style="417" customWidth="1"/>
    <col min="9988" max="9989" width="13.7109375" style="417" customWidth="1"/>
    <col min="9990" max="9990" width="17.28515625" style="417" customWidth="1"/>
    <col min="9991" max="9991" width="15.42578125" style="417" customWidth="1"/>
    <col min="9992" max="9992" width="12.85546875" style="417" customWidth="1"/>
    <col min="9993" max="9993" width="13.85546875" style="417" customWidth="1"/>
    <col min="9994" max="9994" width="13.28515625" style="417" customWidth="1"/>
    <col min="9995" max="9995" width="14.28515625" style="417" customWidth="1"/>
    <col min="9996" max="9996" width="13.42578125" style="417" customWidth="1"/>
    <col min="9997" max="9997" width="12.28515625" style="417" customWidth="1"/>
    <col min="9998" max="10240" width="11.42578125" style="417"/>
    <col min="10241" max="10241" width="4.42578125" style="417" customWidth="1"/>
    <col min="10242" max="10242" width="19.28515625" style="417" customWidth="1"/>
    <col min="10243" max="10243" width="15" style="417" customWidth="1"/>
    <col min="10244" max="10245" width="13.7109375" style="417" customWidth="1"/>
    <col min="10246" max="10246" width="17.28515625" style="417" customWidth="1"/>
    <col min="10247" max="10247" width="15.42578125" style="417" customWidth="1"/>
    <col min="10248" max="10248" width="12.85546875" style="417" customWidth="1"/>
    <col min="10249" max="10249" width="13.85546875" style="417" customWidth="1"/>
    <col min="10250" max="10250" width="13.28515625" style="417" customWidth="1"/>
    <col min="10251" max="10251" width="14.28515625" style="417" customWidth="1"/>
    <col min="10252" max="10252" width="13.42578125" style="417" customWidth="1"/>
    <col min="10253" max="10253" width="12.28515625" style="417" customWidth="1"/>
    <col min="10254" max="10496" width="11.42578125" style="417"/>
    <col min="10497" max="10497" width="4.42578125" style="417" customWidth="1"/>
    <col min="10498" max="10498" width="19.28515625" style="417" customWidth="1"/>
    <col min="10499" max="10499" width="15" style="417" customWidth="1"/>
    <col min="10500" max="10501" width="13.7109375" style="417" customWidth="1"/>
    <col min="10502" max="10502" width="17.28515625" style="417" customWidth="1"/>
    <col min="10503" max="10503" width="15.42578125" style="417" customWidth="1"/>
    <col min="10504" max="10504" width="12.85546875" style="417" customWidth="1"/>
    <col min="10505" max="10505" width="13.85546875" style="417" customWidth="1"/>
    <col min="10506" max="10506" width="13.28515625" style="417" customWidth="1"/>
    <col min="10507" max="10507" width="14.28515625" style="417" customWidth="1"/>
    <col min="10508" max="10508" width="13.42578125" style="417" customWidth="1"/>
    <col min="10509" max="10509" width="12.28515625" style="417" customWidth="1"/>
    <col min="10510" max="10752" width="11.42578125" style="417"/>
    <col min="10753" max="10753" width="4.42578125" style="417" customWidth="1"/>
    <col min="10754" max="10754" width="19.28515625" style="417" customWidth="1"/>
    <col min="10755" max="10755" width="15" style="417" customWidth="1"/>
    <col min="10756" max="10757" width="13.7109375" style="417" customWidth="1"/>
    <col min="10758" max="10758" width="17.28515625" style="417" customWidth="1"/>
    <col min="10759" max="10759" width="15.42578125" style="417" customWidth="1"/>
    <col min="10760" max="10760" width="12.85546875" style="417" customWidth="1"/>
    <col min="10761" max="10761" width="13.85546875" style="417" customWidth="1"/>
    <col min="10762" max="10762" width="13.28515625" style="417" customWidth="1"/>
    <col min="10763" max="10763" width="14.28515625" style="417" customWidth="1"/>
    <col min="10764" max="10764" width="13.42578125" style="417" customWidth="1"/>
    <col min="10765" max="10765" width="12.28515625" style="417" customWidth="1"/>
    <col min="10766" max="11008" width="11.42578125" style="417"/>
    <col min="11009" max="11009" width="4.42578125" style="417" customWidth="1"/>
    <col min="11010" max="11010" width="19.28515625" style="417" customWidth="1"/>
    <col min="11011" max="11011" width="15" style="417" customWidth="1"/>
    <col min="11012" max="11013" width="13.7109375" style="417" customWidth="1"/>
    <col min="11014" max="11014" width="17.28515625" style="417" customWidth="1"/>
    <col min="11015" max="11015" width="15.42578125" style="417" customWidth="1"/>
    <col min="11016" max="11016" width="12.85546875" style="417" customWidth="1"/>
    <col min="11017" max="11017" width="13.85546875" style="417" customWidth="1"/>
    <col min="11018" max="11018" width="13.28515625" style="417" customWidth="1"/>
    <col min="11019" max="11019" width="14.28515625" style="417" customWidth="1"/>
    <col min="11020" max="11020" width="13.42578125" style="417" customWidth="1"/>
    <col min="11021" max="11021" width="12.28515625" style="417" customWidth="1"/>
    <col min="11022" max="11264" width="11.42578125" style="417"/>
    <col min="11265" max="11265" width="4.42578125" style="417" customWidth="1"/>
    <col min="11266" max="11266" width="19.28515625" style="417" customWidth="1"/>
    <col min="11267" max="11267" width="15" style="417" customWidth="1"/>
    <col min="11268" max="11269" width="13.7109375" style="417" customWidth="1"/>
    <col min="11270" max="11270" width="17.28515625" style="417" customWidth="1"/>
    <col min="11271" max="11271" width="15.42578125" style="417" customWidth="1"/>
    <col min="11272" max="11272" width="12.85546875" style="417" customWidth="1"/>
    <col min="11273" max="11273" width="13.85546875" style="417" customWidth="1"/>
    <col min="11274" max="11274" width="13.28515625" style="417" customWidth="1"/>
    <col min="11275" max="11275" width="14.28515625" style="417" customWidth="1"/>
    <col min="11276" max="11276" width="13.42578125" style="417" customWidth="1"/>
    <col min="11277" max="11277" width="12.28515625" style="417" customWidth="1"/>
    <col min="11278" max="11520" width="11.42578125" style="417"/>
    <col min="11521" max="11521" width="4.42578125" style="417" customWidth="1"/>
    <col min="11522" max="11522" width="19.28515625" style="417" customWidth="1"/>
    <col min="11523" max="11523" width="15" style="417" customWidth="1"/>
    <col min="11524" max="11525" width="13.7109375" style="417" customWidth="1"/>
    <col min="11526" max="11526" width="17.28515625" style="417" customWidth="1"/>
    <col min="11527" max="11527" width="15.42578125" style="417" customWidth="1"/>
    <col min="11528" max="11528" width="12.85546875" style="417" customWidth="1"/>
    <col min="11529" max="11529" width="13.85546875" style="417" customWidth="1"/>
    <col min="11530" max="11530" width="13.28515625" style="417" customWidth="1"/>
    <col min="11531" max="11531" width="14.28515625" style="417" customWidth="1"/>
    <col min="11532" max="11532" width="13.42578125" style="417" customWidth="1"/>
    <col min="11533" max="11533" width="12.28515625" style="417" customWidth="1"/>
    <col min="11534" max="11776" width="11.42578125" style="417"/>
    <col min="11777" max="11777" width="4.42578125" style="417" customWidth="1"/>
    <col min="11778" max="11778" width="19.28515625" style="417" customWidth="1"/>
    <col min="11779" max="11779" width="15" style="417" customWidth="1"/>
    <col min="11780" max="11781" width="13.7109375" style="417" customWidth="1"/>
    <col min="11782" max="11782" width="17.28515625" style="417" customWidth="1"/>
    <col min="11783" max="11783" width="15.42578125" style="417" customWidth="1"/>
    <col min="11784" max="11784" width="12.85546875" style="417" customWidth="1"/>
    <col min="11785" max="11785" width="13.85546875" style="417" customWidth="1"/>
    <col min="11786" max="11786" width="13.28515625" style="417" customWidth="1"/>
    <col min="11787" max="11787" width="14.28515625" style="417" customWidth="1"/>
    <col min="11788" max="11788" width="13.42578125" style="417" customWidth="1"/>
    <col min="11789" max="11789" width="12.28515625" style="417" customWidth="1"/>
    <col min="11790" max="12032" width="11.42578125" style="417"/>
    <col min="12033" max="12033" width="4.42578125" style="417" customWidth="1"/>
    <col min="12034" max="12034" width="19.28515625" style="417" customWidth="1"/>
    <col min="12035" max="12035" width="15" style="417" customWidth="1"/>
    <col min="12036" max="12037" width="13.7109375" style="417" customWidth="1"/>
    <col min="12038" max="12038" width="17.28515625" style="417" customWidth="1"/>
    <col min="12039" max="12039" width="15.42578125" style="417" customWidth="1"/>
    <col min="12040" max="12040" width="12.85546875" style="417" customWidth="1"/>
    <col min="12041" max="12041" width="13.85546875" style="417" customWidth="1"/>
    <col min="12042" max="12042" width="13.28515625" style="417" customWidth="1"/>
    <col min="12043" max="12043" width="14.28515625" style="417" customWidth="1"/>
    <col min="12044" max="12044" width="13.42578125" style="417" customWidth="1"/>
    <col min="12045" max="12045" width="12.28515625" style="417" customWidth="1"/>
    <col min="12046" max="12288" width="11.42578125" style="417"/>
    <col min="12289" max="12289" width="4.42578125" style="417" customWidth="1"/>
    <col min="12290" max="12290" width="19.28515625" style="417" customWidth="1"/>
    <col min="12291" max="12291" width="15" style="417" customWidth="1"/>
    <col min="12292" max="12293" width="13.7109375" style="417" customWidth="1"/>
    <col min="12294" max="12294" width="17.28515625" style="417" customWidth="1"/>
    <col min="12295" max="12295" width="15.42578125" style="417" customWidth="1"/>
    <col min="12296" max="12296" width="12.85546875" style="417" customWidth="1"/>
    <col min="12297" max="12297" width="13.85546875" style="417" customWidth="1"/>
    <col min="12298" max="12298" width="13.28515625" style="417" customWidth="1"/>
    <col min="12299" max="12299" width="14.28515625" style="417" customWidth="1"/>
    <col min="12300" max="12300" width="13.42578125" style="417" customWidth="1"/>
    <col min="12301" max="12301" width="12.28515625" style="417" customWidth="1"/>
    <col min="12302" max="12544" width="11.42578125" style="417"/>
    <col min="12545" max="12545" width="4.42578125" style="417" customWidth="1"/>
    <col min="12546" max="12546" width="19.28515625" style="417" customWidth="1"/>
    <col min="12547" max="12547" width="15" style="417" customWidth="1"/>
    <col min="12548" max="12549" width="13.7109375" style="417" customWidth="1"/>
    <col min="12550" max="12550" width="17.28515625" style="417" customWidth="1"/>
    <col min="12551" max="12551" width="15.42578125" style="417" customWidth="1"/>
    <col min="12552" max="12552" width="12.85546875" style="417" customWidth="1"/>
    <col min="12553" max="12553" width="13.85546875" style="417" customWidth="1"/>
    <col min="12554" max="12554" width="13.28515625" style="417" customWidth="1"/>
    <col min="12555" max="12555" width="14.28515625" style="417" customWidth="1"/>
    <col min="12556" max="12556" width="13.42578125" style="417" customWidth="1"/>
    <col min="12557" max="12557" width="12.28515625" style="417" customWidth="1"/>
    <col min="12558" max="12800" width="11.42578125" style="417"/>
    <col min="12801" max="12801" width="4.42578125" style="417" customWidth="1"/>
    <col min="12802" max="12802" width="19.28515625" style="417" customWidth="1"/>
    <col min="12803" max="12803" width="15" style="417" customWidth="1"/>
    <col min="12804" max="12805" width="13.7109375" style="417" customWidth="1"/>
    <col min="12806" max="12806" width="17.28515625" style="417" customWidth="1"/>
    <col min="12807" max="12807" width="15.42578125" style="417" customWidth="1"/>
    <col min="12808" max="12808" width="12.85546875" style="417" customWidth="1"/>
    <col min="12809" max="12809" width="13.85546875" style="417" customWidth="1"/>
    <col min="12810" max="12810" width="13.28515625" style="417" customWidth="1"/>
    <col min="12811" max="12811" width="14.28515625" style="417" customWidth="1"/>
    <col min="12812" max="12812" width="13.42578125" style="417" customWidth="1"/>
    <col min="12813" max="12813" width="12.28515625" style="417" customWidth="1"/>
    <col min="12814" max="13056" width="11.42578125" style="417"/>
    <col min="13057" max="13057" width="4.42578125" style="417" customWidth="1"/>
    <col min="13058" max="13058" width="19.28515625" style="417" customWidth="1"/>
    <col min="13059" max="13059" width="15" style="417" customWidth="1"/>
    <col min="13060" max="13061" width="13.7109375" style="417" customWidth="1"/>
    <col min="13062" max="13062" width="17.28515625" style="417" customWidth="1"/>
    <col min="13063" max="13063" width="15.42578125" style="417" customWidth="1"/>
    <col min="13064" max="13064" width="12.85546875" style="417" customWidth="1"/>
    <col min="13065" max="13065" width="13.85546875" style="417" customWidth="1"/>
    <col min="13066" max="13066" width="13.28515625" style="417" customWidth="1"/>
    <col min="13067" max="13067" width="14.28515625" style="417" customWidth="1"/>
    <col min="13068" max="13068" width="13.42578125" style="417" customWidth="1"/>
    <col min="13069" max="13069" width="12.28515625" style="417" customWidth="1"/>
    <col min="13070" max="13312" width="11.42578125" style="417"/>
    <col min="13313" max="13313" width="4.42578125" style="417" customWidth="1"/>
    <col min="13314" max="13314" width="19.28515625" style="417" customWidth="1"/>
    <col min="13315" max="13315" width="15" style="417" customWidth="1"/>
    <col min="13316" max="13317" width="13.7109375" style="417" customWidth="1"/>
    <col min="13318" max="13318" width="17.28515625" style="417" customWidth="1"/>
    <col min="13319" max="13319" width="15.42578125" style="417" customWidth="1"/>
    <col min="13320" max="13320" width="12.85546875" style="417" customWidth="1"/>
    <col min="13321" max="13321" width="13.85546875" style="417" customWidth="1"/>
    <col min="13322" max="13322" width="13.28515625" style="417" customWidth="1"/>
    <col min="13323" max="13323" width="14.28515625" style="417" customWidth="1"/>
    <col min="13324" max="13324" width="13.42578125" style="417" customWidth="1"/>
    <col min="13325" max="13325" width="12.28515625" style="417" customWidth="1"/>
    <col min="13326" max="13568" width="11.42578125" style="417"/>
    <col min="13569" max="13569" width="4.42578125" style="417" customWidth="1"/>
    <col min="13570" max="13570" width="19.28515625" style="417" customWidth="1"/>
    <col min="13571" max="13571" width="15" style="417" customWidth="1"/>
    <col min="13572" max="13573" width="13.7109375" style="417" customWidth="1"/>
    <col min="13574" max="13574" width="17.28515625" style="417" customWidth="1"/>
    <col min="13575" max="13575" width="15.42578125" style="417" customWidth="1"/>
    <col min="13576" max="13576" width="12.85546875" style="417" customWidth="1"/>
    <col min="13577" max="13577" width="13.85546875" style="417" customWidth="1"/>
    <col min="13578" max="13578" width="13.28515625" style="417" customWidth="1"/>
    <col min="13579" max="13579" width="14.28515625" style="417" customWidth="1"/>
    <col min="13580" max="13580" width="13.42578125" style="417" customWidth="1"/>
    <col min="13581" max="13581" width="12.28515625" style="417" customWidth="1"/>
    <col min="13582" max="13824" width="11.42578125" style="417"/>
    <col min="13825" max="13825" width="4.42578125" style="417" customWidth="1"/>
    <col min="13826" max="13826" width="19.28515625" style="417" customWidth="1"/>
    <col min="13827" max="13827" width="15" style="417" customWidth="1"/>
    <col min="13828" max="13829" width="13.7109375" style="417" customWidth="1"/>
    <col min="13830" max="13830" width="17.28515625" style="417" customWidth="1"/>
    <col min="13831" max="13831" width="15.42578125" style="417" customWidth="1"/>
    <col min="13832" max="13832" width="12.85546875" style="417" customWidth="1"/>
    <col min="13833" max="13833" width="13.85546875" style="417" customWidth="1"/>
    <col min="13834" max="13834" width="13.28515625" style="417" customWidth="1"/>
    <col min="13835" max="13835" width="14.28515625" style="417" customWidth="1"/>
    <col min="13836" max="13836" width="13.42578125" style="417" customWidth="1"/>
    <col min="13837" max="13837" width="12.28515625" style="417" customWidth="1"/>
    <col min="13838" max="14080" width="11.42578125" style="417"/>
    <col min="14081" max="14081" width="4.42578125" style="417" customWidth="1"/>
    <col min="14082" max="14082" width="19.28515625" style="417" customWidth="1"/>
    <col min="14083" max="14083" width="15" style="417" customWidth="1"/>
    <col min="14084" max="14085" width="13.7109375" style="417" customWidth="1"/>
    <col min="14086" max="14086" width="17.28515625" style="417" customWidth="1"/>
    <col min="14087" max="14087" width="15.42578125" style="417" customWidth="1"/>
    <col min="14088" max="14088" width="12.85546875" style="417" customWidth="1"/>
    <col min="14089" max="14089" width="13.85546875" style="417" customWidth="1"/>
    <col min="14090" max="14090" width="13.28515625" style="417" customWidth="1"/>
    <col min="14091" max="14091" width="14.28515625" style="417" customWidth="1"/>
    <col min="14092" max="14092" width="13.42578125" style="417" customWidth="1"/>
    <col min="14093" max="14093" width="12.28515625" style="417" customWidth="1"/>
    <col min="14094" max="14336" width="11.42578125" style="417"/>
    <col min="14337" max="14337" width="4.42578125" style="417" customWidth="1"/>
    <col min="14338" max="14338" width="19.28515625" style="417" customWidth="1"/>
    <col min="14339" max="14339" width="15" style="417" customWidth="1"/>
    <col min="14340" max="14341" width="13.7109375" style="417" customWidth="1"/>
    <col min="14342" max="14342" width="17.28515625" style="417" customWidth="1"/>
    <col min="14343" max="14343" width="15.42578125" style="417" customWidth="1"/>
    <col min="14344" max="14344" width="12.85546875" style="417" customWidth="1"/>
    <col min="14345" max="14345" width="13.85546875" style="417" customWidth="1"/>
    <col min="14346" max="14346" width="13.28515625" style="417" customWidth="1"/>
    <col min="14347" max="14347" width="14.28515625" style="417" customWidth="1"/>
    <col min="14348" max="14348" width="13.42578125" style="417" customWidth="1"/>
    <col min="14349" max="14349" width="12.28515625" style="417" customWidth="1"/>
    <col min="14350" max="14592" width="11.42578125" style="417"/>
    <col min="14593" max="14593" width="4.42578125" style="417" customWidth="1"/>
    <col min="14594" max="14594" width="19.28515625" style="417" customWidth="1"/>
    <col min="14595" max="14595" width="15" style="417" customWidth="1"/>
    <col min="14596" max="14597" width="13.7109375" style="417" customWidth="1"/>
    <col min="14598" max="14598" width="17.28515625" style="417" customWidth="1"/>
    <col min="14599" max="14599" width="15.42578125" style="417" customWidth="1"/>
    <col min="14600" max="14600" width="12.85546875" style="417" customWidth="1"/>
    <col min="14601" max="14601" width="13.85546875" style="417" customWidth="1"/>
    <col min="14602" max="14602" width="13.28515625" style="417" customWidth="1"/>
    <col min="14603" max="14603" width="14.28515625" style="417" customWidth="1"/>
    <col min="14604" max="14604" width="13.42578125" style="417" customWidth="1"/>
    <col min="14605" max="14605" width="12.28515625" style="417" customWidth="1"/>
    <col min="14606" max="14848" width="11.42578125" style="417"/>
    <col min="14849" max="14849" width="4.42578125" style="417" customWidth="1"/>
    <col min="14850" max="14850" width="19.28515625" style="417" customWidth="1"/>
    <col min="14851" max="14851" width="15" style="417" customWidth="1"/>
    <col min="14852" max="14853" width="13.7109375" style="417" customWidth="1"/>
    <col min="14854" max="14854" width="17.28515625" style="417" customWidth="1"/>
    <col min="14855" max="14855" width="15.42578125" style="417" customWidth="1"/>
    <col min="14856" max="14856" width="12.85546875" style="417" customWidth="1"/>
    <col min="14857" max="14857" width="13.85546875" style="417" customWidth="1"/>
    <col min="14858" max="14858" width="13.28515625" style="417" customWidth="1"/>
    <col min="14859" max="14859" width="14.28515625" style="417" customWidth="1"/>
    <col min="14860" max="14860" width="13.42578125" style="417" customWidth="1"/>
    <col min="14861" max="14861" width="12.28515625" style="417" customWidth="1"/>
    <col min="14862" max="15104" width="11.42578125" style="417"/>
    <col min="15105" max="15105" width="4.42578125" style="417" customWidth="1"/>
    <col min="15106" max="15106" width="19.28515625" style="417" customWidth="1"/>
    <col min="15107" max="15107" width="15" style="417" customWidth="1"/>
    <col min="15108" max="15109" width="13.7109375" style="417" customWidth="1"/>
    <col min="15110" max="15110" width="17.28515625" style="417" customWidth="1"/>
    <col min="15111" max="15111" width="15.42578125" style="417" customWidth="1"/>
    <col min="15112" max="15112" width="12.85546875" style="417" customWidth="1"/>
    <col min="15113" max="15113" width="13.85546875" style="417" customWidth="1"/>
    <col min="15114" max="15114" width="13.28515625" style="417" customWidth="1"/>
    <col min="15115" max="15115" width="14.28515625" style="417" customWidth="1"/>
    <col min="15116" max="15116" width="13.42578125" style="417" customWidth="1"/>
    <col min="15117" max="15117" width="12.28515625" style="417" customWidth="1"/>
    <col min="15118" max="15360" width="11.42578125" style="417"/>
    <col min="15361" max="15361" width="4.42578125" style="417" customWidth="1"/>
    <col min="15362" max="15362" width="19.28515625" style="417" customWidth="1"/>
    <col min="15363" max="15363" width="15" style="417" customWidth="1"/>
    <col min="15364" max="15365" width="13.7109375" style="417" customWidth="1"/>
    <col min="15366" max="15366" width="17.28515625" style="417" customWidth="1"/>
    <col min="15367" max="15367" width="15.42578125" style="417" customWidth="1"/>
    <col min="15368" max="15368" width="12.85546875" style="417" customWidth="1"/>
    <col min="15369" max="15369" width="13.85546875" style="417" customWidth="1"/>
    <col min="15370" max="15370" width="13.28515625" style="417" customWidth="1"/>
    <col min="15371" max="15371" width="14.28515625" style="417" customWidth="1"/>
    <col min="15372" max="15372" width="13.42578125" style="417" customWidth="1"/>
    <col min="15373" max="15373" width="12.28515625" style="417" customWidth="1"/>
    <col min="15374" max="15616" width="11.42578125" style="417"/>
    <col min="15617" max="15617" width="4.42578125" style="417" customWidth="1"/>
    <col min="15618" max="15618" width="19.28515625" style="417" customWidth="1"/>
    <col min="15619" max="15619" width="15" style="417" customWidth="1"/>
    <col min="15620" max="15621" width="13.7109375" style="417" customWidth="1"/>
    <col min="15622" max="15622" width="17.28515625" style="417" customWidth="1"/>
    <col min="15623" max="15623" width="15.42578125" style="417" customWidth="1"/>
    <col min="15624" max="15624" width="12.85546875" style="417" customWidth="1"/>
    <col min="15625" max="15625" width="13.85546875" style="417" customWidth="1"/>
    <col min="15626" max="15626" width="13.28515625" style="417" customWidth="1"/>
    <col min="15627" max="15627" width="14.28515625" style="417" customWidth="1"/>
    <col min="15628" max="15628" width="13.42578125" style="417" customWidth="1"/>
    <col min="15629" max="15629" width="12.28515625" style="417" customWidth="1"/>
    <col min="15630" max="15872" width="11.42578125" style="417"/>
    <col min="15873" max="15873" width="4.42578125" style="417" customWidth="1"/>
    <col min="15874" max="15874" width="19.28515625" style="417" customWidth="1"/>
    <col min="15875" max="15875" width="15" style="417" customWidth="1"/>
    <col min="15876" max="15877" width="13.7109375" style="417" customWidth="1"/>
    <col min="15878" max="15878" width="17.28515625" style="417" customWidth="1"/>
    <col min="15879" max="15879" width="15.42578125" style="417" customWidth="1"/>
    <col min="15880" max="15880" width="12.85546875" style="417" customWidth="1"/>
    <col min="15881" max="15881" width="13.85546875" style="417" customWidth="1"/>
    <col min="15882" max="15882" width="13.28515625" style="417" customWidth="1"/>
    <col min="15883" max="15883" width="14.28515625" style="417" customWidth="1"/>
    <col min="15884" max="15884" width="13.42578125" style="417" customWidth="1"/>
    <col min="15885" max="15885" width="12.28515625" style="417" customWidth="1"/>
    <col min="15886" max="16128" width="11.42578125" style="417"/>
    <col min="16129" max="16129" width="4.42578125" style="417" customWidth="1"/>
    <col min="16130" max="16130" width="19.28515625" style="417" customWidth="1"/>
    <col min="16131" max="16131" width="15" style="417" customWidth="1"/>
    <col min="16132" max="16133" width="13.7109375" style="417" customWidth="1"/>
    <col min="16134" max="16134" width="17.28515625" style="417" customWidth="1"/>
    <col min="16135" max="16135" width="15.42578125" style="417" customWidth="1"/>
    <col min="16136" max="16136" width="12.85546875" style="417" customWidth="1"/>
    <col min="16137" max="16137" width="13.85546875" style="417" customWidth="1"/>
    <col min="16138" max="16138" width="13.28515625" style="417" customWidth="1"/>
    <col min="16139" max="16139" width="14.28515625" style="417" customWidth="1"/>
    <col min="16140" max="16140" width="13.42578125" style="417" customWidth="1"/>
    <col min="16141" max="16141" width="12.28515625" style="417" customWidth="1"/>
    <col min="16142" max="16384" width="11.42578125" style="417"/>
  </cols>
  <sheetData>
    <row r="1" spans="1:7" ht="23.25">
      <c r="A1" s="415" t="s">
        <v>442</v>
      </c>
      <c r="B1" s="416"/>
      <c r="C1" s="416"/>
      <c r="D1" s="416"/>
      <c r="E1" s="416"/>
      <c r="F1" s="416"/>
      <c r="G1" s="416"/>
    </row>
    <row r="2" spans="1:7">
      <c r="B2" s="418" t="s">
        <v>486</v>
      </c>
    </row>
    <row r="4" spans="1:7">
      <c r="E4" s="419" t="s">
        <v>443</v>
      </c>
    </row>
    <row r="5" spans="1:7" ht="23.25">
      <c r="A5" s="415" t="s">
        <v>444</v>
      </c>
      <c r="B5" s="416"/>
      <c r="C5" s="416"/>
      <c r="D5" s="416"/>
      <c r="E5" s="416"/>
      <c r="F5" s="416"/>
      <c r="G5" s="416"/>
    </row>
    <row r="6" spans="1:7">
      <c r="A6" s="420" t="s">
        <v>445</v>
      </c>
      <c r="B6" s="421"/>
      <c r="C6" s="422"/>
      <c r="E6" s="420" t="s">
        <v>446</v>
      </c>
      <c r="F6" s="416"/>
      <c r="G6" s="416"/>
    </row>
    <row r="7" spans="1:7">
      <c r="B7" s="423" t="s">
        <v>447</v>
      </c>
      <c r="C7" s="424">
        <v>150000</v>
      </c>
      <c r="F7" s="423" t="s">
        <v>448</v>
      </c>
      <c r="G7" s="425">
        <f>+Data_1rata</f>
        <v>44287</v>
      </c>
    </row>
    <row r="8" spans="1:7">
      <c r="B8" s="423" t="s">
        <v>449</v>
      </c>
      <c r="C8" s="426">
        <v>5.0000000000000001E-3</v>
      </c>
      <c r="F8" s="423" t="s">
        <v>450</v>
      </c>
      <c r="G8" s="427">
        <v>1</v>
      </c>
    </row>
    <row r="9" spans="1:7">
      <c r="B9" s="423" t="s">
        <v>451</v>
      </c>
      <c r="C9" s="428">
        <v>1</v>
      </c>
      <c r="F9" s="423"/>
      <c r="G9" s="429"/>
    </row>
    <row r="10" spans="1:7">
      <c r="B10" s="423" t="s">
        <v>452</v>
      </c>
      <c r="C10" s="430">
        <v>5</v>
      </c>
      <c r="E10" s="417" t="s">
        <v>487</v>
      </c>
      <c r="G10" s="472">
        <v>43830</v>
      </c>
    </row>
    <row r="11" spans="1:7">
      <c r="A11" s="431"/>
      <c r="B11" s="432" t="s">
        <v>390</v>
      </c>
      <c r="C11" s="433">
        <f>+C9+Periodo</f>
        <v>6</v>
      </c>
    </row>
    <row r="12" spans="1:7">
      <c r="B12" s="423" t="s">
        <v>453</v>
      </c>
      <c r="C12" s="430">
        <v>4</v>
      </c>
    </row>
    <row r="13" spans="1:7">
      <c r="B13" s="423" t="s">
        <v>454</v>
      </c>
      <c r="C13" s="434">
        <v>44287</v>
      </c>
    </row>
    <row r="14" spans="1:7">
      <c r="A14" s="420" t="s">
        <v>455</v>
      </c>
      <c r="B14" s="416"/>
      <c r="C14" s="416"/>
      <c r="D14" s="416"/>
      <c r="E14" s="416"/>
      <c r="F14" s="416"/>
      <c r="G14" s="416"/>
    </row>
    <row r="15" spans="1:7">
      <c r="B15" s="423" t="s">
        <v>456</v>
      </c>
      <c r="C15" s="435"/>
      <c r="D15" s="436" t="s">
        <v>457</v>
      </c>
    </row>
    <row r="16" spans="1:7">
      <c r="B16" s="423" t="s">
        <v>458</v>
      </c>
      <c r="C16" s="437">
        <f>PMT(Tasso_periodico,Rate_totali,-Ammontare)</f>
        <v>7598.826901048672</v>
      </c>
      <c r="D16" s="436" t="s">
        <v>459</v>
      </c>
    </row>
    <row r="17" spans="1:7">
      <c r="A17" s="420" t="s">
        <v>460</v>
      </c>
      <c r="B17" s="416"/>
      <c r="C17" s="416"/>
      <c r="D17" s="416"/>
      <c r="E17" s="416"/>
      <c r="F17" s="416"/>
      <c r="G17" s="416"/>
    </row>
    <row r="18" spans="1:7">
      <c r="B18" s="423" t="s">
        <v>461</v>
      </c>
      <c r="C18" s="438">
        <f>IF(Rata_immessa=0,Rata_calc,Rata_immessa)</f>
        <v>7598.826901048672</v>
      </c>
      <c r="F18" s="423" t="str">
        <f>"Bilancio iniziale al pagamento "&amp;TEXT(Num_1rata,"0")&amp;":"</f>
        <v>Bilancio iniziale al pagamento 1:</v>
      </c>
      <c r="G18" s="439">
        <f>FV(Tasso_interessi_annuo/Num_rate_annuali,Num_1rata-1,Rata_da_usare,-Ammontare)</f>
        <v>150000</v>
      </c>
    </row>
    <row r="19" spans="1:7">
      <c r="B19" s="423" t="s">
        <v>462</v>
      </c>
      <c r="C19" s="440">
        <f>IF(G7=0,IF(G8=0,1,G8),1+C12*(YEAR(G7)-YEAR(C13))+INT(C12*(MONTH(G7)-MONTH(C13))/12)+IF(DAY(G7)&gt;DAY(C13),1))</f>
        <v>1</v>
      </c>
      <c r="F19" s="423" t="str">
        <f>"Interessi cumulati prima del pagamento "&amp;TEXT(Num_1rata,"0")&amp;":"</f>
        <v>Interessi cumulati prima del pagamento 1:</v>
      </c>
      <c r="G19" s="439">
        <f>Rata_da_usare*(Num_1rata-1)-(Ammontare-Tabella_iniz_bil)</f>
        <v>0</v>
      </c>
    </row>
    <row r="20" spans="1:7" ht="23.25">
      <c r="A20" s="415" t="s">
        <v>463</v>
      </c>
      <c r="B20" s="416"/>
      <c r="C20" s="416"/>
      <c r="D20" s="416"/>
      <c r="E20" s="416"/>
      <c r="F20" s="416"/>
      <c r="G20" s="416"/>
    </row>
    <row r="22" spans="1:7">
      <c r="A22" s="441"/>
      <c r="B22" s="441" t="s">
        <v>464</v>
      </c>
      <c r="C22" s="441" t="s">
        <v>465</v>
      </c>
      <c r="D22" s="441" t="s">
        <v>439</v>
      </c>
      <c r="E22" s="441" t="s">
        <v>440</v>
      </c>
      <c r="F22" s="441" t="s">
        <v>465</v>
      </c>
      <c r="G22" s="441" t="s">
        <v>439</v>
      </c>
    </row>
    <row r="23" spans="1:7">
      <c r="A23" s="442" t="s">
        <v>466</v>
      </c>
      <c r="B23" s="442" t="s">
        <v>467</v>
      </c>
      <c r="C23" s="442" t="s">
        <v>468</v>
      </c>
      <c r="D23" s="442"/>
      <c r="E23" s="442"/>
      <c r="F23" s="442" t="s">
        <v>469</v>
      </c>
      <c r="G23" s="442" t="s">
        <v>470</v>
      </c>
    </row>
    <row r="24" spans="1:7">
      <c r="A24" s="443"/>
      <c r="B24" s="444">
        <v>44013</v>
      </c>
      <c r="C24" s="445">
        <f>+C26</f>
        <v>150000</v>
      </c>
      <c r="D24" s="446">
        <f>+C24*Tasso_int_annuo/2</f>
        <v>375</v>
      </c>
      <c r="E24" s="443">
        <v>0</v>
      </c>
      <c r="F24" s="445">
        <f>+C24-E24</f>
        <v>150000</v>
      </c>
      <c r="G24" s="447">
        <f>+D24</f>
        <v>375</v>
      </c>
    </row>
    <row r="25" spans="1:7">
      <c r="A25" s="443"/>
      <c r="B25" s="444">
        <v>44196</v>
      </c>
      <c r="C25" s="445">
        <f>+C24</f>
        <v>150000</v>
      </c>
      <c r="D25" s="446">
        <f>+D24</f>
        <v>375</v>
      </c>
      <c r="E25" s="443">
        <v>0</v>
      </c>
      <c r="F25" s="445">
        <f>+C25-E25</f>
        <v>150000</v>
      </c>
      <c r="G25" s="447">
        <f>+G24+D25</f>
        <v>750</v>
      </c>
    </row>
    <row r="26" spans="1:7">
      <c r="A26" s="448">
        <f>+G8</f>
        <v>1</v>
      </c>
      <c r="B26" s="449">
        <f>+Tabella_data_iniz</f>
        <v>44287</v>
      </c>
      <c r="C26" s="450">
        <f>IF(A26&lt;&gt;"",IF(Tabella_iniz_bil&lt;0,0,Tabella_iniz_bil),"")</f>
        <v>150000</v>
      </c>
      <c r="D26" s="450">
        <f t="shared" ref="D26:D89" si="0">Interessi</f>
        <v>187.5</v>
      </c>
      <c r="E26" s="450">
        <f t="shared" ref="E26:E89" si="1">Montante</f>
        <v>7411.326901048672</v>
      </c>
      <c r="F26" s="450">
        <f t="shared" ref="F26:F89" si="2">Bilancio.fin</f>
        <v>142588.67309895132</v>
      </c>
      <c r="G26" s="451">
        <f>+G25+D26</f>
        <v>937.5</v>
      </c>
    </row>
    <row r="27" spans="1:7">
      <c r="A27" s="452">
        <f t="shared" ref="A27:A90" si="3">Num.rata</f>
        <v>2</v>
      </c>
      <c r="B27" s="453">
        <f>Mostra.data</f>
        <v>44378</v>
      </c>
      <c r="C27" s="454">
        <f t="shared" ref="C27:C90" si="4">Bilancio.iniz</f>
        <v>142588.67309895132</v>
      </c>
      <c r="D27" s="454">
        <f t="shared" si="0"/>
        <v>178.23584137368914</v>
      </c>
      <c r="E27" s="454">
        <f t="shared" si="1"/>
        <v>7420.5910596749827</v>
      </c>
      <c r="F27" s="454">
        <f t="shared" si="2"/>
        <v>135168.08203927634</v>
      </c>
      <c r="G27" s="454">
        <f t="shared" ref="G27:G90" si="5">Interesse.cum</f>
        <v>1115.7358413736893</v>
      </c>
    </row>
    <row r="28" spans="1:7">
      <c r="A28" s="455">
        <f t="shared" si="3"/>
        <v>3</v>
      </c>
      <c r="B28" s="453">
        <f>Mostra.data</f>
        <v>44470</v>
      </c>
      <c r="C28" s="456">
        <f t="shared" si="4"/>
        <v>135168.08203927634</v>
      </c>
      <c r="D28" s="456">
        <f t="shared" si="0"/>
        <v>168.96010254909544</v>
      </c>
      <c r="E28" s="456">
        <f t="shared" si="1"/>
        <v>7429.8667984995764</v>
      </c>
      <c r="F28" s="456">
        <f t="shared" si="2"/>
        <v>127738.21524077677</v>
      </c>
      <c r="G28" s="456">
        <f t="shared" si="5"/>
        <v>1284.6959439227846</v>
      </c>
    </row>
    <row r="29" spans="1:7">
      <c r="A29" s="448">
        <f t="shared" si="3"/>
        <v>4</v>
      </c>
      <c r="B29" s="453">
        <f>Mostra.data</f>
        <v>44562</v>
      </c>
      <c r="C29" s="450">
        <f t="shared" si="4"/>
        <v>127738.21524077677</v>
      </c>
      <c r="D29" s="450">
        <f t="shared" si="0"/>
        <v>159.67276905097097</v>
      </c>
      <c r="E29" s="450">
        <f t="shared" si="1"/>
        <v>7439.1541319977014</v>
      </c>
      <c r="F29" s="450">
        <f t="shared" si="2"/>
        <v>120299.06110877907</v>
      </c>
      <c r="G29" s="450">
        <f t="shared" si="5"/>
        <v>1444.3687129737557</v>
      </c>
    </row>
    <row r="30" spans="1:7">
      <c r="A30" s="452">
        <f t="shared" si="3"/>
        <v>5</v>
      </c>
      <c r="B30" s="453">
        <f>Mostra.data</f>
        <v>44652</v>
      </c>
      <c r="C30" s="454">
        <f t="shared" si="4"/>
        <v>120299.06110877907</v>
      </c>
      <c r="D30" s="454">
        <f t="shared" si="0"/>
        <v>150.37382638597384</v>
      </c>
      <c r="E30" s="454">
        <f t="shared" si="1"/>
        <v>7448.4530746626979</v>
      </c>
      <c r="F30" s="454">
        <f t="shared" si="2"/>
        <v>112850.60803411638</v>
      </c>
      <c r="G30" s="454">
        <f t="shared" si="5"/>
        <v>1594.7425393597296</v>
      </c>
    </row>
    <row r="31" spans="1:7">
      <c r="A31" s="455">
        <f t="shared" si="3"/>
        <v>6</v>
      </c>
      <c r="B31" s="453">
        <f>Mostra.data</f>
        <v>44743</v>
      </c>
      <c r="C31" s="456">
        <f t="shared" si="4"/>
        <v>112850.60803411638</v>
      </c>
      <c r="D31" s="456">
        <f t="shared" si="0"/>
        <v>141.06326004264548</v>
      </c>
      <c r="E31" s="456">
        <f t="shared" si="1"/>
        <v>7457.7636410060268</v>
      </c>
      <c r="F31" s="456">
        <f t="shared" si="2"/>
        <v>105392.84439311035</v>
      </c>
      <c r="G31" s="456">
        <f t="shared" si="5"/>
        <v>1735.805799402375</v>
      </c>
    </row>
    <row r="32" spans="1:7">
      <c r="A32" s="448">
        <f t="shared" si="3"/>
        <v>7</v>
      </c>
      <c r="B32" s="453">
        <f t="shared" ref="B32:B41" si="6">Mostra.data</f>
        <v>44835</v>
      </c>
      <c r="C32" s="450">
        <f t="shared" si="4"/>
        <v>105392.84439311035</v>
      </c>
      <c r="D32" s="450">
        <f t="shared" si="0"/>
        <v>131.74105549138795</v>
      </c>
      <c r="E32" s="450">
        <f t="shared" si="1"/>
        <v>7467.0858455572843</v>
      </c>
      <c r="F32" s="450">
        <f t="shared" si="2"/>
        <v>97925.758547553065</v>
      </c>
      <c r="G32" s="450">
        <f t="shared" si="5"/>
        <v>1867.5468548937629</v>
      </c>
    </row>
    <row r="33" spans="1:7">
      <c r="A33" s="452">
        <f t="shared" si="3"/>
        <v>8</v>
      </c>
      <c r="B33" s="453">
        <f t="shared" si="6"/>
        <v>44927</v>
      </c>
      <c r="C33" s="454">
        <f t="shared" si="4"/>
        <v>97925.758547553065</v>
      </c>
      <c r="D33" s="454">
        <f t="shared" si="0"/>
        <v>122.40719818444133</v>
      </c>
      <c r="E33" s="454">
        <f t="shared" si="1"/>
        <v>7476.4197028642302</v>
      </c>
      <c r="F33" s="454">
        <f t="shared" si="2"/>
        <v>90449.338844688842</v>
      </c>
      <c r="G33" s="454">
        <f t="shared" si="5"/>
        <v>1989.9540530782042</v>
      </c>
    </row>
    <row r="34" spans="1:7">
      <c r="A34" s="455">
        <f t="shared" si="3"/>
        <v>9</v>
      </c>
      <c r="B34" s="453">
        <f t="shared" si="6"/>
        <v>45017</v>
      </c>
      <c r="C34" s="456">
        <f t="shared" si="4"/>
        <v>90449.338844688842</v>
      </c>
      <c r="D34" s="456">
        <f t="shared" si="0"/>
        <v>113.06167355586105</v>
      </c>
      <c r="E34" s="456">
        <f t="shared" si="1"/>
        <v>7485.7652274928105</v>
      </c>
      <c r="F34" s="456">
        <f t="shared" si="2"/>
        <v>82963.573617196031</v>
      </c>
      <c r="G34" s="456">
        <f t="shared" si="5"/>
        <v>2103.0157266340652</v>
      </c>
    </row>
    <row r="35" spans="1:7">
      <c r="A35" s="448">
        <f t="shared" si="3"/>
        <v>10</v>
      </c>
      <c r="B35" s="453">
        <f t="shared" si="6"/>
        <v>45108</v>
      </c>
      <c r="C35" s="450">
        <f t="shared" si="4"/>
        <v>82963.573617196031</v>
      </c>
      <c r="D35" s="450">
        <f t="shared" si="0"/>
        <v>103.70446702149503</v>
      </c>
      <c r="E35" s="450">
        <f t="shared" si="1"/>
        <v>7495.1224340271765</v>
      </c>
      <c r="F35" s="450">
        <f t="shared" si="2"/>
        <v>75468.451183168858</v>
      </c>
      <c r="G35" s="450">
        <f t="shared" si="5"/>
        <v>2206.7201936555603</v>
      </c>
    </row>
    <row r="36" spans="1:7">
      <c r="A36" s="452">
        <f t="shared" si="3"/>
        <v>11</v>
      </c>
      <c r="B36" s="453">
        <f t="shared" si="6"/>
        <v>45200</v>
      </c>
      <c r="C36" s="454">
        <f t="shared" si="4"/>
        <v>75468.451183168858</v>
      </c>
      <c r="D36" s="454">
        <f t="shared" si="0"/>
        <v>94.335563978961076</v>
      </c>
      <c r="E36" s="454">
        <f t="shared" si="1"/>
        <v>7504.4913370697113</v>
      </c>
      <c r="F36" s="454">
        <f t="shared" si="2"/>
        <v>67963.95984609914</v>
      </c>
      <c r="G36" s="454">
        <f t="shared" si="5"/>
        <v>2301.0557576345213</v>
      </c>
    </row>
    <row r="37" spans="1:7">
      <c r="A37" s="455">
        <f t="shared" si="3"/>
        <v>12</v>
      </c>
      <c r="B37" s="453">
        <f t="shared" si="6"/>
        <v>45292</v>
      </c>
      <c r="C37" s="456">
        <f t="shared" si="4"/>
        <v>67963.95984609914</v>
      </c>
      <c r="D37" s="456">
        <f t="shared" si="0"/>
        <v>84.954949807623933</v>
      </c>
      <c r="E37" s="456">
        <f t="shared" si="1"/>
        <v>7513.871951241048</v>
      </c>
      <c r="F37" s="456">
        <f t="shared" si="2"/>
        <v>60450.087894858094</v>
      </c>
      <c r="G37" s="456">
        <f t="shared" si="5"/>
        <v>2386.0107074421453</v>
      </c>
    </row>
    <row r="38" spans="1:7">
      <c r="A38" s="448">
        <f t="shared" si="3"/>
        <v>13</v>
      </c>
      <c r="B38" s="453">
        <f t="shared" si="6"/>
        <v>45383</v>
      </c>
      <c r="C38" s="450">
        <f t="shared" si="4"/>
        <v>60450.087894858094</v>
      </c>
      <c r="D38" s="450">
        <f t="shared" si="0"/>
        <v>75.562609868572622</v>
      </c>
      <c r="E38" s="450">
        <f t="shared" si="1"/>
        <v>7523.2642911800995</v>
      </c>
      <c r="F38" s="450">
        <f t="shared" si="2"/>
        <v>52926.823603677993</v>
      </c>
      <c r="G38" s="450">
        <f t="shared" si="5"/>
        <v>2461.5733173107178</v>
      </c>
    </row>
    <row r="39" spans="1:7">
      <c r="A39" s="452">
        <f t="shared" si="3"/>
        <v>14</v>
      </c>
      <c r="B39" s="453">
        <f t="shared" si="6"/>
        <v>45474</v>
      </c>
      <c r="C39" s="454">
        <f t="shared" si="4"/>
        <v>52926.823603677993</v>
      </c>
      <c r="D39" s="454">
        <f t="shared" si="0"/>
        <v>66.158529504597496</v>
      </c>
      <c r="E39" s="454">
        <f t="shared" si="1"/>
        <v>7532.668371544074</v>
      </c>
      <c r="F39" s="454">
        <f t="shared" si="2"/>
        <v>45394.155232133919</v>
      </c>
      <c r="G39" s="454">
        <f t="shared" si="5"/>
        <v>2527.7318468153153</v>
      </c>
    </row>
    <row r="40" spans="1:7">
      <c r="A40" s="455">
        <f t="shared" si="3"/>
        <v>15</v>
      </c>
      <c r="B40" s="453">
        <f t="shared" si="6"/>
        <v>45566</v>
      </c>
      <c r="C40" s="456">
        <f t="shared" si="4"/>
        <v>45394.155232133919</v>
      </c>
      <c r="D40" s="456">
        <f t="shared" si="0"/>
        <v>56.7426940401674</v>
      </c>
      <c r="E40" s="456">
        <f t="shared" si="1"/>
        <v>7542.0842070085046</v>
      </c>
      <c r="F40" s="456">
        <f t="shared" si="2"/>
        <v>37852.071025125413</v>
      </c>
      <c r="G40" s="456">
        <f t="shared" si="5"/>
        <v>2584.4745408554827</v>
      </c>
    </row>
    <row r="41" spans="1:7">
      <c r="A41" s="448">
        <f t="shared" si="3"/>
        <v>16</v>
      </c>
      <c r="B41" s="453">
        <f t="shared" si="6"/>
        <v>45658</v>
      </c>
      <c r="C41" s="450">
        <f t="shared" si="4"/>
        <v>37852.071025125413</v>
      </c>
      <c r="D41" s="450">
        <f t="shared" si="0"/>
        <v>47.315088781406764</v>
      </c>
      <c r="E41" s="450">
        <f t="shared" si="1"/>
        <v>7551.5118122672648</v>
      </c>
      <c r="F41" s="450">
        <f t="shared" si="2"/>
        <v>30300.559212858148</v>
      </c>
      <c r="G41" s="450">
        <f t="shared" si="5"/>
        <v>2631.7896296368895</v>
      </c>
    </row>
    <row r="42" spans="1:7">
      <c r="A42" s="452">
        <f t="shared" si="3"/>
        <v>17</v>
      </c>
      <c r="B42" s="453">
        <f t="shared" ref="B42:B105" si="7">Mostra.data</f>
        <v>45748</v>
      </c>
      <c r="C42" s="454">
        <f t="shared" si="4"/>
        <v>30300.559212858148</v>
      </c>
      <c r="D42" s="454">
        <f t="shared" si="0"/>
        <v>37.875699016072687</v>
      </c>
      <c r="E42" s="454">
        <f t="shared" si="1"/>
        <v>7560.9512020325992</v>
      </c>
      <c r="F42" s="454">
        <f t="shared" si="2"/>
        <v>22739.608010825548</v>
      </c>
      <c r="G42" s="454">
        <f t="shared" si="5"/>
        <v>2669.6653286529622</v>
      </c>
    </row>
    <row r="43" spans="1:7">
      <c r="A43" s="455">
        <f t="shared" si="3"/>
        <v>18</v>
      </c>
      <c r="B43" s="457">
        <f t="shared" si="7"/>
        <v>45839</v>
      </c>
      <c r="C43" s="456">
        <f t="shared" si="4"/>
        <v>22739.608010825548</v>
      </c>
      <c r="D43" s="456">
        <f t="shared" si="0"/>
        <v>28.424510013531936</v>
      </c>
      <c r="E43" s="456">
        <f t="shared" si="1"/>
        <v>7570.4023910351398</v>
      </c>
      <c r="F43" s="456">
        <f t="shared" si="2"/>
        <v>15169.205619790409</v>
      </c>
      <c r="G43" s="456">
        <f t="shared" si="5"/>
        <v>2698.089838666494</v>
      </c>
    </row>
    <row r="44" spans="1:7">
      <c r="A44" s="452">
        <f t="shared" si="3"/>
        <v>19</v>
      </c>
      <c r="B44" s="453">
        <f t="shared" si="7"/>
        <v>45931</v>
      </c>
      <c r="C44" s="454">
        <f t="shared" si="4"/>
        <v>15169.205619790409</v>
      </c>
      <c r="D44" s="454">
        <f t="shared" si="0"/>
        <v>18.961507024738012</v>
      </c>
      <c r="E44" s="454">
        <f t="shared" si="1"/>
        <v>7579.8653940239337</v>
      </c>
      <c r="F44" s="454">
        <f t="shared" si="2"/>
        <v>7589.3402257664757</v>
      </c>
      <c r="G44" s="454">
        <f t="shared" si="5"/>
        <v>2717.0513456912322</v>
      </c>
    </row>
    <row r="45" spans="1:7">
      <c r="A45" s="452">
        <f t="shared" si="3"/>
        <v>20</v>
      </c>
      <c r="B45" s="453">
        <f t="shared" si="7"/>
        <v>46023</v>
      </c>
      <c r="C45" s="454">
        <f t="shared" si="4"/>
        <v>7589.3402257664757</v>
      </c>
      <c r="D45" s="454">
        <f t="shared" si="0"/>
        <v>9.4866752822080951</v>
      </c>
      <c r="E45" s="454">
        <f t="shared" si="1"/>
        <v>7589.3402257664638</v>
      </c>
      <c r="F45" s="454">
        <f t="shared" si="2"/>
        <v>1.1823431123048067E-11</v>
      </c>
      <c r="G45" s="454">
        <f t="shared" si="5"/>
        <v>2726.5380209734403</v>
      </c>
    </row>
    <row r="46" spans="1:7">
      <c r="A46" s="455" t="str">
        <f t="shared" si="3"/>
        <v/>
      </c>
      <c r="B46" s="457" t="str">
        <f t="shared" si="7"/>
        <v/>
      </c>
      <c r="C46" s="456" t="str">
        <f t="shared" si="4"/>
        <v/>
      </c>
      <c r="D46" s="456" t="str">
        <f t="shared" si="0"/>
        <v/>
      </c>
      <c r="E46" s="456" t="str">
        <f t="shared" si="1"/>
        <v/>
      </c>
      <c r="F46" s="456" t="str">
        <f t="shared" si="2"/>
        <v/>
      </c>
      <c r="G46" s="456" t="str">
        <f t="shared" si="5"/>
        <v/>
      </c>
    </row>
    <row r="47" spans="1:7">
      <c r="A47" s="452" t="str">
        <f t="shared" si="3"/>
        <v/>
      </c>
      <c r="B47" s="453" t="str">
        <f t="shared" si="7"/>
        <v/>
      </c>
      <c r="C47" s="454" t="str">
        <f t="shared" si="4"/>
        <v/>
      </c>
      <c r="D47" s="454" t="str">
        <f t="shared" si="0"/>
        <v/>
      </c>
      <c r="E47" s="454" t="str">
        <f t="shared" si="1"/>
        <v/>
      </c>
      <c r="F47" s="454" t="str">
        <f t="shared" si="2"/>
        <v/>
      </c>
      <c r="G47" s="454" t="str">
        <f t="shared" si="5"/>
        <v/>
      </c>
    </row>
    <row r="48" spans="1:7">
      <c r="A48" s="452" t="str">
        <f t="shared" si="3"/>
        <v/>
      </c>
      <c r="B48" s="453" t="str">
        <f t="shared" si="7"/>
        <v/>
      </c>
      <c r="C48" s="454" t="str">
        <f t="shared" si="4"/>
        <v/>
      </c>
      <c r="D48" s="454" t="str">
        <f t="shared" si="0"/>
        <v/>
      </c>
      <c r="E48" s="454" t="str">
        <f t="shared" si="1"/>
        <v/>
      </c>
      <c r="F48" s="454" t="str">
        <f t="shared" si="2"/>
        <v/>
      </c>
      <c r="G48" s="454" t="str">
        <f t="shared" si="5"/>
        <v/>
      </c>
    </row>
    <row r="49" spans="1:13">
      <c r="A49" s="455" t="str">
        <f t="shared" si="3"/>
        <v/>
      </c>
      <c r="B49" s="457" t="str">
        <f t="shared" si="7"/>
        <v/>
      </c>
      <c r="C49" s="456" t="str">
        <f t="shared" si="4"/>
        <v/>
      </c>
      <c r="D49" s="456" t="str">
        <f t="shared" si="0"/>
        <v/>
      </c>
      <c r="E49" s="456" t="str">
        <f t="shared" si="1"/>
        <v/>
      </c>
      <c r="F49" s="456" t="str">
        <f t="shared" si="2"/>
        <v/>
      </c>
      <c r="G49" s="456" t="str">
        <f t="shared" si="5"/>
        <v/>
      </c>
    </row>
    <row r="50" spans="1:13">
      <c r="A50" s="455" t="str">
        <f t="shared" si="3"/>
        <v/>
      </c>
      <c r="B50" s="457" t="str">
        <f t="shared" si="7"/>
        <v/>
      </c>
      <c r="C50" s="456" t="str">
        <f t="shared" si="4"/>
        <v/>
      </c>
      <c r="D50" s="456" t="str">
        <f t="shared" si="0"/>
        <v/>
      </c>
      <c r="E50" s="456" t="str">
        <f t="shared" si="1"/>
        <v/>
      </c>
      <c r="F50" s="456" t="str">
        <f t="shared" si="2"/>
        <v/>
      </c>
      <c r="G50" s="456" t="str">
        <f t="shared" si="5"/>
        <v/>
      </c>
    </row>
    <row r="51" spans="1:13">
      <c r="A51" s="455" t="str">
        <f t="shared" si="3"/>
        <v/>
      </c>
      <c r="B51" s="457" t="str">
        <f t="shared" si="7"/>
        <v/>
      </c>
      <c r="C51" s="456" t="str">
        <f t="shared" si="4"/>
        <v/>
      </c>
      <c r="D51" s="456" t="str">
        <f t="shared" si="0"/>
        <v/>
      </c>
      <c r="E51" s="456" t="str">
        <f t="shared" si="1"/>
        <v/>
      </c>
      <c r="F51" s="456" t="str">
        <f t="shared" si="2"/>
        <v/>
      </c>
      <c r="G51" s="456" t="str">
        <f t="shared" si="5"/>
        <v/>
      </c>
    </row>
    <row r="52" spans="1:13">
      <c r="A52" s="455" t="str">
        <f t="shared" si="3"/>
        <v/>
      </c>
      <c r="B52" s="457" t="str">
        <f t="shared" si="7"/>
        <v/>
      </c>
      <c r="C52" s="456" t="str">
        <f t="shared" si="4"/>
        <v/>
      </c>
      <c r="D52" s="456" t="str">
        <f t="shared" si="0"/>
        <v/>
      </c>
      <c r="E52" s="456" t="str">
        <f t="shared" si="1"/>
        <v/>
      </c>
      <c r="F52" s="456" t="str">
        <f t="shared" si="2"/>
        <v/>
      </c>
      <c r="G52" s="456" t="str">
        <f t="shared" si="5"/>
        <v/>
      </c>
    </row>
    <row r="53" spans="1:13">
      <c r="A53" s="455" t="str">
        <f t="shared" si="3"/>
        <v/>
      </c>
      <c r="B53" s="457" t="str">
        <f t="shared" si="7"/>
        <v/>
      </c>
      <c r="C53" s="456" t="str">
        <f t="shared" si="4"/>
        <v/>
      </c>
      <c r="D53" s="456" t="str">
        <f t="shared" si="0"/>
        <v/>
      </c>
      <c r="E53" s="456" t="str">
        <f t="shared" si="1"/>
        <v/>
      </c>
      <c r="F53" s="456" t="str">
        <f t="shared" si="2"/>
        <v/>
      </c>
      <c r="G53" s="456" t="str">
        <f t="shared" si="5"/>
        <v/>
      </c>
      <c r="H53" s="458"/>
      <c r="I53" s="458"/>
      <c r="J53" s="458"/>
      <c r="K53" s="458"/>
      <c r="L53" s="458"/>
      <c r="M53" s="458"/>
    </row>
    <row r="54" spans="1:13">
      <c r="A54" s="455" t="str">
        <f t="shared" si="3"/>
        <v/>
      </c>
      <c r="B54" s="457" t="str">
        <f t="shared" si="7"/>
        <v/>
      </c>
      <c r="C54" s="456" t="str">
        <f t="shared" si="4"/>
        <v/>
      </c>
      <c r="D54" s="456" t="str">
        <f t="shared" si="0"/>
        <v/>
      </c>
      <c r="E54" s="456" t="str">
        <f t="shared" si="1"/>
        <v/>
      </c>
      <c r="F54" s="456" t="str">
        <f t="shared" si="2"/>
        <v/>
      </c>
      <c r="G54" s="456" t="str">
        <f t="shared" si="5"/>
        <v/>
      </c>
      <c r="H54" s="459"/>
      <c r="I54" s="459"/>
      <c r="J54" s="459"/>
      <c r="K54" s="459"/>
      <c r="L54" s="459"/>
      <c r="M54" s="460"/>
    </row>
    <row r="55" spans="1:13">
      <c r="A55" s="455" t="str">
        <f t="shared" si="3"/>
        <v/>
      </c>
      <c r="B55" s="457" t="str">
        <f t="shared" si="7"/>
        <v/>
      </c>
      <c r="C55" s="456" t="str">
        <f t="shared" si="4"/>
        <v/>
      </c>
      <c r="D55" s="456" t="str">
        <f t="shared" si="0"/>
        <v/>
      </c>
      <c r="E55" s="456" t="str">
        <f t="shared" si="1"/>
        <v/>
      </c>
      <c r="F55" s="456" t="str">
        <f t="shared" si="2"/>
        <v/>
      </c>
      <c r="G55" s="456" t="str">
        <f t="shared" si="5"/>
        <v/>
      </c>
      <c r="H55" s="461"/>
      <c r="I55" s="461"/>
      <c r="J55" s="461"/>
      <c r="K55" s="461"/>
      <c r="L55" s="461"/>
      <c r="M55" s="462"/>
    </row>
    <row r="56" spans="1:13">
      <c r="A56" s="455" t="str">
        <f t="shared" si="3"/>
        <v/>
      </c>
      <c r="B56" s="457" t="str">
        <f t="shared" si="7"/>
        <v/>
      </c>
      <c r="C56" s="456" t="str">
        <f t="shared" si="4"/>
        <v/>
      </c>
      <c r="D56" s="456" t="str">
        <f t="shared" si="0"/>
        <v/>
      </c>
      <c r="E56" s="456" t="str">
        <f t="shared" si="1"/>
        <v/>
      </c>
      <c r="F56" s="456" t="str">
        <f t="shared" si="2"/>
        <v/>
      </c>
      <c r="G56" s="456" t="str">
        <f t="shared" si="5"/>
        <v/>
      </c>
      <c r="H56" s="461"/>
      <c r="I56" s="461"/>
      <c r="J56" s="461"/>
      <c r="K56" s="461"/>
      <c r="L56" s="461"/>
      <c r="M56" s="462"/>
    </row>
    <row r="57" spans="1:13">
      <c r="A57" s="455" t="str">
        <f t="shared" si="3"/>
        <v/>
      </c>
      <c r="B57" s="457" t="str">
        <f t="shared" si="7"/>
        <v/>
      </c>
      <c r="C57" s="456" t="str">
        <f t="shared" si="4"/>
        <v/>
      </c>
      <c r="D57" s="456" t="str">
        <f t="shared" si="0"/>
        <v/>
      </c>
      <c r="E57" s="456" t="str">
        <f t="shared" si="1"/>
        <v/>
      </c>
      <c r="F57" s="456" t="str">
        <f t="shared" si="2"/>
        <v/>
      </c>
      <c r="G57" s="456" t="str">
        <f t="shared" si="5"/>
        <v/>
      </c>
      <c r="H57" s="459"/>
      <c r="I57" s="459"/>
      <c r="J57" s="459"/>
      <c r="K57" s="459"/>
      <c r="L57" s="459"/>
      <c r="M57" s="460"/>
    </row>
    <row r="58" spans="1:13">
      <c r="A58" s="455" t="str">
        <f t="shared" si="3"/>
        <v/>
      </c>
      <c r="B58" s="457" t="str">
        <f t="shared" si="7"/>
        <v/>
      </c>
      <c r="C58" s="456" t="str">
        <f t="shared" si="4"/>
        <v/>
      </c>
      <c r="D58" s="456" t="str">
        <f t="shared" si="0"/>
        <v/>
      </c>
      <c r="E58" s="456" t="str">
        <f t="shared" si="1"/>
        <v/>
      </c>
      <c r="F58" s="456" t="str">
        <f t="shared" si="2"/>
        <v/>
      </c>
      <c r="G58" s="456" t="str">
        <f t="shared" si="5"/>
        <v/>
      </c>
      <c r="H58" s="463"/>
      <c r="I58" s="463"/>
      <c r="J58" s="463"/>
      <c r="K58" s="463"/>
      <c r="L58" s="463"/>
      <c r="M58" s="464"/>
    </row>
    <row r="59" spans="1:13">
      <c r="A59" s="455" t="str">
        <f t="shared" si="3"/>
        <v/>
      </c>
      <c r="B59" s="457" t="str">
        <f t="shared" si="7"/>
        <v/>
      </c>
      <c r="C59" s="456" t="str">
        <f t="shared" si="4"/>
        <v/>
      </c>
      <c r="D59" s="456" t="str">
        <f t="shared" si="0"/>
        <v/>
      </c>
      <c r="E59" s="456" t="str">
        <f t="shared" si="1"/>
        <v/>
      </c>
      <c r="F59" s="456" t="str">
        <f t="shared" si="2"/>
        <v/>
      </c>
      <c r="G59" s="456" t="str">
        <f t="shared" si="5"/>
        <v/>
      </c>
    </row>
    <row r="60" spans="1:13">
      <c r="A60" s="455" t="str">
        <f t="shared" si="3"/>
        <v/>
      </c>
      <c r="B60" s="457" t="str">
        <f t="shared" si="7"/>
        <v/>
      </c>
      <c r="C60" s="456" t="str">
        <f t="shared" si="4"/>
        <v/>
      </c>
      <c r="D60" s="456" t="str">
        <f t="shared" si="0"/>
        <v/>
      </c>
      <c r="E60" s="456" t="str">
        <f t="shared" si="1"/>
        <v/>
      </c>
      <c r="F60" s="456" t="str">
        <f t="shared" si="2"/>
        <v/>
      </c>
      <c r="G60" s="456" t="str">
        <f t="shared" si="5"/>
        <v/>
      </c>
    </row>
    <row r="61" spans="1:13">
      <c r="A61" s="455" t="str">
        <f t="shared" si="3"/>
        <v/>
      </c>
      <c r="B61" s="457" t="str">
        <f t="shared" si="7"/>
        <v/>
      </c>
      <c r="C61" s="456" t="str">
        <f t="shared" si="4"/>
        <v/>
      </c>
      <c r="D61" s="456" t="str">
        <f t="shared" si="0"/>
        <v/>
      </c>
      <c r="E61" s="456" t="str">
        <f t="shared" si="1"/>
        <v/>
      </c>
      <c r="F61" s="456" t="str">
        <f t="shared" si="2"/>
        <v/>
      </c>
      <c r="G61" s="456" t="str">
        <f t="shared" si="5"/>
        <v/>
      </c>
    </row>
    <row r="62" spans="1:13">
      <c r="A62" s="455" t="str">
        <f t="shared" si="3"/>
        <v/>
      </c>
      <c r="B62" s="457" t="str">
        <f t="shared" si="7"/>
        <v/>
      </c>
      <c r="C62" s="456" t="str">
        <f t="shared" si="4"/>
        <v/>
      </c>
      <c r="D62" s="456" t="str">
        <f t="shared" si="0"/>
        <v/>
      </c>
      <c r="E62" s="456" t="str">
        <f t="shared" si="1"/>
        <v/>
      </c>
      <c r="F62" s="456" t="str">
        <f t="shared" si="2"/>
        <v/>
      </c>
      <c r="G62" s="456" t="str">
        <f t="shared" si="5"/>
        <v/>
      </c>
    </row>
    <row r="63" spans="1:13">
      <c r="A63" s="455" t="str">
        <f t="shared" si="3"/>
        <v/>
      </c>
      <c r="B63" s="457" t="str">
        <f t="shared" si="7"/>
        <v/>
      </c>
      <c r="C63" s="456" t="str">
        <f t="shared" si="4"/>
        <v/>
      </c>
      <c r="D63" s="456" t="str">
        <f t="shared" si="0"/>
        <v/>
      </c>
      <c r="E63" s="456" t="str">
        <f t="shared" si="1"/>
        <v/>
      </c>
      <c r="F63" s="456" t="str">
        <f t="shared" si="2"/>
        <v/>
      </c>
      <c r="G63" s="456" t="str">
        <f t="shared" si="5"/>
        <v/>
      </c>
    </row>
    <row r="64" spans="1:13">
      <c r="A64" s="455" t="str">
        <f t="shared" si="3"/>
        <v/>
      </c>
      <c r="B64" s="457" t="str">
        <f t="shared" si="7"/>
        <v/>
      </c>
      <c r="C64" s="456" t="str">
        <f t="shared" si="4"/>
        <v/>
      </c>
      <c r="D64" s="456" t="str">
        <f t="shared" si="0"/>
        <v/>
      </c>
      <c r="E64" s="456" t="str">
        <f t="shared" si="1"/>
        <v/>
      </c>
      <c r="F64" s="456" t="str">
        <f t="shared" si="2"/>
        <v/>
      </c>
      <c r="G64" s="456" t="str">
        <f t="shared" si="5"/>
        <v/>
      </c>
    </row>
    <row r="65" spans="1:7">
      <c r="A65" s="455" t="str">
        <f t="shared" si="3"/>
        <v/>
      </c>
      <c r="B65" s="457" t="str">
        <f t="shared" si="7"/>
        <v/>
      </c>
      <c r="C65" s="456" t="str">
        <f t="shared" si="4"/>
        <v/>
      </c>
      <c r="D65" s="456" t="str">
        <f t="shared" si="0"/>
        <v/>
      </c>
      <c r="E65" s="456" t="str">
        <f t="shared" si="1"/>
        <v/>
      </c>
      <c r="F65" s="456" t="str">
        <f t="shared" si="2"/>
        <v/>
      </c>
      <c r="G65" s="456" t="str">
        <f t="shared" si="5"/>
        <v/>
      </c>
    </row>
    <row r="66" spans="1:7">
      <c r="A66" s="455" t="str">
        <f t="shared" si="3"/>
        <v/>
      </c>
      <c r="B66" s="457" t="str">
        <f t="shared" si="7"/>
        <v/>
      </c>
      <c r="C66" s="456" t="str">
        <f t="shared" si="4"/>
        <v/>
      </c>
      <c r="D66" s="456" t="str">
        <f t="shared" si="0"/>
        <v/>
      </c>
      <c r="E66" s="456" t="str">
        <f t="shared" si="1"/>
        <v/>
      </c>
      <c r="F66" s="456" t="str">
        <f t="shared" si="2"/>
        <v/>
      </c>
      <c r="G66" s="456" t="str">
        <f t="shared" si="5"/>
        <v/>
      </c>
    </row>
    <row r="67" spans="1:7">
      <c r="A67" s="455" t="str">
        <f t="shared" si="3"/>
        <v/>
      </c>
      <c r="B67" s="457" t="str">
        <f t="shared" si="7"/>
        <v/>
      </c>
      <c r="C67" s="456" t="str">
        <f t="shared" si="4"/>
        <v/>
      </c>
      <c r="D67" s="456" t="str">
        <f t="shared" si="0"/>
        <v/>
      </c>
      <c r="E67" s="456" t="str">
        <f t="shared" si="1"/>
        <v/>
      </c>
      <c r="F67" s="456" t="str">
        <f t="shared" si="2"/>
        <v/>
      </c>
      <c r="G67" s="456" t="str">
        <f t="shared" si="5"/>
        <v/>
      </c>
    </row>
    <row r="68" spans="1:7">
      <c r="A68" s="455" t="str">
        <f t="shared" si="3"/>
        <v/>
      </c>
      <c r="B68" s="457" t="str">
        <f t="shared" si="7"/>
        <v/>
      </c>
      <c r="C68" s="456" t="str">
        <f t="shared" si="4"/>
        <v/>
      </c>
      <c r="D68" s="456" t="str">
        <f t="shared" si="0"/>
        <v/>
      </c>
      <c r="E68" s="456" t="str">
        <f t="shared" si="1"/>
        <v/>
      </c>
      <c r="F68" s="456" t="str">
        <f t="shared" si="2"/>
        <v/>
      </c>
      <c r="G68" s="456" t="str">
        <f t="shared" si="5"/>
        <v/>
      </c>
    </row>
    <row r="69" spans="1:7">
      <c r="A69" s="455" t="str">
        <f t="shared" si="3"/>
        <v/>
      </c>
      <c r="B69" s="457" t="str">
        <f t="shared" si="7"/>
        <v/>
      </c>
      <c r="C69" s="456" t="str">
        <f t="shared" si="4"/>
        <v/>
      </c>
      <c r="D69" s="456" t="str">
        <f t="shared" si="0"/>
        <v/>
      </c>
      <c r="E69" s="456" t="str">
        <f t="shared" si="1"/>
        <v/>
      </c>
      <c r="F69" s="456" t="str">
        <f t="shared" si="2"/>
        <v/>
      </c>
      <c r="G69" s="456" t="str">
        <f t="shared" si="5"/>
        <v/>
      </c>
    </row>
    <row r="70" spans="1:7">
      <c r="A70" s="455" t="str">
        <f t="shared" si="3"/>
        <v/>
      </c>
      <c r="B70" s="457" t="str">
        <f t="shared" si="7"/>
        <v/>
      </c>
      <c r="C70" s="456" t="str">
        <f t="shared" si="4"/>
        <v/>
      </c>
      <c r="D70" s="456" t="str">
        <f t="shared" si="0"/>
        <v/>
      </c>
      <c r="E70" s="456" t="str">
        <f t="shared" si="1"/>
        <v/>
      </c>
      <c r="F70" s="456" t="str">
        <f t="shared" si="2"/>
        <v/>
      </c>
      <c r="G70" s="456" t="str">
        <f t="shared" si="5"/>
        <v/>
      </c>
    </row>
    <row r="71" spans="1:7">
      <c r="A71" s="455" t="str">
        <f t="shared" si="3"/>
        <v/>
      </c>
      <c r="B71" s="457" t="str">
        <f t="shared" si="7"/>
        <v/>
      </c>
      <c r="C71" s="456" t="str">
        <f t="shared" si="4"/>
        <v/>
      </c>
      <c r="D71" s="456" t="str">
        <f t="shared" si="0"/>
        <v/>
      </c>
      <c r="E71" s="456" t="str">
        <f t="shared" si="1"/>
        <v/>
      </c>
      <c r="F71" s="456" t="str">
        <f t="shared" si="2"/>
        <v/>
      </c>
      <c r="G71" s="456" t="str">
        <f t="shared" si="5"/>
        <v/>
      </c>
    </row>
    <row r="72" spans="1:7">
      <c r="A72" s="455" t="str">
        <f t="shared" si="3"/>
        <v/>
      </c>
      <c r="B72" s="457" t="str">
        <f t="shared" si="7"/>
        <v/>
      </c>
      <c r="C72" s="456" t="str">
        <f t="shared" si="4"/>
        <v/>
      </c>
      <c r="D72" s="456" t="str">
        <f t="shared" si="0"/>
        <v/>
      </c>
      <c r="E72" s="456" t="str">
        <f t="shared" si="1"/>
        <v/>
      </c>
      <c r="F72" s="456" t="str">
        <f t="shared" si="2"/>
        <v/>
      </c>
      <c r="G72" s="456" t="str">
        <f t="shared" si="5"/>
        <v/>
      </c>
    </row>
    <row r="73" spans="1:7">
      <c r="A73" s="455" t="str">
        <f t="shared" si="3"/>
        <v/>
      </c>
      <c r="B73" s="457" t="str">
        <f t="shared" si="7"/>
        <v/>
      </c>
      <c r="C73" s="456" t="str">
        <f t="shared" si="4"/>
        <v/>
      </c>
      <c r="D73" s="456" t="str">
        <f t="shared" si="0"/>
        <v/>
      </c>
      <c r="E73" s="456" t="str">
        <f t="shared" si="1"/>
        <v/>
      </c>
      <c r="F73" s="456" t="str">
        <f t="shared" si="2"/>
        <v/>
      </c>
      <c r="G73" s="456" t="str">
        <f t="shared" si="5"/>
        <v/>
      </c>
    </row>
    <row r="74" spans="1:7">
      <c r="A74" s="455" t="str">
        <f t="shared" si="3"/>
        <v/>
      </c>
      <c r="B74" s="457" t="str">
        <f t="shared" si="7"/>
        <v/>
      </c>
      <c r="C74" s="456" t="str">
        <f t="shared" si="4"/>
        <v/>
      </c>
      <c r="D74" s="456" t="str">
        <f t="shared" si="0"/>
        <v/>
      </c>
      <c r="E74" s="456" t="str">
        <f t="shared" si="1"/>
        <v/>
      </c>
      <c r="F74" s="456" t="str">
        <f t="shared" si="2"/>
        <v/>
      </c>
      <c r="G74" s="456" t="str">
        <f t="shared" si="5"/>
        <v/>
      </c>
    </row>
    <row r="75" spans="1:7">
      <c r="A75" s="455" t="str">
        <f t="shared" si="3"/>
        <v/>
      </c>
      <c r="B75" s="457" t="str">
        <f t="shared" si="7"/>
        <v/>
      </c>
      <c r="C75" s="456" t="str">
        <f t="shared" si="4"/>
        <v/>
      </c>
      <c r="D75" s="456" t="str">
        <f t="shared" si="0"/>
        <v/>
      </c>
      <c r="E75" s="456" t="str">
        <f t="shared" si="1"/>
        <v/>
      </c>
      <c r="F75" s="456" t="str">
        <f t="shared" si="2"/>
        <v/>
      </c>
      <c r="G75" s="456" t="str">
        <f t="shared" si="5"/>
        <v/>
      </c>
    </row>
    <row r="76" spans="1:7">
      <c r="A76" s="455" t="str">
        <f t="shared" si="3"/>
        <v/>
      </c>
      <c r="B76" s="457" t="str">
        <f t="shared" si="7"/>
        <v/>
      </c>
      <c r="C76" s="456" t="str">
        <f t="shared" si="4"/>
        <v/>
      </c>
      <c r="D76" s="456" t="str">
        <f t="shared" si="0"/>
        <v/>
      </c>
      <c r="E76" s="456" t="str">
        <f t="shared" si="1"/>
        <v/>
      </c>
      <c r="F76" s="456" t="str">
        <f t="shared" si="2"/>
        <v/>
      </c>
      <c r="G76" s="456" t="str">
        <f t="shared" si="5"/>
        <v/>
      </c>
    </row>
    <row r="77" spans="1:7">
      <c r="A77" s="455" t="str">
        <f t="shared" si="3"/>
        <v/>
      </c>
      <c r="B77" s="457" t="str">
        <f t="shared" si="7"/>
        <v/>
      </c>
      <c r="C77" s="456" t="str">
        <f t="shared" si="4"/>
        <v/>
      </c>
      <c r="D77" s="456" t="str">
        <f t="shared" si="0"/>
        <v/>
      </c>
      <c r="E77" s="456" t="str">
        <f t="shared" si="1"/>
        <v/>
      </c>
      <c r="F77" s="456" t="str">
        <f t="shared" si="2"/>
        <v/>
      </c>
      <c r="G77" s="456" t="str">
        <f t="shared" si="5"/>
        <v/>
      </c>
    </row>
    <row r="78" spans="1:7">
      <c r="A78" s="455" t="str">
        <f t="shared" si="3"/>
        <v/>
      </c>
      <c r="B78" s="457" t="str">
        <f t="shared" si="7"/>
        <v/>
      </c>
      <c r="C78" s="456" t="str">
        <f t="shared" si="4"/>
        <v/>
      </c>
      <c r="D78" s="456" t="str">
        <f t="shared" si="0"/>
        <v/>
      </c>
      <c r="E78" s="456" t="str">
        <f t="shared" si="1"/>
        <v/>
      </c>
      <c r="F78" s="456" t="str">
        <f t="shared" si="2"/>
        <v/>
      </c>
      <c r="G78" s="456" t="str">
        <f t="shared" si="5"/>
        <v/>
      </c>
    </row>
    <row r="79" spans="1:7">
      <c r="A79" s="455" t="str">
        <f t="shared" si="3"/>
        <v/>
      </c>
      <c r="B79" s="457" t="str">
        <f t="shared" si="7"/>
        <v/>
      </c>
      <c r="C79" s="456" t="str">
        <f t="shared" si="4"/>
        <v/>
      </c>
      <c r="D79" s="456" t="str">
        <f t="shared" si="0"/>
        <v/>
      </c>
      <c r="E79" s="456" t="str">
        <f t="shared" si="1"/>
        <v/>
      </c>
      <c r="F79" s="456" t="str">
        <f t="shared" si="2"/>
        <v/>
      </c>
      <c r="G79" s="456" t="str">
        <f t="shared" si="5"/>
        <v/>
      </c>
    </row>
    <row r="80" spans="1:7">
      <c r="A80" s="455" t="str">
        <f t="shared" si="3"/>
        <v/>
      </c>
      <c r="B80" s="457" t="str">
        <f t="shared" si="7"/>
        <v/>
      </c>
      <c r="C80" s="456" t="str">
        <f t="shared" si="4"/>
        <v/>
      </c>
      <c r="D80" s="456" t="str">
        <f t="shared" si="0"/>
        <v/>
      </c>
      <c r="E80" s="456" t="str">
        <f t="shared" si="1"/>
        <v/>
      </c>
      <c r="F80" s="456" t="str">
        <f t="shared" si="2"/>
        <v/>
      </c>
      <c r="G80" s="456" t="str">
        <f t="shared" si="5"/>
        <v/>
      </c>
    </row>
    <row r="81" spans="1:7">
      <c r="A81" s="455" t="str">
        <f t="shared" si="3"/>
        <v/>
      </c>
      <c r="B81" s="457" t="str">
        <f t="shared" si="7"/>
        <v/>
      </c>
      <c r="C81" s="456" t="str">
        <f t="shared" si="4"/>
        <v/>
      </c>
      <c r="D81" s="456" t="str">
        <f t="shared" si="0"/>
        <v/>
      </c>
      <c r="E81" s="456" t="str">
        <f t="shared" si="1"/>
        <v/>
      </c>
      <c r="F81" s="456" t="str">
        <f t="shared" si="2"/>
        <v/>
      </c>
      <c r="G81" s="456" t="str">
        <f t="shared" si="5"/>
        <v/>
      </c>
    </row>
    <row r="82" spans="1:7">
      <c r="A82" s="455" t="str">
        <f t="shared" si="3"/>
        <v/>
      </c>
      <c r="B82" s="457" t="str">
        <f t="shared" si="7"/>
        <v/>
      </c>
      <c r="C82" s="456" t="str">
        <f t="shared" si="4"/>
        <v/>
      </c>
      <c r="D82" s="456" t="str">
        <f t="shared" si="0"/>
        <v/>
      </c>
      <c r="E82" s="456" t="str">
        <f t="shared" si="1"/>
        <v/>
      </c>
      <c r="F82" s="456" t="str">
        <f t="shared" si="2"/>
        <v/>
      </c>
      <c r="G82" s="456" t="str">
        <f t="shared" si="5"/>
        <v/>
      </c>
    </row>
    <row r="83" spans="1:7">
      <c r="A83" s="455" t="str">
        <f t="shared" si="3"/>
        <v/>
      </c>
      <c r="B83" s="457" t="str">
        <f t="shared" si="7"/>
        <v/>
      </c>
      <c r="C83" s="456" t="str">
        <f t="shared" si="4"/>
        <v/>
      </c>
      <c r="D83" s="456" t="str">
        <f t="shared" si="0"/>
        <v/>
      </c>
      <c r="E83" s="456" t="str">
        <f t="shared" si="1"/>
        <v/>
      </c>
      <c r="F83" s="456" t="str">
        <f t="shared" si="2"/>
        <v/>
      </c>
      <c r="G83" s="456" t="str">
        <f t="shared" si="5"/>
        <v/>
      </c>
    </row>
    <row r="84" spans="1:7">
      <c r="A84" s="455" t="str">
        <f t="shared" si="3"/>
        <v/>
      </c>
      <c r="B84" s="457" t="str">
        <f t="shared" si="7"/>
        <v/>
      </c>
      <c r="C84" s="456" t="str">
        <f t="shared" si="4"/>
        <v/>
      </c>
      <c r="D84" s="456" t="str">
        <f t="shared" si="0"/>
        <v/>
      </c>
      <c r="E84" s="456" t="str">
        <f t="shared" si="1"/>
        <v/>
      </c>
      <c r="F84" s="456" t="str">
        <f t="shared" si="2"/>
        <v/>
      </c>
      <c r="G84" s="456" t="str">
        <f t="shared" si="5"/>
        <v/>
      </c>
    </row>
    <row r="85" spans="1:7">
      <c r="A85" s="455" t="str">
        <f t="shared" si="3"/>
        <v/>
      </c>
      <c r="B85" s="457" t="str">
        <f t="shared" si="7"/>
        <v/>
      </c>
      <c r="C85" s="456" t="str">
        <f t="shared" si="4"/>
        <v/>
      </c>
      <c r="D85" s="456" t="str">
        <f t="shared" si="0"/>
        <v/>
      </c>
      <c r="E85" s="456" t="str">
        <f t="shared" si="1"/>
        <v/>
      </c>
      <c r="F85" s="456" t="str">
        <f t="shared" si="2"/>
        <v/>
      </c>
      <c r="G85" s="456" t="str">
        <f t="shared" si="5"/>
        <v/>
      </c>
    </row>
    <row r="86" spans="1:7">
      <c r="A86" s="455" t="str">
        <f t="shared" si="3"/>
        <v/>
      </c>
      <c r="B86" s="457" t="str">
        <f t="shared" si="7"/>
        <v/>
      </c>
      <c r="C86" s="456" t="str">
        <f t="shared" si="4"/>
        <v/>
      </c>
      <c r="D86" s="456" t="str">
        <f t="shared" si="0"/>
        <v/>
      </c>
      <c r="E86" s="456" t="str">
        <f t="shared" si="1"/>
        <v/>
      </c>
      <c r="F86" s="456" t="str">
        <f t="shared" si="2"/>
        <v/>
      </c>
      <c r="G86" s="456" t="str">
        <f t="shared" si="5"/>
        <v/>
      </c>
    </row>
    <row r="87" spans="1:7">
      <c r="A87" s="455" t="str">
        <f t="shared" si="3"/>
        <v/>
      </c>
      <c r="B87" s="457" t="str">
        <f t="shared" si="7"/>
        <v/>
      </c>
      <c r="C87" s="456" t="str">
        <f t="shared" si="4"/>
        <v/>
      </c>
      <c r="D87" s="456" t="str">
        <f t="shared" si="0"/>
        <v/>
      </c>
      <c r="E87" s="456" t="str">
        <f t="shared" si="1"/>
        <v/>
      </c>
      <c r="F87" s="456" t="str">
        <f t="shared" si="2"/>
        <v/>
      </c>
      <c r="G87" s="456" t="str">
        <f t="shared" si="5"/>
        <v/>
      </c>
    </row>
    <row r="88" spans="1:7">
      <c r="A88" s="455" t="str">
        <f t="shared" si="3"/>
        <v/>
      </c>
      <c r="B88" s="457" t="str">
        <f t="shared" si="7"/>
        <v/>
      </c>
      <c r="C88" s="456" t="str">
        <f t="shared" si="4"/>
        <v/>
      </c>
      <c r="D88" s="456" t="str">
        <f t="shared" si="0"/>
        <v/>
      </c>
      <c r="E88" s="456" t="str">
        <f t="shared" si="1"/>
        <v/>
      </c>
      <c r="F88" s="456" t="str">
        <f t="shared" si="2"/>
        <v/>
      </c>
      <c r="G88" s="456" t="str">
        <f t="shared" si="5"/>
        <v/>
      </c>
    </row>
    <row r="89" spans="1:7">
      <c r="A89" s="455" t="str">
        <f t="shared" si="3"/>
        <v/>
      </c>
      <c r="B89" s="457" t="str">
        <f t="shared" si="7"/>
        <v/>
      </c>
      <c r="C89" s="456" t="str">
        <f t="shared" si="4"/>
        <v/>
      </c>
      <c r="D89" s="456" t="str">
        <f t="shared" si="0"/>
        <v/>
      </c>
      <c r="E89" s="456" t="str">
        <f t="shared" si="1"/>
        <v/>
      </c>
      <c r="F89" s="456" t="str">
        <f t="shared" si="2"/>
        <v/>
      </c>
      <c r="G89" s="456" t="str">
        <f t="shared" si="5"/>
        <v/>
      </c>
    </row>
    <row r="90" spans="1:7">
      <c r="A90" s="455" t="str">
        <f t="shared" si="3"/>
        <v/>
      </c>
      <c r="B90" s="457" t="str">
        <f t="shared" si="7"/>
        <v/>
      </c>
      <c r="C90" s="456" t="str">
        <f t="shared" si="4"/>
        <v/>
      </c>
      <c r="D90" s="456" t="str">
        <f t="shared" ref="D90:D106" si="8">Interessi</f>
        <v/>
      </c>
      <c r="E90" s="456" t="str">
        <f t="shared" ref="E90:E106" si="9">Montante</f>
        <v/>
      </c>
      <c r="F90" s="456" t="str">
        <f t="shared" ref="F90:F106" si="10">Bilancio.fin</f>
        <v/>
      </c>
      <c r="G90" s="456" t="str">
        <f t="shared" si="5"/>
        <v/>
      </c>
    </row>
    <row r="91" spans="1:7">
      <c r="A91" s="455" t="str">
        <f t="shared" ref="A91:A106" si="11">Num.rata</f>
        <v/>
      </c>
      <c r="B91" s="457" t="str">
        <f t="shared" si="7"/>
        <v/>
      </c>
      <c r="C91" s="456" t="str">
        <f t="shared" ref="C91:C106" si="12">Bilancio.iniz</f>
        <v/>
      </c>
      <c r="D91" s="456" t="str">
        <f t="shared" si="8"/>
        <v/>
      </c>
      <c r="E91" s="456" t="str">
        <f t="shared" si="9"/>
        <v/>
      </c>
      <c r="F91" s="456" t="str">
        <f t="shared" si="10"/>
        <v/>
      </c>
      <c r="G91" s="456" t="str">
        <f t="shared" ref="G91:G106" si="13">Interesse.cum</f>
        <v/>
      </c>
    </row>
    <row r="92" spans="1:7">
      <c r="A92" s="455" t="str">
        <f t="shared" si="11"/>
        <v/>
      </c>
      <c r="B92" s="457" t="str">
        <f t="shared" si="7"/>
        <v/>
      </c>
      <c r="C92" s="456" t="str">
        <f t="shared" si="12"/>
        <v/>
      </c>
      <c r="D92" s="456" t="str">
        <f t="shared" si="8"/>
        <v/>
      </c>
      <c r="E92" s="456" t="str">
        <f t="shared" si="9"/>
        <v/>
      </c>
      <c r="F92" s="456" t="str">
        <f t="shared" si="10"/>
        <v/>
      </c>
      <c r="G92" s="456" t="str">
        <f t="shared" si="13"/>
        <v/>
      </c>
    </row>
    <row r="93" spans="1:7">
      <c r="A93" s="455" t="str">
        <f t="shared" si="11"/>
        <v/>
      </c>
      <c r="B93" s="457" t="str">
        <f t="shared" si="7"/>
        <v/>
      </c>
      <c r="C93" s="456" t="str">
        <f t="shared" si="12"/>
        <v/>
      </c>
      <c r="D93" s="456" t="str">
        <f t="shared" si="8"/>
        <v/>
      </c>
      <c r="E93" s="456" t="str">
        <f t="shared" si="9"/>
        <v/>
      </c>
      <c r="F93" s="456" t="str">
        <f t="shared" si="10"/>
        <v/>
      </c>
      <c r="G93" s="456" t="str">
        <f t="shared" si="13"/>
        <v/>
      </c>
    </row>
    <row r="94" spans="1:7">
      <c r="A94" s="455" t="str">
        <f t="shared" si="11"/>
        <v/>
      </c>
      <c r="B94" s="457" t="str">
        <f t="shared" si="7"/>
        <v/>
      </c>
      <c r="C94" s="456" t="str">
        <f t="shared" si="12"/>
        <v/>
      </c>
      <c r="D94" s="456" t="str">
        <f t="shared" si="8"/>
        <v/>
      </c>
      <c r="E94" s="456" t="str">
        <f t="shared" si="9"/>
        <v/>
      </c>
      <c r="F94" s="456" t="str">
        <f t="shared" si="10"/>
        <v/>
      </c>
      <c r="G94" s="456" t="str">
        <f t="shared" si="13"/>
        <v/>
      </c>
    </row>
    <row r="95" spans="1:7">
      <c r="A95" s="455" t="str">
        <f t="shared" si="11"/>
        <v/>
      </c>
      <c r="B95" s="457" t="str">
        <f t="shared" si="7"/>
        <v/>
      </c>
      <c r="C95" s="456" t="str">
        <f t="shared" si="12"/>
        <v/>
      </c>
      <c r="D95" s="456" t="str">
        <f t="shared" si="8"/>
        <v/>
      </c>
      <c r="E95" s="456" t="str">
        <f t="shared" si="9"/>
        <v/>
      </c>
      <c r="F95" s="456" t="str">
        <f t="shared" si="10"/>
        <v/>
      </c>
      <c r="G95" s="456" t="str">
        <f t="shared" si="13"/>
        <v/>
      </c>
    </row>
    <row r="96" spans="1:7">
      <c r="A96" s="455" t="str">
        <f t="shared" si="11"/>
        <v/>
      </c>
      <c r="B96" s="457" t="str">
        <f t="shared" si="7"/>
        <v/>
      </c>
      <c r="C96" s="456" t="str">
        <f t="shared" si="12"/>
        <v/>
      </c>
      <c r="D96" s="456" t="str">
        <f t="shared" si="8"/>
        <v/>
      </c>
      <c r="E96" s="456" t="str">
        <f t="shared" si="9"/>
        <v/>
      </c>
      <c r="F96" s="456" t="str">
        <f t="shared" si="10"/>
        <v/>
      </c>
      <c r="G96" s="456" t="str">
        <f t="shared" si="13"/>
        <v/>
      </c>
    </row>
    <row r="97" spans="1:7">
      <c r="A97" s="455" t="str">
        <f t="shared" si="11"/>
        <v/>
      </c>
      <c r="B97" s="457" t="str">
        <f t="shared" si="7"/>
        <v/>
      </c>
      <c r="C97" s="456" t="str">
        <f t="shared" si="12"/>
        <v/>
      </c>
      <c r="D97" s="456" t="str">
        <f t="shared" si="8"/>
        <v/>
      </c>
      <c r="E97" s="456" t="str">
        <f t="shared" si="9"/>
        <v/>
      </c>
      <c r="F97" s="456" t="str">
        <f t="shared" si="10"/>
        <v/>
      </c>
      <c r="G97" s="456" t="str">
        <f t="shared" si="13"/>
        <v/>
      </c>
    </row>
    <row r="98" spans="1:7">
      <c r="A98" s="455" t="str">
        <f t="shared" si="11"/>
        <v/>
      </c>
      <c r="B98" s="457" t="str">
        <f t="shared" si="7"/>
        <v/>
      </c>
      <c r="C98" s="456" t="str">
        <f t="shared" si="12"/>
        <v/>
      </c>
      <c r="D98" s="456" t="str">
        <f t="shared" si="8"/>
        <v/>
      </c>
      <c r="E98" s="456" t="str">
        <f t="shared" si="9"/>
        <v/>
      </c>
      <c r="F98" s="456" t="str">
        <f t="shared" si="10"/>
        <v/>
      </c>
      <c r="G98" s="456" t="str">
        <f t="shared" si="13"/>
        <v/>
      </c>
    </row>
    <row r="99" spans="1:7">
      <c r="A99" s="455" t="str">
        <f t="shared" si="11"/>
        <v/>
      </c>
      <c r="B99" s="457" t="str">
        <f t="shared" si="7"/>
        <v/>
      </c>
      <c r="C99" s="456" t="str">
        <f t="shared" si="12"/>
        <v/>
      </c>
      <c r="D99" s="456" t="str">
        <f t="shared" si="8"/>
        <v/>
      </c>
      <c r="E99" s="456" t="str">
        <f t="shared" si="9"/>
        <v/>
      </c>
      <c r="F99" s="456" t="str">
        <f t="shared" si="10"/>
        <v/>
      </c>
      <c r="G99" s="456" t="str">
        <f t="shared" si="13"/>
        <v/>
      </c>
    </row>
    <row r="100" spans="1:7">
      <c r="A100" s="455" t="str">
        <f t="shared" si="11"/>
        <v/>
      </c>
      <c r="B100" s="457" t="str">
        <f t="shared" si="7"/>
        <v/>
      </c>
      <c r="C100" s="456" t="str">
        <f t="shared" si="12"/>
        <v/>
      </c>
      <c r="D100" s="456" t="str">
        <f t="shared" si="8"/>
        <v/>
      </c>
      <c r="E100" s="456" t="str">
        <f t="shared" si="9"/>
        <v/>
      </c>
      <c r="F100" s="456" t="str">
        <f t="shared" si="10"/>
        <v/>
      </c>
      <c r="G100" s="456" t="str">
        <f t="shared" si="13"/>
        <v/>
      </c>
    </row>
    <row r="101" spans="1:7">
      <c r="A101" s="455" t="str">
        <f t="shared" si="11"/>
        <v/>
      </c>
      <c r="B101" s="457" t="str">
        <f t="shared" si="7"/>
        <v/>
      </c>
      <c r="C101" s="456" t="str">
        <f t="shared" si="12"/>
        <v/>
      </c>
      <c r="D101" s="456" t="str">
        <f t="shared" si="8"/>
        <v/>
      </c>
      <c r="E101" s="456" t="str">
        <f t="shared" si="9"/>
        <v/>
      </c>
      <c r="F101" s="456" t="str">
        <f t="shared" si="10"/>
        <v/>
      </c>
      <c r="G101" s="456" t="str">
        <f t="shared" si="13"/>
        <v/>
      </c>
    </row>
    <row r="102" spans="1:7">
      <c r="A102" s="455" t="str">
        <f t="shared" si="11"/>
        <v/>
      </c>
      <c r="B102" s="457" t="str">
        <f t="shared" si="7"/>
        <v/>
      </c>
      <c r="C102" s="456" t="str">
        <f t="shared" si="12"/>
        <v/>
      </c>
      <c r="D102" s="456" t="str">
        <f t="shared" si="8"/>
        <v/>
      </c>
      <c r="E102" s="456" t="str">
        <f t="shared" si="9"/>
        <v/>
      </c>
      <c r="F102" s="456" t="str">
        <f t="shared" si="10"/>
        <v/>
      </c>
      <c r="G102" s="456" t="str">
        <f t="shared" si="13"/>
        <v/>
      </c>
    </row>
    <row r="103" spans="1:7">
      <c r="A103" s="455" t="str">
        <f t="shared" si="11"/>
        <v/>
      </c>
      <c r="B103" s="457" t="str">
        <f t="shared" si="7"/>
        <v/>
      </c>
      <c r="C103" s="456" t="str">
        <f t="shared" si="12"/>
        <v/>
      </c>
      <c r="D103" s="456" t="str">
        <f t="shared" si="8"/>
        <v/>
      </c>
      <c r="E103" s="456" t="str">
        <f t="shared" si="9"/>
        <v/>
      </c>
      <c r="F103" s="456" t="str">
        <f t="shared" si="10"/>
        <v/>
      </c>
      <c r="G103" s="456" t="str">
        <f t="shared" si="13"/>
        <v/>
      </c>
    </row>
    <row r="104" spans="1:7">
      <c r="A104" s="455" t="str">
        <f t="shared" si="11"/>
        <v/>
      </c>
      <c r="B104" s="457" t="str">
        <f t="shared" si="7"/>
        <v/>
      </c>
      <c r="C104" s="456" t="str">
        <f t="shared" si="12"/>
        <v/>
      </c>
      <c r="D104" s="456" t="str">
        <f t="shared" si="8"/>
        <v/>
      </c>
      <c r="E104" s="456" t="str">
        <f t="shared" si="9"/>
        <v/>
      </c>
      <c r="F104" s="456" t="str">
        <f t="shared" si="10"/>
        <v/>
      </c>
      <c r="G104" s="456" t="str">
        <f t="shared" si="13"/>
        <v/>
      </c>
    </row>
    <row r="105" spans="1:7">
      <c r="A105" s="455" t="str">
        <f t="shared" si="11"/>
        <v/>
      </c>
      <c r="B105" s="457" t="str">
        <f t="shared" si="7"/>
        <v/>
      </c>
      <c r="C105" s="456" t="str">
        <f t="shared" si="12"/>
        <v/>
      </c>
      <c r="D105" s="456" t="str">
        <f t="shared" si="8"/>
        <v/>
      </c>
      <c r="E105" s="456" t="str">
        <f t="shared" si="9"/>
        <v/>
      </c>
      <c r="F105" s="456" t="str">
        <f t="shared" si="10"/>
        <v/>
      </c>
      <c r="G105" s="456" t="str">
        <f t="shared" si="13"/>
        <v/>
      </c>
    </row>
    <row r="106" spans="1:7">
      <c r="A106" s="455" t="str">
        <f t="shared" si="11"/>
        <v/>
      </c>
      <c r="B106" s="457" t="str">
        <f>Mostra.data</f>
        <v/>
      </c>
      <c r="C106" s="456" t="str">
        <f t="shared" si="12"/>
        <v/>
      </c>
      <c r="D106" s="456" t="str">
        <f t="shared" si="8"/>
        <v/>
      </c>
      <c r="E106" s="456" t="str">
        <f t="shared" si="9"/>
        <v/>
      </c>
      <c r="F106" s="456" t="str">
        <f t="shared" si="10"/>
        <v/>
      </c>
      <c r="G106" s="456" t="str">
        <f t="shared" si="13"/>
        <v/>
      </c>
    </row>
  </sheetData>
  <pageMargins left="0.41" right="0.31" top="0.7" bottom="0.76" header="0.5" footer="0.5"/>
  <pageSetup scale="85" orientation="portrait" horizontalDpi="4294967292" verticalDpi="4294967292" r:id="rId1"/>
  <headerFooter alignWithMargins="0">
    <oddHeader>&amp;F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8"/>
  <sheetViews>
    <sheetView topLeftCell="A10" zoomScaleNormal="100" workbookViewId="0">
      <selection activeCell="E18" sqref="E18"/>
    </sheetView>
  </sheetViews>
  <sheetFormatPr defaultColWidth="9.140625" defaultRowHeight="15"/>
  <cols>
    <col min="1" max="1" width="49" customWidth="1"/>
    <col min="2" max="2" width="13.85546875" style="1" customWidth="1"/>
    <col min="3" max="3" width="11.5703125" style="1" customWidth="1"/>
    <col min="4" max="4" width="11.7109375" style="1" customWidth="1"/>
    <col min="5" max="5" width="11.85546875" style="1" bestFit="1" customWidth="1"/>
    <col min="6" max="6" width="13.28515625" style="1" customWidth="1"/>
  </cols>
  <sheetData>
    <row r="1" spans="1:6">
      <c r="A1" s="69"/>
      <c r="B1" s="70" t="s">
        <v>52</v>
      </c>
      <c r="C1" s="70" t="s">
        <v>53</v>
      </c>
      <c r="D1" s="70" t="s">
        <v>54</v>
      </c>
      <c r="E1" s="70" t="s">
        <v>55</v>
      </c>
      <c r="F1" s="71"/>
    </row>
    <row r="2" spans="1:6">
      <c r="A2" s="72" t="s">
        <v>0</v>
      </c>
      <c r="B2" s="65"/>
      <c r="C2" s="65"/>
      <c r="D2" s="65"/>
      <c r="E2" s="65"/>
      <c r="F2" s="73"/>
    </row>
    <row r="3" spans="1:6">
      <c r="A3" s="74" t="s">
        <v>13</v>
      </c>
      <c r="B3" s="66">
        <v>0</v>
      </c>
      <c r="C3" s="66">
        <v>1</v>
      </c>
      <c r="D3" s="66">
        <v>1</v>
      </c>
      <c r="E3" s="66">
        <v>1</v>
      </c>
      <c r="F3" s="229"/>
    </row>
    <row r="4" spans="1:6">
      <c r="A4" s="74" t="s">
        <v>88</v>
      </c>
      <c r="B4" s="66">
        <v>0</v>
      </c>
      <c r="C4" s="66">
        <v>1</v>
      </c>
      <c r="D4" s="66">
        <v>2</v>
      </c>
      <c r="E4" s="66">
        <v>2</v>
      </c>
      <c r="F4" s="66"/>
    </row>
    <row r="5" spans="1:6">
      <c r="A5" s="75"/>
      <c r="B5" s="67"/>
      <c r="C5" s="65"/>
      <c r="D5" s="65"/>
      <c r="E5" s="65"/>
      <c r="F5" s="73"/>
    </row>
    <row r="6" spans="1:6">
      <c r="A6" s="72" t="s">
        <v>16</v>
      </c>
      <c r="B6" s="67"/>
      <c r="C6" s="65"/>
      <c r="D6" s="65"/>
      <c r="E6" s="65"/>
      <c r="F6" s="73"/>
    </row>
    <row r="7" spans="1:6">
      <c r="A7" s="74" t="s">
        <v>11</v>
      </c>
      <c r="B7" s="66">
        <v>0</v>
      </c>
      <c r="C7" s="66">
        <v>0</v>
      </c>
      <c r="D7" s="66">
        <v>0</v>
      </c>
      <c r="E7" s="66">
        <v>0</v>
      </c>
      <c r="F7" s="229"/>
    </row>
    <row r="8" spans="1:6">
      <c r="A8" s="74" t="s">
        <v>15</v>
      </c>
      <c r="B8" s="66">
        <v>0</v>
      </c>
      <c r="C8" s="66">
        <v>0</v>
      </c>
      <c r="D8" s="66">
        <v>1</v>
      </c>
      <c r="E8" s="66">
        <v>1</v>
      </c>
      <c r="F8" s="229"/>
    </row>
    <row r="9" spans="1:6">
      <c r="A9" s="74"/>
      <c r="B9" s="65"/>
      <c r="C9" s="65"/>
      <c r="D9" s="65"/>
      <c r="E9" s="65"/>
      <c r="F9" s="73"/>
    </row>
    <row r="10" spans="1:6">
      <c r="A10" s="72" t="s">
        <v>17</v>
      </c>
      <c r="B10" s="65"/>
      <c r="C10" s="65"/>
      <c r="D10" s="65"/>
      <c r="E10" s="65"/>
      <c r="F10" s="73"/>
    </row>
    <row r="11" spans="1:6">
      <c r="A11" s="74" t="s">
        <v>1</v>
      </c>
      <c r="B11" s="65">
        <v>0</v>
      </c>
      <c r="C11" s="65">
        <v>0</v>
      </c>
      <c r="D11" s="65">
        <v>0</v>
      </c>
      <c r="E11" s="65">
        <v>0</v>
      </c>
      <c r="F11" s="73"/>
    </row>
    <row r="12" spans="1:6">
      <c r="A12" s="75"/>
      <c r="B12" s="65"/>
      <c r="C12" s="65"/>
      <c r="D12" s="65"/>
      <c r="E12" s="65"/>
      <c r="F12" s="73"/>
    </row>
    <row r="13" spans="1:6">
      <c r="A13" s="72" t="s">
        <v>7</v>
      </c>
      <c r="B13" s="65"/>
      <c r="C13" s="65"/>
      <c r="D13" s="65"/>
      <c r="E13" s="65"/>
      <c r="F13" s="73"/>
    </row>
    <row r="14" spans="1:6">
      <c r="A14" s="74" t="s">
        <v>2</v>
      </c>
      <c r="B14" s="65"/>
      <c r="C14" s="65"/>
      <c r="D14" s="65"/>
      <c r="E14" s="65"/>
      <c r="F14" s="65"/>
    </row>
    <row r="15" spans="1:6">
      <c r="A15" s="75"/>
      <c r="B15" s="65"/>
      <c r="C15" s="65"/>
      <c r="D15" s="65"/>
      <c r="E15" s="65"/>
      <c r="F15" s="73"/>
    </row>
    <row r="16" spans="1:6">
      <c r="A16" s="72" t="s">
        <v>3</v>
      </c>
      <c r="B16" s="65"/>
      <c r="C16" s="65"/>
      <c r="D16" s="65"/>
      <c r="E16" s="65"/>
      <c r="F16" s="73"/>
    </row>
    <row r="17" spans="1:6" s="4" customFormat="1" ht="45">
      <c r="A17" s="76" t="s">
        <v>77</v>
      </c>
      <c r="B17" s="66">
        <v>3</v>
      </c>
      <c r="C17" s="66">
        <f>+B17</f>
        <v>3</v>
      </c>
      <c r="D17" s="66">
        <v>2</v>
      </c>
      <c r="E17" s="66">
        <v>4</v>
      </c>
      <c r="F17" s="66"/>
    </row>
    <row r="18" spans="1:6">
      <c r="A18" s="74" t="s">
        <v>5</v>
      </c>
      <c r="B18" s="65"/>
      <c r="C18" s="65"/>
      <c r="D18" s="65"/>
      <c r="E18" s="65"/>
      <c r="F18" s="73"/>
    </row>
    <row r="19" spans="1:6">
      <c r="A19" s="75"/>
      <c r="B19" s="65"/>
      <c r="C19" s="65"/>
      <c r="D19" s="65"/>
      <c r="E19" s="65"/>
      <c r="F19" s="73"/>
    </row>
    <row r="20" spans="1:6">
      <c r="A20" s="75"/>
      <c r="B20" s="65"/>
      <c r="C20" s="65"/>
      <c r="D20" s="65"/>
      <c r="E20" s="65"/>
      <c r="F20" s="73"/>
    </row>
    <row r="21" spans="1:6">
      <c r="A21" s="72" t="s">
        <v>8</v>
      </c>
      <c r="B21" s="65"/>
      <c r="C21" s="65"/>
      <c r="D21" s="65"/>
      <c r="E21" s="65"/>
      <c r="F21" s="73"/>
    </row>
    <row r="22" spans="1:6">
      <c r="A22" s="77" t="s">
        <v>84</v>
      </c>
      <c r="B22" s="65"/>
      <c r="C22" s="65">
        <v>1</v>
      </c>
      <c r="D22" s="65">
        <v>1</v>
      </c>
      <c r="E22" s="65">
        <v>1</v>
      </c>
      <c r="F22" s="73"/>
    </row>
    <row r="23" spans="1:6">
      <c r="A23" s="74" t="s">
        <v>4</v>
      </c>
      <c r="B23" s="65">
        <v>1</v>
      </c>
      <c r="C23" s="65"/>
      <c r="D23" s="65"/>
      <c r="E23" s="65"/>
      <c r="F23" s="73"/>
    </row>
    <row r="24" spans="1:6">
      <c r="A24" s="72"/>
      <c r="B24" s="65"/>
      <c r="C24" s="65"/>
      <c r="D24" s="65"/>
      <c r="E24" s="65"/>
      <c r="F24" s="73"/>
    </row>
    <row r="25" spans="1:6">
      <c r="A25" s="72" t="s">
        <v>6</v>
      </c>
      <c r="B25" s="65">
        <v>0</v>
      </c>
      <c r="C25" s="65">
        <v>1</v>
      </c>
      <c r="D25" s="65">
        <v>1</v>
      </c>
      <c r="E25" s="65">
        <v>1</v>
      </c>
      <c r="F25" s="73"/>
    </row>
    <row r="26" spans="1:6">
      <c r="A26" s="74"/>
      <c r="B26" s="65"/>
      <c r="C26" s="65"/>
      <c r="D26" s="65"/>
      <c r="E26" s="65"/>
      <c r="F26" s="73"/>
    </row>
    <row r="27" spans="1:6">
      <c r="A27" s="74" t="s">
        <v>9</v>
      </c>
      <c r="B27" s="65"/>
      <c r="C27" s="65"/>
      <c r="D27" s="65"/>
      <c r="E27" s="65"/>
      <c r="F27" s="73"/>
    </row>
    <row r="28" spans="1:6">
      <c r="A28" s="74" t="s">
        <v>10</v>
      </c>
      <c r="B28" s="65"/>
      <c r="C28" s="65"/>
      <c r="D28" s="65"/>
      <c r="E28" s="65"/>
      <c r="F28" s="73"/>
    </row>
    <row r="29" spans="1:6">
      <c r="A29" s="75"/>
      <c r="B29" s="68"/>
      <c r="C29" s="65"/>
      <c r="D29" s="65"/>
      <c r="E29" s="65"/>
      <c r="F29" s="73"/>
    </row>
    <row r="30" spans="1:6" s="81" customFormat="1" ht="19.5" thickBot="1">
      <c r="A30" s="82" t="s">
        <v>58</v>
      </c>
      <c r="B30" s="79">
        <f>SUM(B3:B28)</f>
        <v>4</v>
      </c>
      <c r="C30" s="79">
        <v>6</v>
      </c>
      <c r="D30" s="79">
        <v>7</v>
      </c>
      <c r="E30" s="79">
        <f>SUM(E3:E28)</f>
        <v>10</v>
      </c>
      <c r="F30" s="80"/>
    </row>
    <row r="31" spans="1:6" ht="15.75" thickBot="1">
      <c r="A31" s="3"/>
      <c r="B31" s="6"/>
      <c r="C31" s="6"/>
      <c r="D31" s="6"/>
      <c r="E31" s="6"/>
      <c r="F31" s="6"/>
    </row>
    <row r="32" spans="1:6">
      <c r="A32" s="83" t="s">
        <v>87</v>
      </c>
      <c r="B32" s="84">
        <f>+('Dettagli costi di struttura'!F4+'Dettagli costi di struttura'!F5+'Dettagli costi di struttura'!F6+'Dettagli costi di struttura'!F7+'Dettagli costi di struttura'!F8)/B30</f>
        <v>0</v>
      </c>
      <c r="C32" s="84">
        <f>+('Dettagli costi di struttura'!G4+'Dettagli costi di struttura'!G5+'Dettagli costi di struttura'!G6+'Dettagli costi di struttura'!G7+'Dettagli costi di struttura'!G8+'Dettagli costi di struttura'!G9+'Dettagli costi di struttura'!G10)/C30</f>
        <v>0</v>
      </c>
      <c r="D32" s="84">
        <f>+('Dettagli costi di struttura'!H4+'Dettagli costi di struttura'!H5+'Dettagli costi di struttura'!H6+'Dettagli costi di struttura'!H7+'Dettagli costi di struttura'!H8+'Dettagli costi di struttura'!H9+'Dettagli costi di struttura'!H10+'Dettagli costi di struttura'!H11)/D30</f>
        <v>0</v>
      </c>
      <c r="E32" s="84">
        <f>+('Dettagli costi di struttura'!I4+'Dettagli costi di struttura'!I5+'Dettagli costi di struttura'!I6+'Dettagli costi di struttura'!I7+'Dettagli costi di struttura'!I8+'Dettagli costi di struttura'!I9+'Dettagli costi di struttura'!I10+'Dettagli costi di struttura'!I11+'Dettagli costi di struttura'!I12)/E30</f>
        <v>0</v>
      </c>
      <c r="F32" s="84"/>
    </row>
    <row r="33" spans="1:6" s="78" customFormat="1" ht="16.5" thickBot="1">
      <c r="A33" s="85" t="s">
        <v>60</v>
      </c>
      <c r="B33" s="86">
        <f>B30*B32</f>
        <v>0</v>
      </c>
      <c r="C33" s="86">
        <f>C30*C32</f>
        <v>0</v>
      </c>
      <c r="D33" s="86">
        <f>D30*D32</f>
        <v>0</v>
      </c>
      <c r="E33" s="86">
        <f>E30*E32</f>
        <v>0</v>
      </c>
      <c r="F33" s="87"/>
    </row>
    <row r="34" spans="1:6" ht="15.75" thickBot="1"/>
    <row r="35" spans="1:6" ht="27" thickTop="1">
      <c r="A35" s="495" t="s">
        <v>59</v>
      </c>
      <c r="B35" s="496"/>
      <c r="C35" s="496"/>
      <c r="D35" s="496"/>
      <c r="E35" s="496"/>
      <c r="F35" s="497"/>
    </row>
    <row r="36" spans="1:6">
      <c r="A36" s="60"/>
      <c r="B36" s="61" t="s">
        <v>52</v>
      </c>
      <c r="C36" s="61" t="s">
        <v>53</v>
      </c>
      <c r="D36" s="61" t="s">
        <v>54</v>
      </c>
      <c r="E36" s="61" t="s">
        <v>55</v>
      </c>
      <c r="F36" s="62" t="s">
        <v>56</v>
      </c>
    </row>
    <row r="37" spans="1:6" s="47" customFormat="1" ht="16.5" thickBot="1">
      <c r="A37" s="63" t="s">
        <v>58</v>
      </c>
      <c r="B37" s="64">
        <f t="shared" ref="B37:F37" si="0">ROUND(B30,0)</f>
        <v>4</v>
      </c>
      <c r="C37" s="64">
        <f t="shared" si="0"/>
        <v>6</v>
      </c>
      <c r="D37" s="64">
        <f t="shared" si="0"/>
        <v>7</v>
      </c>
      <c r="E37" s="64">
        <f t="shared" si="0"/>
        <v>10</v>
      </c>
      <c r="F37" s="64">
        <f t="shared" si="0"/>
        <v>0</v>
      </c>
    </row>
    <row r="38" spans="1:6" ht="15.75" thickTop="1"/>
  </sheetData>
  <mergeCells count="1">
    <mergeCell ref="A35:F35"/>
  </mergeCells>
  <printOptions gridLines="1"/>
  <pageMargins left="0.7" right="0.7" top="0.75" bottom="0.75" header="0.3" footer="0.3"/>
  <pageSetup paperSize="9" scale="75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6"/>
  <sheetViews>
    <sheetView topLeftCell="B1" zoomScale="80" zoomScaleNormal="80" workbookViewId="0">
      <pane ySplit="2" topLeftCell="A27" activePane="bottomLeft" state="frozen"/>
      <selection pane="bottomLeft" activeCell="F37" sqref="F37:I43"/>
    </sheetView>
  </sheetViews>
  <sheetFormatPr defaultColWidth="9.140625" defaultRowHeight="15"/>
  <cols>
    <col min="1" max="1" width="8.7109375" customWidth="1"/>
    <col min="2" max="3" width="4.42578125" customWidth="1"/>
    <col min="4" max="4" width="56.85546875" customWidth="1"/>
    <col min="5" max="5" width="2.140625" customWidth="1"/>
    <col min="6" max="9" width="13.5703125" customWidth="1"/>
    <col min="13" max="13" width="10.140625" bestFit="1" customWidth="1"/>
  </cols>
  <sheetData>
    <row r="1" spans="1:12" ht="21">
      <c r="A1" s="209"/>
      <c r="B1" s="210"/>
      <c r="C1" s="211"/>
      <c r="D1" s="212"/>
      <c r="E1" s="213">
        <v>2016</v>
      </c>
      <c r="F1" s="213">
        <v>2017</v>
      </c>
      <c r="G1" s="213">
        <v>2018</v>
      </c>
      <c r="H1" s="213">
        <v>2019</v>
      </c>
      <c r="I1" s="213">
        <v>2020</v>
      </c>
      <c r="J1" s="211"/>
    </row>
    <row r="2" spans="1:12" ht="6" customHeight="1" thickBot="1">
      <c r="A2" s="214"/>
      <c r="B2" s="215" t="s">
        <v>78</v>
      </c>
      <c r="C2" s="214"/>
      <c r="D2" s="216"/>
      <c r="E2" s="214"/>
      <c r="F2" s="214"/>
      <c r="G2" s="214"/>
      <c r="H2" s="214"/>
      <c r="I2" s="214"/>
      <c r="J2" s="211"/>
    </row>
    <row r="3" spans="1:12" s="121" customFormat="1" ht="15.75" thickTop="1">
      <c r="A3"/>
      <c r="B3" s="501" t="s">
        <v>333</v>
      </c>
      <c r="C3" s="499"/>
      <c r="D3" s="499"/>
      <c r="E3" s="499"/>
      <c r="F3" s="499"/>
      <c r="G3" s="499"/>
      <c r="H3" s="499"/>
      <c r="I3" s="500"/>
      <c r="J3"/>
      <c r="K3"/>
      <c r="L3"/>
    </row>
    <row r="4" spans="1:12">
      <c r="B4" s="217"/>
      <c r="C4" s="217"/>
      <c r="D4" s="128" t="s">
        <v>13</v>
      </c>
      <c r="E4" s="219"/>
      <c r="F4" s="471"/>
      <c r="G4" s="471"/>
      <c r="H4" s="471"/>
      <c r="I4" s="471"/>
    </row>
    <row r="5" spans="1:12">
      <c r="B5" s="217"/>
      <c r="C5" s="217"/>
      <c r="D5" s="128" t="s">
        <v>331</v>
      </c>
      <c r="E5" s="219"/>
      <c r="F5" s="471"/>
      <c r="G5" s="471"/>
      <c r="H5" s="471"/>
      <c r="I5" s="471"/>
    </row>
    <row r="6" spans="1:12">
      <c r="B6" s="217"/>
      <c r="C6" s="217"/>
      <c r="D6" s="218" t="s">
        <v>310</v>
      </c>
      <c r="E6" s="219"/>
      <c r="F6" s="471"/>
      <c r="G6" s="471"/>
      <c r="H6" s="471"/>
      <c r="I6" s="471"/>
    </row>
    <row r="7" spans="1:12">
      <c r="B7" s="217"/>
      <c r="C7" s="217"/>
      <c r="D7" s="218" t="s">
        <v>311</v>
      </c>
      <c r="E7" s="219"/>
      <c r="F7" s="471"/>
      <c r="G7" s="471"/>
      <c r="H7" s="471"/>
      <c r="I7" s="471"/>
    </row>
    <row r="8" spans="1:12">
      <c r="B8" s="217"/>
      <c r="C8" s="217"/>
      <c r="D8" s="218" t="s">
        <v>312</v>
      </c>
      <c r="E8" s="219"/>
      <c r="F8" s="471"/>
      <c r="G8" s="471"/>
      <c r="H8" s="471"/>
      <c r="I8" s="471"/>
    </row>
    <row r="9" spans="1:12">
      <c r="B9" s="217"/>
      <c r="C9" s="217"/>
      <c r="D9" s="218" t="s">
        <v>313</v>
      </c>
      <c r="E9" s="219"/>
      <c r="F9" s="471"/>
      <c r="G9" s="471"/>
      <c r="H9" s="471"/>
      <c r="I9" s="471"/>
    </row>
    <row r="10" spans="1:12">
      <c r="B10" s="217"/>
      <c r="C10" s="217"/>
      <c r="D10" s="218" t="s">
        <v>323</v>
      </c>
      <c r="E10" s="219"/>
      <c r="F10" s="471"/>
      <c r="G10" s="471"/>
      <c r="H10" s="471"/>
      <c r="I10" s="471"/>
    </row>
    <row r="11" spans="1:12">
      <c r="B11" s="217"/>
      <c r="C11" s="217"/>
      <c r="D11" s="218" t="s">
        <v>324</v>
      </c>
      <c r="E11" s="219"/>
      <c r="F11" s="471"/>
      <c r="G11" s="471"/>
      <c r="H11" s="471"/>
      <c r="I11" s="471"/>
    </row>
    <row r="12" spans="1:12">
      <c r="B12" s="217"/>
      <c r="C12" s="217"/>
      <c r="D12" s="218" t="s">
        <v>325</v>
      </c>
      <c r="E12" s="219"/>
      <c r="F12" s="471"/>
      <c r="G12" s="471"/>
      <c r="H12" s="471"/>
      <c r="I12" s="471"/>
    </row>
    <row r="13" spans="1:12">
      <c r="B13" s="217"/>
      <c r="C13" s="217"/>
      <c r="D13" s="218" t="s">
        <v>326</v>
      </c>
      <c r="E13" s="219"/>
      <c r="F13" s="471"/>
      <c r="G13" s="471"/>
      <c r="H13" s="471"/>
      <c r="I13" s="471"/>
    </row>
    <row r="14" spans="1:12" ht="15.75" thickBot="1">
      <c r="B14" s="217"/>
      <c r="C14" s="217"/>
      <c r="D14" s="218" t="s">
        <v>479</v>
      </c>
      <c r="E14" s="219"/>
      <c r="F14" s="471"/>
      <c r="G14" s="471"/>
      <c r="H14" s="471"/>
      <c r="I14" s="471"/>
    </row>
    <row r="15" spans="1:12" ht="16.5" thickTop="1" thickBot="1">
      <c r="B15" s="217"/>
      <c r="C15" s="217"/>
      <c r="D15" s="225" t="s">
        <v>476</v>
      </c>
      <c r="E15" s="220">
        <f>SUM(E4:E14)</f>
        <v>0</v>
      </c>
      <c r="F15" s="402">
        <f>SUM(F4:F14)</f>
        <v>0</v>
      </c>
      <c r="G15" s="402">
        <f>SUM(G4:G14)</f>
        <v>0</v>
      </c>
      <c r="H15" s="402">
        <f>SUM(H4:H14)</f>
        <v>0</v>
      </c>
      <c r="I15" s="402">
        <f>SUM(I4:I14)</f>
        <v>0</v>
      </c>
    </row>
    <row r="16" spans="1:12" ht="15.75" thickTop="1">
      <c r="F16" s="288"/>
      <c r="G16" s="288"/>
      <c r="H16" s="288"/>
      <c r="I16" s="288"/>
    </row>
    <row r="17" spans="2:9" ht="15.75" thickBot="1"/>
    <row r="18" spans="2:9" ht="15.75" thickTop="1">
      <c r="B18" s="501" t="s">
        <v>437</v>
      </c>
      <c r="C18" s="499"/>
      <c r="D18" s="499"/>
      <c r="E18" s="499"/>
      <c r="F18" s="499"/>
      <c r="G18" s="499"/>
      <c r="H18" s="499"/>
      <c r="I18" s="500"/>
    </row>
    <row r="19" spans="2:9">
      <c r="B19" s="217"/>
      <c r="C19" s="217"/>
      <c r="D19" s="128"/>
      <c r="E19" s="309"/>
      <c r="F19" s="309"/>
      <c r="G19" s="309"/>
      <c r="H19" s="309"/>
      <c r="I19" s="309"/>
    </row>
    <row r="20" spans="2:9">
      <c r="B20" s="217"/>
      <c r="C20" s="217"/>
      <c r="D20" s="128" t="s">
        <v>314</v>
      </c>
      <c r="E20" s="309"/>
      <c r="F20" s="309"/>
      <c r="G20" s="309"/>
      <c r="H20" s="309"/>
      <c r="I20" s="309"/>
    </row>
    <row r="21" spans="2:9">
      <c r="B21" s="217"/>
      <c r="C21" s="217"/>
      <c r="D21" s="128" t="s">
        <v>332</v>
      </c>
      <c r="E21" s="309"/>
      <c r="F21" s="309"/>
      <c r="G21" s="309"/>
      <c r="H21" s="309"/>
      <c r="I21" s="309"/>
    </row>
    <row r="22" spans="2:9" ht="15.75" thickBot="1">
      <c r="B22" s="217"/>
      <c r="C22" s="217"/>
      <c r="D22" s="128" t="s">
        <v>328</v>
      </c>
      <c r="E22" s="309"/>
      <c r="F22" s="309"/>
      <c r="G22" s="309"/>
      <c r="H22" s="309"/>
      <c r="I22" s="309"/>
    </row>
    <row r="23" spans="2:9" ht="16.5" thickTop="1" thickBot="1">
      <c r="B23" s="217"/>
      <c r="C23" s="217"/>
      <c r="D23" s="225" t="s">
        <v>477</v>
      </c>
      <c r="E23" s="220">
        <f>SUM(E19:E22)</f>
        <v>0</v>
      </c>
      <c r="F23" s="220">
        <f>SUM(F19:F22)</f>
        <v>0</v>
      </c>
      <c r="G23" s="220">
        <f>SUM(G19:G22)</f>
        <v>0</v>
      </c>
      <c r="H23" s="220">
        <f>SUM(H19:H22)</f>
        <v>0</v>
      </c>
      <c r="I23" s="220">
        <f>SUM(I19:I22)</f>
        <v>0</v>
      </c>
    </row>
    <row r="24" spans="2:9" ht="15.75" thickTop="1">
      <c r="E24" s="288"/>
      <c r="F24" s="288"/>
      <c r="G24" s="288"/>
      <c r="H24" s="288"/>
      <c r="I24" s="288"/>
    </row>
    <row r="25" spans="2:9" ht="15.75" thickBot="1">
      <c r="D25" s="221"/>
    </row>
    <row r="26" spans="2:9" ht="15.75" thickTop="1">
      <c r="B26" s="498" t="s">
        <v>436</v>
      </c>
      <c r="C26" s="499"/>
      <c r="D26" s="502"/>
      <c r="E26" s="502"/>
      <c r="F26" s="502"/>
      <c r="G26" s="502"/>
      <c r="H26" s="502"/>
      <c r="I26" s="503"/>
    </row>
    <row r="27" spans="2:9">
      <c r="B27" s="217"/>
      <c r="C27" s="217"/>
      <c r="D27" s="222"/>
      <c r="E27" s="223"/>
      <c r="F27" s="223"/>
      <c r="G27" s="223"/>
      <c r="H27" s="223"/>
      <c r="I27" s="223"/>
    </row>
    <row r="28" spans="2:9">
      <c r="B28" s="217"/>
      <c r="C28" s="217"/>
      <c r="D28" s="222" t="s">
        <v>329</v>
      </c>
      <c r="E28" s="223"/>
      <c r="F28" s="223">
        <f>5%*'Modello ricavi'!C18</f>
        <v>0</v>
      </c>
      <c r="G28" s="223">
        <f>5%*'Modello ricavi'!D18</f>
        <v>0</v>
      </c>
      <c r="H28" s="223">
        <f>5%*'Modello ricavi'!E18</f>
        <v>0</v>
      </c>
      <c r="I28" s="223">
        <f>5%*'Modello ricavi'!F18</f>
        <v>0</v>
      </c>
    </row>
    <row r="29" spans="2:9">
      <c r="B29" s="217"/>
      <c r="C29" s="217"/>
      <c r="D29" s="222" t="s">
        <v>321</v>
      </c>
      <c r="E29" s="223"/>
      <c r="F29" s="223"/>
      <c r="G29" s="223"/>
      <c r="H29" s="223"/>
      <c r="I29" s="223"/>
    </row>
    <row r="30" spans="2:9">
      <c r="B30" s="217"/>
      <c r="C30" s="217"/>
      <c r="D30" s="222" t="s">
        <v>480</v>
      </c>
      <c r="E30" s="223"/>
      <c r="F30" s="223"/>
      <c r="G30" s="223"/>
      <c r="H30" s="223"/>
      <c r="I30" s="223"/>
    </row>
    <row r="31" spans="2:9" ht="15.75" thickBot="1">
      <c r="B31" s="217"/>
      <c r="C31" s="217"/>
      <c r="D31" s="222" t="s">
        <v>330</v>
      </c>
      <c r="E31" s="223"/>
      <c r="F31" s="223"/>
      <c r="G31" s="223"/>
      <c r="H31" s="223"/>
      <c r="I31" s="223"/>
    </row>
    <row r="32" spans="2:9" ht="16.5" thickTop="1" thickBot="1">
      <c r="B32" s="217"/>
      <c r="C32" s="217"/>
      <c r="D32" s="225" t="s">
        <v>76</v>
      </c>
      <c r="E32" s="289">
        <f>SUM(E27:E31)</f>
        <v>0</v>
      </c>
      <c r="F32" s="224">
        <f>SUM(F27:F31)</f>
        <v>0</v>
      </c>
      <c r="G32" s="224">
        <f>SUM(G27:G31)</f>
        <v>0</v>
      </c>
      <c r="H32" s="224">
        <f>SUM(H27:H31)</f>
        <v>0</v>
      </c>
      <c r="I32" s="224">
        <f>SUM(I27:I31)</f>
        <v>0</v>
      </c>
    </row>
    <row r="33" spans="2:9" ht="15.75" thickTop="1"/>
    <row r="34" spans="2:9" ht="15.75" thickBot="1">
      <c r="D34" s="290" t="s">
        <v>83</v>
      </c>
    </row>
    <row r="35" spans="2:9" ht="15.75" thickTop="1">
      <c r="B35" s="498" t="s">
        <v>435</v>
      </c>
      <c r="C35" s="499"/>
      <c r="D35" s="499"/>
      <c r="E35" s="499"/>
      <c r="F35" s="499"/>
      <c r="G35" s="499"/>
      <c r="H35" s="499"/>
      <c r="I35" s="500"/>
    </row>
    <row r="36" spans="2:9">
      <c r="B36" s="217"/>
      <c r="C36" s="217"/>
      <c r="D36" s="226"/>
      <c r="E36" s="219"/>
      <c r="F36" s="219"/>
      <c r="G36" s="219"/>
      <c r="H36" s="219"/>
      <c r="I36" s="219"/>
    </row>
    <row r="37" spans="2:9">
      <c r="B37" s="217"/>
      <c r="C37" s="217"/>
      <c r="D37" s="466" t="s">
        <v>319</v>
      </c>
      <c r="E37" s="219"/>
      <c r="F37" s="219"/>
      <c r="G37" s="219"/>
      <c r="H37" s="219"/>
      <c r="I37" s="219"/>
    </row>
    <row r="38" spans="2:9">
      <c r="B38" s="217"/>
      <c r="C38" s="217"/>
      <c r="D38" s="466" t="s">
        <v>320</v>
      </c>
      <c r="E38" s="219"/>
      <c r="F38" s="219"/>
      <c r="G38" s="219"/>
      <c r="H38" s="219"/>
      <c r="I38" s="219"/>
    </row>
    <row r="39" spans="2:9">
      <c r="B39" s="217"/>
      <c r="C39" s="217"/>
      <c r="D39" s="466" t="s">
        <v>322</v>
      </c>
      <c r="E39" s="219"/>
      <c r="F39" s="219"/>
      <c r="G39" s="219"/>
      <c r="H39" s="219"/>
      <c r="I39" s="219"/>
    </row>
    <row r="40" spans="2:9">
      <c r="B40" s="217"/>
      <c r="C40" s="217"/>
      <c r="D40" s="466" t="s">
        <v>327</v>
      </c>
      <c r="E40" s="219"/>
      <c r="F40" s="219"/>
      <c r="G40" s="219"/>
      <c r="H40" s="219"/>
      <c r="I40" s="219"/>
    </row>
    <row r="41" spans="2:9">
      <c r="B41" s="217"/>
      <c r="C41" s="217"/>
      <c r="D41" s="467" t="s">
        <v>90</v>
      </c>
      <c r="E41" s="219"/>
      <c r="F41" s="219"/>
      <c r="G41" s="219"/>
      <c r="H41" s="219"/>
      <c r="I41" s="219"/>
    </row>
    <row r="42" spans="2:9">
      <c r="B42" s="217"/>
      <c r="C42" s="217"/>
      <c r="D42" s="467" t="s">
        <v>89</v>
      </c>
      <c r="E42" s="219"/>
      <c r="F42" s="219"/>
      <c r="G42" s="219"/>
      <c r="H42" s="219"/>
      <c r="I42" s="219"/>
    </row>
    <row r="43" spans="2:9" ht="15.75" thickBot="1">
      <c r="B43" s="217"/>
      <c r="C43" s="217"/>
      <c r="D43" s="466" t="s">
        <v>482</v>
      </c>
      <c r="E43" s="219"/>
      <c r="F43" s="219"/>
      <c r="G43" s="219"/>
      <c r="H43" s="219"/>
      <c r="I43" s="219"/>
    </row>
    <row r="44" spans="2:9" ht="16.5" thickTop="1" thickBot="1">
      <c r="B44" s="217"/>
      <c r="C44" s="217"/>
      <c r="D44" s="225" t="s">
        <v>79</v>
      </c>
      <c r="E44" s="308">
        <f>SUM(E36:E43)</f>
        <v>0</v>
      </c>
      <c r="F44" s="308">
        <f>SUM(F36:F43)</f>
        <v>0</v>
      </c>
      <c r="G44" s="308">
        <f>SUM(G36:G43)</f>
        <v>0</v>
      </c>
      <c r="H44" s="308">
        <f>SUM(H36:H43)</f>
        <v>0</v>
      </c>
      <c r="I44" s="308">
        <f>SUM(I36:I43)</f>
        <v>0</v>
      </c>
    </row>
    <row r="45" spans="2:9" ht="15.75" thickTop="1"/>
    <row r="46" spans="2:9">
      <c r="D46" s="292" t="s">
        <v>68</v>
      </c>
      <c r="E46" s="291">
        <f>E15+E23+E32+E44</f>
        <v>0</v>
      </c>
      <c r="F46" s="291">
        <f>F15+F23+F32+F44</f>
        <v>0</v>
      </c>
      <c r="G46" s="291">
        <f>G15+G23+G32+G44</f>
        <v>0</v>
      </c>
      <c r="H46" s="291">
        <f>H15+H23+H32+H44</f>
        <v>0</v>
      </c>
      <c r="I46" s="291">
        <f>I15+I23+I32+I44</f>
        <v>0</v>
      </c>
    </row>
  </sheetData>
  <mergeCells count="4">
    <mergeCell ref="B35:I35"/>
    <mergeCell ref="B3:I3"/>
    <mergeCell ref="B18:I18"/>
    <mergeCell ref="B26:I2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zoomScale="90" zoomScaleNormal="90" workbookViewId="0">
      <selection activeCell="H2" sqref="H2"/>
    </sheetView>
  </sheetViews>
  <sheetFormatPr defaultColWidth="9.140625" defaultRowHeight="15"/>
  <cols>
    <col min="1" max="1" width="38.85546875" customWidth="1"/>
    <col min="2" max="2" width="11" hidden="1" customWidth="1"/>
    <col min="3" max="3" width="11.140625" customWidth="1"/>
    <col min="4" max="4" width="13.5703125" bestFit="1" customWidth="1"/>
    <col min="5" max="5" width="15.42578125" bestFit="1" customWidth="1"/>
    <col min="6" max="6" width="13.5703125" bestFit="1" customWidth="1"/>
    <col min="7" max="7" width="17.140625" customWidth="1"/>
    <col min="8" max="8" width="15.28515625" bestFit="1" customWidth="1"/>
    <col min="9" max="9" width="9.140625" customWidth="1"/>
  </cols>
  <sheetData>
    <row r="1" spans="1:8" ht="27" thickTop="1">
      <c r="A1" s="478" t="s">
        <v>334</v>
      </c>
      <c r="B1" s="479"/>
      <c r="C1" s="479"/>
      <c r="D1" s="479"/>
      <c r="E1" s="479"/>
      <c r="F1" s="479"/>
      <c r="G1" s="479"/>
      <c r="H1" s="480"/>
    </row>
    <row r="2" spans="1:8">
      <c r="A2" s="91"/>
      <c r="B2" s="88"/>
      <c r="C2" s="92" t="s">
        <v>335</v>
      </c>
      <c r="D2" s="92">
        <v>2017</v>
      </c>
      <c r="E2" s="92">
        <v>2018</v>
      </c>
      <c r="F2" s="92">
        <v>2019</v>
      </c>
      <c r="G2" s="92">
        <f t="shared" ref="G2:H2" si="0">+F2+1</f>
        <v>2020</v>
      </c>
      <c r="H2" s="92">
        <f t="shared" si="0"/>
        <v>2021</v>
      </c>
    </row>
    <row r="3" spans="1:8" ht="18.75">
      <c r="A3" s="93" t="s">
        <v>336</v>
      </c>
      <c r="B3" s="88"/>
      <c r="C3" s="96"/>
      <c r="D3" s="96"/>
      <c r="E3" s="96"/>
      <c r="F3" s="96"/>
      <c r="G3" s="96"/>
      <c r="H3" s="97"/>
    </row>
    <row r="4" spans="1:8" hidden="1">
      <c r="A4" s="91"/>
      <c r="B4" s="88"/>
      <c r="C4" s="96"/>
      <c r="D4" s="96"/>
      <c r="E4" s="96"/>
      <c r="F4" s="96"/>
      <c r="G4" s="96"/>
      <c r="H4" s="97"/>
    </row>
    <row r="5" spans="1:8" hidden="1">
      <c r="A5" s="91"/>
      <c r="B5" s="88"/>
      <c r="C5" s="113"/>
      <c r="D5" s="113"/>
      <c r="E5" s="113"/>
      <c r="F5" s="113"/>
      <c r="G5" s="113"/>
      <c r="H5" s="114"/>
    </row>
    <row r="6" spans="1:8">
      <c r="A6" s="94" t="s">
        <v>337</v>
      </c>
      <c r="B6" s="88"/>
      <c r="C6" s="96"/>
      <c r="D6" s="96"/>
      <c r="E6" s="96"/>
      <c r="F6" s="96"/>
      <c r="G6" s="96"/>
      <c r="H6" s="97"/>
    </row>
    <row r="7" spans="1:8">
      <c r="A7" s="95" t="s">
        <v>338</v>
      </c>
      <c r="B7" s="88"/>
      <c r="C7" s="96">
        <f>+'sit patr partenza'!B88</f>
        <v>8000</v>
      </c>
      <c r="D7" s="96">
        <f>'Cash Flow'!C26</f>
        <v>8000</v>
      </c>
      <c r="E7" s="96">
        <f>'Cash Flow'!D26</f>
        <v>8000</v>
      </c>
      <c r="F7" s="96">
        <f>'Cash Flow'!E26</f>
        <v>8000</v>
      </c>
      <c r="G7" s="96">
        <f>'Cash Flow'!F26</f>
        <v>8000</v>
      </c>
      <c r="H7" s="97">
        <f>'Cash Flow'!G26</f>
        <v>8000</v>
      </c>
    </row>
    <row r="8" spans="1:8">
      <c r="A8" s="95" t="s">
        <v>339</v>
      </c>
      <c r="B8" s="88"/>
      <c r="C8" s="96">
        <f>+'sit patr partenza'!B76</f>
        <v>0</v>
      </c>
      <c r="D8" s="96">
        <f>$D$63/360*'Conto economico'!B4</f>
        <v>0</v>
      </c>
      <c r="E8" s="96">
        <f>$D$63/360*'Conto economico'!C4</f>
        <v>0</v>
      </c>
      <c r="F8" s="96">
        <f>$D$63/360*'Conto economico'!E4</f>
        <v>0</v>
      </c>
      <c r="G8" s="96">
        <f>$D$63/360*'Conto economico'!G4</f>
        <v>0</v>
      </c>
      <c r="H8" s="97">
        <f>$D$63/360*'Conto economico'!I4</f>
        <v>0</v>
      </c>
    </row>
    <row r="9" spans="1:8" ht="15.75" thickBot="1">
      <c r="A9" s="95" t="s">
        <v>340</v>
      </c>
      <c r="B9" s="88"/>
      <c r="C9" s="98"/>
      <c r="D9" s="98">
        <f>'Modello ricavi'!B18*5%</f>
        <v>0</v>
      </c>
      <c r="E9" s="98">
        <f>'Modello ricavi'!C18*0%</f>
        <v>0</v>
      </c>
      <c r="F9" s="98">
        <f>'Modello ricavi'!D18*0%</f>
        <v>0</v>
      </c>
      <c r="G9" s="98">
        <f>'Modello ricavi'!E18*0%</f>
        <v>0</v>
      </c>
      <c r="H9" s="98">
        <f>'Modello ricavi'!F18*0%</f>
        <v>0</v>
      </c>
    </row>
    <row r="10" spans="1:8" ht="15.75" hidden="1" thickTop="1">
      <c r="A10" s="95" t="s">
        <v>37</v>
      </c>
      <c r="B10" s="88"/>
      <c r="C10" s="96"/>
      <c r="D10" s="96">
        <v>0</v>
      </c>
      <c r="E10" s="96">
        <v>0</v>
      </c>
      <c r="F10" s="96">
        <v>0</v>
      </c>
      <c r="G10" s="96">
        <v>0</v>
      </c>
      <c r="H10" s="97">
        <v>0</v>
      </c>
    </row>
    <row r="11" spans="1:8" ht="16.5" hidden="1" thickTop="1" thickBot="1">
      <c r="A11" s="95" t="s">
        <v>38</v>
      </c>
      <c r="B11" s="88"/>
      <c r="C11" s="100"/>
      <c r="D11" s="100">
        <v>0</v>
      </c>
      <c r="E11" s="100">
        <v>0</v>
      </c>
      <c r="F11" s="100">
        <v>0</v>
      </c>
      <c r="G11" s="100">
        <v>0</v>
      </c>
      <c r="H11" s="101">
        <v>0</v>
      </c>
    </row>
    <row r="12" spans="1:8" s="78" customFormat="1" ht="16.5" thickTop="1">
      <c r="A12" s="106" t="s">
        <v>341</v>
      </c>
      <c r="B12" s="89"/>
      <c r="C12" s="195">
        <f t="shared" ref="C12:H12" si="1">SUM(C7:C11)</f>
        <v>8000</v>
      </c>
      <c r="D12" s="195">
        <f t="shared" si="1"/>
        <v>8000</v>
      </c>
      <c r="E12" s="195">
        <f t="shared" si="1"/>
        <v>8000</v>
      </c>
      <c r="F12" s="195">
        <f t="shared" si="1"/>
        <v>8000</v>
      </c>
      <c r="G12" s="195">
        <f t="shared" si="1"/>
        <v>8000</v>
      </c>
      <c r="H12" s="196">
        <f t="shared" si="1"/>
        <v>8000</v>
      </c>
    </row>
    <row r="13" spans="1:8" hidden="1">
      <c r="A13" s="91"/>
      <c r="B13" s="88"/>
      <c r="C13" s="96"/>
      <c r="D13" s="96"/>
      <c r="E13" s="96"/>
      <c r="F13" s="96"/>
      <c r="G13" s="96"/>
      <c r="H13" s="97"/>
    </row>
    <row r="14" spans="1:8" hidden="1">
      <c r="A14" s="91"/>
      <c r="B14" s="88"/>
      <c r="C14" s="113"/>
      <c r="D14" s="113"/>
      <c r="E14" s="113"/>
      <c r="F14" s="113"/>
      <c r="G14" s="113"/>
      <c r="H14" s="114"/>
    </row>
    <row r="15" spans="1:8">
      <c r="A15" s="94" t="s">
        <v>342</v>
      </c>
      <c r="B15" s="88"/>
      <c r="C15" s="96"/>
      <c r="D15" s="96"/>
      <c r="E15" s="96"/>
      <c r="F15" s="96"/>
      <c r="G15" s="96"/>
      <c r="H15" s="97"/>
    </row>
    <row r="16" spans="1:8" ht="15" customHeight="1">
      <c r="A16" s="95" t="s">
        <v>343</v>
      </c>
      <c r="B16" s="88"/>
      <c r="C16" s="96">
        <f>+'sit patr partenza'!B47</f>
        <v>2000</v>
      </c>
      <c r="D16" s="96">
        <f>'Piano Investimento'!F30+Table11[[#This Row],[Column8]]</f>
        <v>2000</v>
      </c>
      <c r="E16" s="96">
        <f>'Piano Investimento'!H30+Table11[[#This Row],[Column3]]</f>
        <v>2000</v>
      </c>
      <c r="F16" s="96">
        <f>'Piano Investimento'!I30+Table11[[#This Row],[Column4]]</f>
        <v>2000</v>
      </c>
      <c r="G16" s="96">
        <f>'Piano Investimento'!J30+Table11[[#This Row],[Column5]]</f>
        <v>2000</v>
      </c>
      <c r="H16" s="96">
        <f>'Piano Investimento'!K30+Table11[[#This Row],[Column6]]</f>
        <v>2000</v>
      </c>
    </row>
    <row r="17" spans="1:8" ht="15" customHeight="1">
      <c r="A17" s="95" t="s">
        <v>344</v>
      </c>
      <c r="B17" s="88"/>
      <c r="C17" s="96"/>
      <c r="D17" s="96">
        <v>0</v>
      </c>
      <c r="E17" s="96">
        <v>0</v>
      </c>
      <c r="F17" s="96">
        <v>0</v>
      </c>
      <c r="G17" s="96">
        <v>0</v>
      </c>
      <c r="H17" s="97">
        <v>0</v>
      </c>
    </row>
    <row r="18" spans="1:8" ht="15" customHeight="1">
      <c r="A18" s="95" t="s">
        <v>345</v>
      </c>
      <c r="B18" s="88"/>
      <c r="C18" s="96"/>
      <c r="D18" s="96">
        <v>0</v>
      </c>
      <c r="E18" s="96">
        <v>0</v>
      </c>
      <c r="F18" s="96">
        <v>0</v>
      </c>
      <c r="G18" s="96">
        <v>0</v>
      </c>
      <c r="H18" s="97">
        <v>0</v>
      </c>
    </row>
    <row r="19" spans="1:8" ht="15" customHeight="1">
      <c r="A19" s="95" t="s">
        <v>346</v>
      </c>
      <c r="B19" s="88"/>
      <c r="C19" s="96"/>
      <c r="D19" s="96">
        <v>0</v>
      </c>
      <c r="E19" s="96">
        <v>0</v>
      </c>
      <c r="F19" s="96">
        <v>0</v>
      </c>
      <c r="G19" s="96">
        <v>0</v>
      </c>
      <c r="H19" s="97">
        <v>0</v>
      </c>
    </row>
    <row r="20" spans="1:8" ht="15" customHeight="1">
      <c r="A20" s="95" t="s">
        <v>347</v>
      </c>
      <c r="B20" s="88"/>
      <c r="C20" s="96"/>
      <c r="D20" s="96">
        <v>0</v>
      </c>
      <c r="E20" s="96">
        <v>0</v>
      </c>
      <c r="F20" s="96">
        <v>0</v>
      </c>
      <c r="G20" s="96">
        <v>0</v>
      </c>
      <c r="H20" s="97">
        <v>0</v>
      </c>
    </row>
    <row r="21" spans="1:8" ht="15.75" thickBot="1">
      <c r="A21" s="194" t="s">
        <v>348</v>
      </c>
      <c r="B21" s="88"/>
      <c r="C21" s="98"/>
      <c r="D21" s="98">
        <f>-'Piano ammortamenti investimenti'!C11</f>
        <v>0</v>
      </c>
      <c r="E21" s="98">
        <f>-'Piano ammortamenti investimenti'!D11+D21</f>
        <v>0</v>
      </c>
      <c r="F21" s="98">
        <f>-'Piano ammortamenti investimenti'!E11+E21</f>
        <v>0</v>
      </c>
      <c r="G21" s="98">
        <f>-'Piano ammortamenti investimenti'!F11+F21</f>
        <v>0</v>
      </c>
      <c r="H21" s="99">
        <f>-'Piano ammortamenti investimenti'!G11+G21</f>
        <v>0</v>
      </c>
    </row>
    <row r="22" spans="1:8" s="2" customFormat="1" ht="15.75" thickTop="1">
      <c r="A22" s="106" t="s">
        <v>349</v>
      </c>
      <c r="B22" s="197"/>
      <c r="C22" s="195">
        <f t="shared" ref="C22:H22" si="2">SUM(C16:C21)</f>
        <v>2000</v>
      </c>
      <c r="D22" s="195">
        <f t="shared" si="2"/>
        <v>2000</v>
      </c>
      <c r="E22" s="195">
        <f t="shared" si="2"/>
        <v>2000</v>
      </c>
      <c r="F22" s="195">
        <f t="shared" si="2"/>
        <v>2000</v>
      </c>
      <c r="G22" s="195">
        <f t="shared" si="2"/>
        <v>2000</v>
      </c>
      <c r="H22" s="196">
        <f t="shared" si="2"/>
        <v>2000</v>
      </c>
    </row>
    <row r="23" spans="1:8" ht="15.75" thickBot="1">
      <c r="A23" s="91"/>
      <c r="B23" s="88"/>
      <c r="C23" s="96"/>
      <c r="D23" s="96"/>
      <c r="E23" s="96"/>
      <c r="F23" s="96"/>
      <c r="G23" s="96"/>
      <c r="H23" s="97"/>
    </row>
    <row r="24" spans="1:8" ht="15.75" hidden="1" thickBot="1">
      <c r="A24" s="94" t="s">
        <v>39</v>
      </c>
      <c r="B24" s="88"/>
      <c r="C24" s="96"/>
      <c r="D24" s="96"/>
      <c r="E24" s="96"/>
      <c r="F24" s="96"/>
      <c r="G24" s="96"/>
      <c r="H24" s="97"/>
    </row>
    <row r="25" spans="1:8" ht="15.75" hidden="1" thickBot="1">
      <c r="A25" s="95" t="s">
        <v>40</v>
      </c>
      <c r="B25" s="88"/>
      <c r="C25" s="96"/>
      <c r="D25" s="96">
        <v>0</v>
      </c>
      <c r="E25" s="96">
        <v>0</v>
      </c>
      <c r="F25" s="96">
        <v>0</v>
      </c>
      <c r="G25" s="96">
        <v>0</v>
      </c>
      <c r="H25" s="97">
        <v>0</v>
      </c>
    </row>
    <row r="26" spans="1:8" ht="15.75" hidden="1" thickBot="1">
      <c r="A26" s="95" t="s">
        <v>41</v>
      </c>
      <c r="B26" s="88"/>
      <c r="C26" s="96"/>
      <c r="D26" s="96">
        <v>0</v>
      </c>
      <c r="E26" s="96">
        <v>0</v>
      </c>
      <c r="F26" s="96">
        <v>0</v>
      </c>
      <c r="G26" s="96">
        <v>0</v>
      </c>
      <c r="H26" s="97">
        <v>0</v>
      </c>
    </row>
    <row r="27" spans="1:8" ht="15.75" hidden="1" thickBot="1">
      <c r="A27" s="95" t="s">
        <v>42</v>
      </c>
      <c r="B27" s="88"/>
      <c r="C27" s="96"/>
      <c r="D27" s="96">
        <v>0</v>
      </c>
      <c r="E27" s="96">
        <v>0</v>
      </c>
      <c r="F27" s="96">
        <v>0</v>
      </c>
      <c r="G27" s="96">
        <v>0</v>
      </c>
      <c r="H27" s="97">
        <v>0</v>
      </c>
    </row>
    <row r="28" spans="1:8" ht="15.75" hidden="1" thickBot="1">
      <c r="A28" s="95" t="s">
        <v>43</v>
      </c>
      <c r="B28" s="88"/>
      <c r="C28" s="98"/>
      <c r="D28" s="98">
        <v>0</v>
      </c>
      <c r="E28" s="98">
        <v>0</v>
      </c>
      <c r="F28" s="98">
        <v>0</v>
      </c>
      <c r="G28" s="98">
        <v>0</v>
      </c>
      <c r="H28" s="99">
        <v>0</v>
      </c>
    </row>
    <row r="29" spans="1:8" s="47" customFormat="1" ht="16.5" hidden="1" thickBot="1">
      <c r="A29" s="104" t="s">
        <v>44</v>
      </c>
      <c r="B29" s="90"/>
      <c r="C29" s="96"/>
      <c r="D29" s="96">
        <f>SUM(D25:D28)</f>
        <v>0</v>
      </c>
      <c r="E29" s="96">
        <f>SUM(E25:E28)</f>
        <v>0</v>
      </c>
      <c r="F29" s="96">
        <f>SUM(F25:F28)</f>
        <v>0</v>
      </c>
      <c r="G29" s="96">
        <f>SUM(G25:G28)</f>
        <v>0</v>
      </c>
      <c r="H29" s="97">
        <f>SUM(H25:H28)</f>
        <v>0</v>
      </c>
    </row>
    <row r="30" spans="1:8" s="47" customFormat="1" ht="16.5" hidden="1" thickBot="1">
      <c r="A30" s="104"/>
      <c r="B30" s="90"/>
      <c r="C30" s="113"/>
      <c r="D30" s="113"/>
      <c r="E30" s="113"/>
      <c r="F30" s="113"/>
      <c r="G30" s="113"/>
      <c r="H30" s="114"/>
    </row>
    <row r="31" spans="1:8" ht="15.75" hidden="1" thickBot="1">
      <c r="A31" s="91"/>
      <c r="B31" s="88"/>
      <c r="C31" s="96"/>
      <c r="D31" s="96"/>
      <c r="E31" s="96"/>
      <c r="F31" s="96"/>
      <c r="G31" s="96"/>
      <c r="H31" s="97"/>
    </row>
    <row r="32" spans="1:8" s="47" customFormat="1" ht="17.25" thickTop="1" thickBot="1">
      <c r="A32" s="198" t="s">
        <v>350</v>
      </c>
      <c r="B32" s="89"/>
      <c r="C32" s="199">
        <f t="shared" ref="C32:H32" si="3">SUM(C12,C22,C29)</f>
        <v>10000</v>
      </c>
      <c r="D32" s="200">
        <f t="shared" si="3"/>
        <v>10000</v>
      </c>
      <c r="E32" s="200">
        <f t="shared" si="3"/>
        <v>10000</v>
      </c>
      <c r="F32" s="200">
        <f t="shared" si="3"/>
        <v>10000</v>
      </c>
      <c r="G32" s="200">
        <f t="shared" si="3"/>
        <v>10000</v>
      </c>
      <c r="H32" s="201">
        <f t="shared" si="3"/>
        <v>10000</v>
      </c>
    </row>
    <row r="33" spans="1:16" ht="15.75" thickTop="1">
      <c r="A33" s="91"/>
      <c r="B33" s="88"/>
      <c r="C33" s="96"/>
      <c r="D33" s="96"/>
      <c r="E33" s="96"/>
      <c r="F33" s="96"/>
      <c r="G33" s="96"/>
      <c r="H33" s="97"/>
    </row>
    <row r="34" spans="1:16" ht="18.75">
      <c r="A34" s="105" t="s">
        <v>351</v>
      </c>
      <c r="B34" s="88"/>
      <c r="C34" s="96"/>
      <c r="D34" s="96"/>
      <c r="E34" s="96"/>
      <c r="F34" s="96"/>
      <c r="G34" s="96"/>
      <c r="H34" s="97"/>
    </row>
    <row r="35" spans="1:16" ht="18.75" hidden="1">
      <c r="A35" s="105"/>
      <c r="B35" s="88"/>
      <c r="C35" s="113"/>
      <c r="D35" s="113"/>
      <c r="E35" s="113"/>
      <c r="F35" s="113"/>
      <c r="G35" s="113"/>
      <c r="H35" s="114"/>
    </row>
    <row r="36" spans="1:16" hidden="1">
      <c r="A36" s="106"/>
      <c r="B36" s="88"/>
      <c r="C36" s="96"/>
      <c r="D36" s="96"/>
      <c r="E36" s="96"/>
      <c r="F36" s="96"/>
      <c r="G36" s="96"/>
      <c r="H36" s="97"/>
    </row>
    <row r="37" spans="1:16">
      <c r="A37" s="94" t="s">
        <v>352</v>
      </c>
      <c r="B37" s="88"/>
      <c r="C37" s="96"/>
      <c r="D37" s="96"/>
      <c r="E37" s="96"/>
      <c r="F37" s="96"/>
      <c r="G37" s="96"/>
      <c r="H37" s="97"/>
    </row>
    <row r="38" spans="1:16">
      <c r="A38" s="95" t="s">
        <v>353</v>
      </c>
      <c r="B38" s="88"/>
      <c r="C38" s="96">
        <f>+'sit patr partenza'!B157+'sit patr partenza'!B160</f>
        <v>0</v>
      </c>
      <c r="D38" s="96">
        <f>$D$64/360*'Conto economico'!B8</f>
        <v>0</v>
      </c>
      <c r="E38" s="96">
        <f>$D$64/360*'Conto economico'!C8</f>
        <v>0</v>
      </c>
      <c r="F38" s="96">
        <f>$D$64/360*'Conto economico'!E8</f>
        <v>0</v>
      </c>
      <c r="G38" s="96">
        <f>$D$64/360*'Conto economico'!G8</f>
        <v>0</v>
      </c>
      <c r="H38" s="97">
        <f>$D$64/360*'Conto economico'!I8</f>
        <v>0</v>
      </c>
    </row>
    <row r="39" spans="1:16" hidden="1">
      <c r="A39" s="95" t="s">
        <v>45</v>
      </c>
      <c r="B39" s="88"/>
      <c r="C39" s="96"/>
      <c r="D39" s="96">
        <v>0</v>
      </c>
      <c r="E39" s="96">
        <v>0</v>
      </c>
      <c r="F39" s="96">
        <v>0</v>
      </c>
      <c r="G39" s="96">
        <v>0</v>
      </c>
      <c r="H39" s="97">
        <v>0</v>
      </c>
    </row>
    <row r="40" spans="1:16" hidden="1">
      <c r="A40" s="95" t="s">
        <v>46</v>
      </c>
      <c r="B40" s="88"/>
      <c r="C40" s="96"/>
      <c r="D40" s="96">
        <v>0</v>
      </c>
      <c r="E40" s="96">
        <v>0</v>
      </c>
      <c r="F40" s="96">
        <v>0</v>
      </c>
      <c r="G40" s="96">
        <v>0</v>
      </c>
      <c r="H40" s="97">
        <v>0</v>
      </c>
    </row>
    <row r="41" spans="1:16">
      <c r="A41" s="95" t="s">
        <v>356</v>
      </c>
      <c r="B41" s="88"/>
      <c r="C41" s="96"/>
      <c r="D41" s="96">
        <v>0</v>
      </c>
      <c r="E41" s="96">
        <v>0</v>
      </c>
      <c r="F41" s="96">
        <v>0</v>
      </c>
      <c r="G41" s="96">
        <v>0</v>
      </c>
      <c r="H41" s="97">
        <v>0</v>
      </c>
    </row>
    <row r="42" spans="1:16">
      <c r="A42" s="95" t="s">
        <v>355</v>
      </c>
      <c r="B42" s="88"/>
      <c r="C42" s="96"/>
      <c r="D42" s="96">
        <v>0</v>
      </c>
      <c r="E42" s="96">
        <v>0</v>
      </c>
      <c r="F42" s="96">
        <v>0</v>
      </c>
      <c r="G42" s="96">
        <v>0</v>
      </c>
      <c r="H42" s="97">
        <v>0</v>
      </c>
    </row>
    <row r="43" spans="1:16" ht="15.75" thickBot="1">
      <c r="A43" s="95" t="s">
        <v>354</v>
      </c>
      <c r="B43" s="88"/>
      <c r="C43" s="98"/>
      <c r="D43" s="98">
        <f>+'Cash Flow'!C18</f>
        <v>0</v>
      </c>
      <c r="E43" s="98">
        <f>+'Cash Flow'!D18+Table11[[#This Row],[Column3]]</f>
        <v>0</v>
      </c>
      <c r="F43" s="98">
        <f>+'Cash Flow'!E18+Table11[[#This Row],[Column4]]</f>
        <v>0</v>
      </c>
      <c r="G43" s="98">
        <f>+Table11[[#This Row],[Column5]]+'Cash Flow'!F18</f>
        <v>0</v>
      </c>
      <c r="H43" s="99">
        <f>+Table11[[#This Row],[Column6]]+'Cash Flow'!G18</f>
        <v>0</v>
      </c>
    </row>
    <row r="44" spans="1:16" ht="16.5" thickTop="1">
      <c r="A44" s="106" t="s">
        <v>357</v>
      </c>
      <c r="B44" s="88"/>
      <c r="C44" s="102">
        <f t="shared" ref="C44:H44" si="4">SUM(C38:C43)</f>
        <v>0</v>
      </c>
      <c r="D44" s="102">
        <f t="shared" si="4"/>
        <v>0</v>
      </c>
      <c r="E44" s="102">
        <f t="shared" si="4"/>
        <v>0</v>
      </c>
      <c r="F44" s="102">
        <f t="shared" si="4"/>
        <v>0</v>
      </c>
      <c r="G44" s="102">
        <f t="shared" si="4"/>
        <v>0</v>
      </c>
      <c r="H44" s="103">
        <f t="shared" si="4"/>
        <v>0</v>
      </c>
    </row>
    <row r="45" spans="1:16">
      <c r="A45" s="91"/>
      <c r="B45" s="88"/>
      <c r="C45" s="96"/>
      <c r="D45" s="96"/>
      <c r="E45" s="96"/>
      <c r="F45" s="96"/>
      <c r="G45" s="96"/>
      <c r="H45" s="97"/>
      <c r="P45" s="281"/>
    </row>
    <row r="46" spans="1:16">
      <c r="A46" s="94" t="s">
        <v>358</v>
      </c>
      <c r="B46" s="88"/>
      <c r="C46" s="96"/>
      <c r="D46" s="96"/>
      <c r="E46" s="96"/>
      <c r="F46" s="96"/>
      <c r="G46" s="96"/>
      <c r="H46" s="97"/>
    </row>
    <row r="47" spans="1:16">
      <c r="A47" s="95" t="s">
        <v>359</v>
      </c>
      <c r="B47" s="88"/>
      <c r="C47" s="282"/>
      <c r="D47" s="282">
        <f>+'Cash Flow'!C19</f>
        <v>0</v>
      </c>
      <c r="E47" s="282">
        <f>+'Cash Flow'!D19+Table11[[#This Row],[Column3]]</f>
        <v>0</v>
      </c>
      <c r="F47" s="282">
        <f>+Table11[[#This Row],[Column4]]+'Cash Flow'!E19</f>
        <v>0</v>
      </c>
      <c r="G47" s="282">
        <f>+Table11[[#This Row],[Column5]]+'Cash Flow'!F19</f>
        <v>0</v>
      </c>
      <c r="H47" s="97">
        <f>+Table11[[#This Row],[Column6]]+'Cash Flow'!G19</f>
        <v>0</v>
      </c>
    </row>
    <row r="48" spans="1:16" hidden="1">
      <c r="A48" s="95" t="s">
        <v>47</v>
      </c>
      <c r="B48" s="88"/>
      <c r="C48" s="96"/>
      <c r="D48" s="96">
        <v>0</v>
      </c>
      <c r="E48" s="96">
        <v>0</v>
      </c>
      <c r="F48" s="96">
        <v>0</v>
      </c>
      <c r="G48" s="96">
        <v>0</v>
      </c>
      <c r="H48" s="97">
        <v>0</v>
      </c>
    </row>
    <row r="49" spans="1:8" hidden="1">
      <c r="A49" s="95" t="s">
        <v>48</v>
      </c>
      <c r="B49" s="88"/>
      <c r="C49" s="96"/>
      <c r="D49" s="96">
        <f>-D42</f>
        <v>0</v>
      </c>
      <c r="E49" s="96">
        <f>-E42</f>
        <v>0</v>
      </c>
      <c r="F49" s="96">
        <f>-F42</f>
        <v>0</v>
      </c>
      <c r="G49" s="96">
        <f>-G42</f>
        <v>0</v>
      </c>
      <c r="H49" s="97">
        <f>-H42</f>
        <v>0</v>
      </c>
    </row>
    <row r="50" spans="1:8" ht="15.75" thickBot="1">
      <c r="A50" s="95" t="s">
        <v>360</v>
      </c>
      <c r="B50" s="88"/>
      <c r="C50" s="98">
        <f>+'sit patr partenza'!B116</f>
        <v>0</v>
      </c>
      <c r="D50" s="98">
        <v>0</v>
      </c>
      <c r="E50" s="98">
        <v>0</v>
      </c>
      <c r="F50" s="98">
        <v>0</v>
      </c>
      <c r="G50" s="98">
        <v>0</v>
      </c>
      <c r="H50" s="99">
        <v>0</v>
      </c>
    </row>
    <row r="51" spans="1:8" ht="16.5" thickTop="1">
      <c r="A51" s="106" t="s">
        <v>361</v>
      </c>
      <c r="B51" s="88"/>
      <c r="C51" s="107">
        <f t="shared" ref="C51:H51" si="5">SUM(C47:C50)</f>
        <v>0</v>
      </c>
      <c r="D51" s="107">
        <f t="shared" si="5"/>
        <v>0</v>
      </c>
      <c r="E51" s="107">
        <f t="shared" si="5"/>
        <v>0</v>
      </c>
      <c r="F51" s="107">
        <f t="shared" si="5"/>
        <v>0</v>
      </c>
      <c r="G51" s="107">
        <f t="shared" si="5"/>
        <v>0</v>
      </c>
      <c r="H51" s="108">
        <f t="shared" si="5"/>
        <v>0</v>
      </c>
    </row>
    <row r="52" spans="1:8" ht="15.75" thickBot="1">
      <c r="A52" s="91"/>
      <c r="B52" s="88"/>
      <c r="C52" s="96"/>
      <c r="D52" s="96"/>
      <c r="E52" s="96"/>
      <c r="F52" s="96"/>
      <c r="G52" s="96"/>
      <c r="H52" s="97"/>
    </row>
    <row r="53" spans="1:8" s="47" customFormat="1" ht="16.5" thickTop="1">
      <c r="A53" s="198" t="s">
        <v>362</v>
      </c>
      <c r="B53" s="90"/>
      <c r="C53" s="109">
        <f t="shared" ref="C53:H53" si="6">(C44+C51)</f>
        <v>0</v>
      </c>
      <c r="D53" s="109">
        <f t="shared" si="6"/>
        <v>0</v>
      </c>
      <c r="E53" s="109">
        <f t="shared" si="6"/>
        <v>0</v>
      </c>
      <c r="F53" s="109">
        <f t="shared" si="6"/>
        <v>0</v>
      </c>
      <c r="G53" s="109">
        <f t="shared" si="6"/>
        <v>0</v>
      </c>
      <c r="H53" s="110">
        <f t="shared" si="6"/>
        <v>0</v>
      </c>
    </row>
    <row r="54" spans="1:8">
      <c r="A54" s="91"/>
      <c r="B54" s="88"/>
      <c r="C54" s="96"/>
      <c r="D54" s="96"/>
      <c r="E54" s="96"/>
      <c r="F54" s="96"/>
      <c r="G54" s="96"/>
      <c r="H54" s="97"/>
    </row>
    <row r="55" spans="1:8">
      <c r="A55" s="94" t="s">
        <v>363</v>
      </c>
      <c r="B55" s="88"/>
      <c r="C55" s="96"/>
      <c r="D55" s="96"/>
      <c r="E55" s="96"/>
      <c r="F55" s="96"/>
      <c r="G55" s="96"/>
      <c r="H55" s="97"/>
    </row>
    <row r="56" spans="1:8">
      <c r="A56" s="95" t="s">
        <v>364</v>
      </c>
      <c r="B56" s="88"/>
      <c r="C56" s="96">
        <f>+'sit patr partenza'!B110</f>
        <v>10000</v>
      </c>
      <c r="D56" s="96">
        <f>+Table11[[#This Row],[Column8]]+'Cash Flow'!C20</f>
        <v>10000</v>
      </c>
      <c r="E56" s="96">
        <f>+Table11[[#This Row],[Column3]]+'Cash Flow'!D20</f>
        <v>10000</v>
      </c>
      <c r="F56" s="96">
        <f>+Table11[[#This Row],[Column4]]</f>
        <v>10000</v>
      </c>
      <c r="G56" s="96">
        <f>+Table11[[#This Row],[Column5]]</f>
        <v>10000</v>
      </c>
      <c r="H56" s="96">
        <f>+Table11[[#This Row],[Column6]]</f>
        <v>10000</v>
      </c>
    </row>
    <row r="57" spans="1:8">
      <c r="A57" s="95" t="s">
        <v>366</v>
      </c>
      <c r="B57" s="88"/>
      <c r="C57" s="96"/>
      <c r="D57" s="96">
        <f>SUM(C57:C58)</f>
        <v>0</v>
      </c>
      <c r="E57" s="96">
        <f>SUM(D57:D58)</f>
        <v>0</v>
      </c>
      <c r="F57" s="96">
        <f>SUM(E57:E58)</f>
        <v>0</v>
      </c>
      <c r="G57" s="96">
        <f>SUM(F57:F58)</f>
        <v>0</v>
      </c>
      <c r="H57" s="97">
        <f>SUM(G57:G58)</f>
        <v>0</v>
      </c>
    </row>
    <row r="58" spans="1:8" ht="15.75" thickBot="1">
      <c r="A58" s="95" t="s">
        <v>365</v>
      </c>
      <c r="B58" s="88"/>
      <c r="C58" s="96"/>
      <c r="D58" s="96">
        <f>'Conto economico'!B32</f>
        <v>0</v>
      </c>
      <c r="E58" s="96">
        <f>'Conto economico'!C32</f>
        <v>0</v>
      </c>
      <c r="F58" s="96">
        <f>'Conto economico'!E32</f>
        <v>0</v>
      </c>
      <c r="G58" s="96">
        <f>'Conto economico'!G32</f>
        <v>0</v>
      </c>
      <c r="H58" s="97">
        <f>'Conto economico'!I32</f>
        <v>0</v>
      </c>
    </row>
    <row r="59" spans="1:8" ht="16.5" thickTop="1">
      <c r="A59" s="106" t="s">
        <v>367</v>
      </c>
      <c r="B59" s="88"/>
      <c r="C59" s="111">
        <f t="shared" ref="C59:H59" si="7">SUM(C56:C58)</f>
        <v>10000</v>
      </c>
      <c r="D59" s="111">
        <f t="shared" si="7"/>
        <v>10000</v>
      </c>
      <c r="E59" s="111">
        <f t="shared" si="7"/>
        <v>10000</v>
      </c>
      <c r="F59" s="111">
        <f t="shared" si="7"/>
        <v>10000</v>
      </c>
      <c r="G59" s="111">
        <f t="shared" si="7"/>
        <v>10000</v>
      </c>
      <c r="H59" s="112">
        <f t="shared" si="7"/>
        <v>10000</v>
      </c>
    </row>
    <row r="60" spans="1:8" ht="15.75" thickBot="1">
      <c r="A60" s="91"/>
      <c r="B60" s="88"/>
      <c r="C60" s="96"/>
      <c r="D60" s="96"/>
      <c r="E60" s="96"/>
      <c r="F60" s="96"/>
      <c r="G60" s="96"/>
      <c r="H60" s="97"/>
    </row>
    <row r="61" spans="1:8" s="58" customFormat="1" ht="17.25" thickTop="1" thickBot="1">
      <c r="A61" s="202" t="s">
        <v>368</v>
      </c>
      <c r="B61" s="203"/>
      <c r="C61" s="204">
        <f t="shared" ref="C61:H61" si="8">C53+C59</f>
        <v>10000</v>
      </c>
      <c r="D61" s="204">
        <f t="shared" si="8"/>
        <v>10000</v>
      </c>
      <c r="E61" s="204">
        <f t="shared" si="8"/>
        <v>10000</v>
      </c>
      <c r="F61" s="204">
        <f t="shared" si="8"/>
        <v>10000</v>
      </c>
      <c r="G61" s="204">
        <f t="shared" si="8"/>
        <v>10000</v>
      </c>
      <c r="H61" s="205">
        <f t="shared" si="8"/>
        <v>10000</v>
      </c>
    </row>
    <row r="62" spans="1:8" ht="15.75" thickTop="1">
      <c r="C62" s="354">
        <f t="shared" ref="C62:H62" si="9">C32-C61</f>
        <v>0</v>
      </c>
      <c r="D62" s="354">
        <f t="shared" si="9"/>
        <v>0</v>
      </c>
      <c r="E62" s="354">
        <f t="shared" si="9"/>
        <v>0</v>
      </c>
      <c r="F62" s="354">
        <f t="shared" si="9"/>
        <v>0</v>
      </c>
      <c r="G62" s="354">
        <f t="shared" si="9"/>
        <v>0</v>
      </c>
      <c r="H62" s="354">
        <f t="shared" si="9"/>
        <v>0</v>
      </c>
    </row>
    <row r="63" spans="1:8">
      <c r="A63" t="s">
        <v>369</v>
      </c>
      <c r="D63">
        <v>90</v>
      </c>
      <c r="E63" t="s">
        <v>49</v>
      </c>
    </row>
    <row r="64" spans="1:8">
      <c r="A64" t="s">
        <v>370</v>
      </c>
      <c r="D64">
        <v>60</v>
      </c>
      <c r="E64" t="s">
        <v>49</v>
      </c>
    </row>
    <row r="66" spans="1:4">
      <c r="A66" t="s">
        <v>371</v>
      </c>
      <c r="D66" s="281">
        <v>0.04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A16" zoomScale="120" zoomScaleNormal="120" workbookViewId="0">
      <selection activeCell="I34" sqref="I34"/>
    </sheetView>
  </sheetViews>
  <sheetFormatPr defaultColWidth="9.140625" defaultRowHeight="15"/>
  <cols>
    <col min="1" max="1" width="40.7109375" style="15" customWidth="1"/>
    <col min="2" max="2" width="10" style="7" customWidth="1"/>
    <col min="3" max="3" width="10" style="14" bestFit="1" customWidth="1"/>
    <col min="4" max="4" width="5.140625" style="233" bestFit="1" customWidth="1"/>
    <col min="5" max="5" width="11" style="14" customWidth="1"/>
    <col min="6" max="6" width="6.140625" style="233" bestFit="1" customWidth="1"/>
    <col min="7" max="7" width="11.28515625" style="10" bestFit="1" customWidth="1"/>
    <col min="8" max="8" width="4.5703125" style="233" bestFit="1" customWidth="1"/>
    <col min="9" max="9" width="11.140625" style="10" bestFit="1" customWidth="1"/>
    <col min="10" max="10" width="4.5703125" style="234" bestFit="1" customWidth="1"/>
    <col min="11" max="11" width="3.140625" customWidth="1"/>
    <col min="15" max="15" width="10.42578125" bestFit="1" customWidth="1"/>
  </cols>
  <sheetData>
    <row r="1" spans="1:12" ht="27.75" thickTop="1" thickBot="1">
      <c r="A1" s="481" t="s">
        <v>372</v>
      </c>
      <c r="B1" s="482"/>
      <c r="C1" s="482"/>
      <c r="D1" s="482"/>
      <c r="E1" s="482"/>
      <c r="F1" s="482"/>
      <c r="G1" s="482"/>
      <c r="H1" s="482"/>
      <c r="I1" s="482"/>
      <c r="J1" s="483"/>
    </row>
    <row r="2" spans="1:12" s="8" customFormat="1" ht="16.5" thickTop="1" thickBot="1">
      <c r="A2" s="251"/>
      <c r="B2" s="252">
        <v>2017</v>
      </c>
      <c r="C2" s="252">
        <v>2018</v>
      </c>
      <c r="D2" s="253"/>
      <c r="E2" s="252">
        <v>2019</v>
      </c>
      <c r="F2" s="253"/>
      <c r="G2" s="252">
        <v>2020</v>
      </c>
      <c r="H2" s="253"/>
      <c r="I2" s="252">
        <v>2021</v>
      </c>
      <c r="J2" s="254"/>
      <c r="K2" s="398"/>
      <c r="L2" s="468"/>
    </row>
    <row r="3" spans="1:12" ht="15.75" thickTop="1">
      <c r="A3" s="116" t="s">
        <v>373</v>
      </c>
      <c r="B3" s="255"/>
      <c r="C3" s="256"/>
      <c r="D3" s="257"/>
      <c r="E3" s="258"/>
      <c r="F3" s="257"/>
      <c r="G3" s="258"/>
      <c r="H3" s="257"/>
      <c r="I3" s="259"/>
      <c r="J3" s="260"/>
      <c r="K3" s="399"/>
      <c r="L3" s="469"/>
    </row>
    <row r="4" spans="1:12" s="15" customFormat="1">
      <c r="A4" s="118" t="s">
        <v>374</v>
      </c>
      <c r="B4" s="261">
        <f>'Modello ricavi'!B18</f>
        <v>0</v>
      </c>
      <c r="C4" s="261">
        <f>'Modello ricavi'!C18</f>
        <v>0</v>
      </c>
      <c r="D4" s="262"/>
      <c r="E4" s="263">
        <f>'Modello ricavi'!D18</f>
        <v>0</v>
      </c>
      <c r="F4" s="262"/>
      <c r="G4" s="263">
        <f>'Modello ricavi'!E18</f>
        <v>0</v>
      </c>
      <c r="H4" s="262"/>
      <c r="I4" s="263">
        <f>'Modello ricavi'!F18</f>
        <v>0</v>
      </c>
      <c r="J4" s="264"/>
      <c r="K4" s="400"/>
      <c r="L4" s="470"/>
    </row>
    <row r="5" spans="1:12" ht="15.75" thickBot="1">
      <c r="A5" s="265" t="s">
        <v>375</v>
      </c>
      <c r="B5" s="266"/>
      <c r="C5" s="266">
        <f>+'Modello ricavi'!C45</f>
        <v>0</v>
      </c>
      <c r="D5" s="267"/>
      <c r="E5" s="268">
        <f>+'Modello ricavi'!D45</f>
        <v>0</v>
      </c>
      <c r="F5" s="267"/>
      <c r="G5" s="268">
        <f>+'Modello ricavi'!E45</f>
        <v>0</v>
      </c>
      <c r="H5" s="267"/>
      <c r="I5" s="268">
        <f>+'Modello ricavi'!F45</f>
        <v>0</v>
      </c>
      <c r="J5" s="269"/>
      <c r="K5" s="399"/>
      <c r="L5" s="469"/>
    </row>
    <row r="6" spans="1:12" ht="15.75" thickTop="1">
      <c r="A6" s="117" t="s">
        <v>376</v>
      </c>
      <c r="B6" s="270">
        <f>B4+B5</f>
        <v>0</v>
      </c>
      <c r="C6" s="270">
        <f>C4+C5</f>
        <v>0</v>
      </c>
      <c r="D6" s="257"/>
      <c r="E6" s="270">
        <f>E4+E5</f>
        <v>0</v>
      </c>
      <c r="F6" s="257"/>
      <c r="G6" s="270">
        <f>G4+G5</f>
        <v>0</v>
      </c>
      <c r="H6" s="257"/>
      <c r="I6" s="270">
        <f>I4+I5</f>
        <v>0</v>
      </c>
      <c r="J6" s="260"/>
      <c r="K6" s="399"/>
      <c r="L6" s="469"/>
    </row>
    <row r="7" spans="1:12">
      <c r="A7" s="116" t="s">
        <v>377</v>
      </c>
      <c r="B7" s="261"/>
      <c r="C7" s="261"/>
      <c r="D7" s="262"/>
      <c r="E7" s="263"/>
      <c r="F7" s="262"/>
      <c r="G7" s="263"/>
      <c r="H7" s="262"/>
      <c r="I7" s="263"/>
      <c r="J7" s="264"/>
      <c r="K7" s="399"/>
      <c r="L7" s="469"/>
    </row>
    <row r="8" spans="1:12">
      <c r="A8" s="265" t="s">
        <v>378</v>
      </c>
      <c r="B8" s="261">
        <f>'Modello ricavi'!B31</f>
        <v>0</v>
      </c>
      <c r="C8" s="261">
        <f>'Modello ricavi'!C31</f>
        <v>0</v>
      </c>
      <c r="D8" s="262"/>
      <c r="E8" s="263">
        <f>'Modello ricavi'!D31</f>
        <v>0</v>
      </c>
      <c r="F8" s="262"/>
      <c r="G8" s="263">
        <f>'Modello ricavi'!E31</f>
        <v>0</v>
      </c>
      <c r="H8" s="262"/>
      <c r="I8" s="263">
        <f>'Modello ricavi'!F31</f>
        <v>0</v>
      </c>
      <c r="J8" s="264"/>
      <c r="K8" s="399"/>
      <c r="L8" s="469"/>
    </row>
    <row r="9" spans="1:12">
      <c r="A9" s="265" t="s">
        <v>379</v>
      </c>
      <c r="B9" s="261"/>
      <c r="C9" s="261">
        <f>personale!C11*personale!C32</f>
        <v>0</v>
      </c>
      <c r="D9" s="262"/>
      <c r="E9" s="263">
        <f>personale!D11*personale!D32</f>
        <v>0</v>
      </c>
      <c r="F9" s="262"/>
      <c r="G9" s="263">
        <f>personale!E11*personale!E32</f>
        <v>0</v>
      </c>
      <c r="H9" s="262"/>
      <c r="I9" s="263">
        <f>personale!F11*personale!F32</f>
        <v>0</v>
      </c>
      <c r="J9" s="264"/>
      <c r="K9" s="399"/>
      <c r="L9" s="469"/>
    </row>
    <row r="10" spans="1:12">
      <c r="A10" s="265" t="s">
        <v>380</v>
      </c>
      <c r="B10" s="261">
        <f>'Modello ricavi'!B48</f>
        <v>0</v>
      </c>
      <c r="C10" s="261">
        <f>'Modello ricavi'!C48</f>
        <v>0</v>
      </c>
      <c r="D10" s="262"/>
      <c r="E10" s="263">
        <f>'Modello ricavi'!D48</f>
        <v>0</v>
      </c>
      <c r="F10" s="262"/>
      <c r="G10" s="263">
        <f>'Modello ricavi'!E48</f>
        <v>0</v>
      </c>
      <c r="H10" s="262"/>
      <c r="I10" s="263">
        <f>'Modello ricavi'!F48</f>
        <v>0</v>
      </c>
      <c r="J10" s="264"/>
      <c r="K10" s="399"/>
      <c r="L10" s="469"/>
    </row>
    <row r="11" spans="1:12" ht="15.75" thickBot="1">
      <c r="A11" s="265" t="s">
        <v>61</v>
      </c>
      <c r="B11" s="266">
        <f>'Modello ricavi'!B41</f>
        <v>0</v>
      </c>
      <c r="C11" s="266">
        <f>'Modello ricavi'!C41</f>
        <v>0</v>
      </c>
      <c r="D11" s="271"/>
      <c r="E11" s="266">
        <f>'Modello ricavi'!D41</f>
        <v>0</v>
      </c>
      <c r="F11" s="271"/>
      <c r="G11" s="266">
        <f>'Modello ricavi'!E41</f>
        <v>0</v>
      </c>
      <c r="H11" s="271"/>
      <c r="I11" s="359">
        <f>'Modello ricavi'!F41</f>
        <v>0</v>
      </c>
      <c r="J11" s="272"/>
      <c r="K11" s="399"/>
      <c r="L11" s="469"/>
    </row>
    <row r="12" spans="1:12" ht="16.5" thickTop="1" thickBot="1">
      <c r="A12" s="118"/>
      <c r="B12" s="358"/>
      <c r="C12" s="266">
        <v>0</v>
      </c>
      <c r="D12" s="356"/>
      <c r="E12" s="266">
        <v>0</v>
      </c>
      <c r="F12" s="356"/>
      <c r="G12" s="266">
        <v>0</v>
      </c>
      <c r="H12" s="356"/>
      <c r="I12" s="359">
        <v>0</v>
      </c>
      <c r="J12" s="357"/>
      <c r="K12" s="399"/>
      <c r="L12" s="469"/>
    </row>
    <row r="13" spans="1:12" ht="15.75" thickTop="1">
      <c r="A13" s="117" t="s">
        <v>381</v>
      </c>
      <c r="B13" s="270">
        <f>SUM(B8:B11)</f>
        <v>0</v>
      </c>
      <c r="C13" s="270">
        <f>SUM(C8:C12)</f>
        <v>0</v>
      </c>
      <c r="D13" s="257"/>
      <c r="E13" s="270">
        <f>SUM(E8:E12)</f>
        <v>0</v>
      </c>
      <c r="F13" s="257"/>
      <c r="G13" s="270">
        <f>SUM(G8:G12)</f>
        <v>0</v>
      </c>
      <c r="H13" s="257"/>
      <c r="I13" s="270">
        <f>SUM(I8:I12)</f>
        <v>0</v>
      </c>
      <c r="J13" s="273"/>
      <c r="K13" s="399"/>
      <c r="L13" s="469"/>
    </row>
    <row r="14" spans="1:12" ht="15.75" thickBot="1">
      <c r="A14" s="274"/>
      <c r="B14" s="261"/>
      <c r="C14" s="261"/>
      <c r="D14" s="262"/>
      <c r="E14" s="263"/>
      <c r="F14" s="262"/>
      <c r="G14" s="263"/>
      <c r="H14" s="262"/>
      <c r="I14" s="263"/>
      <c r="J14" s="264"/>
      <c r="K14" s="399"/>
      <c r="L14" s="469"/>
    </row>
    <row r="15" spans="1:12" ht="15.75" thickBot="1">
      <c r="A15" s="366" t="s">
        <v>382</v>
      </c>
      <c r="B15" s="367">
        <f>B6-B13</f>
        <v>0</v>
      </c>
      <c r="C15" s="367">
        <f>C6-C13</f>
        <v>0</v>
      </c>
      <c r="D15" s="368" t="e">
        <f>C15/$C$6</f>
        <v>#DIV/0!</v>
      </c>
      <c r="E15" s="369">
        <f>E6-E13</f>
        <v>0</v>
      </c>
      <c r="F15" s="368" t="e">
        <f>E15/$E$6</f>
        <v>#DIV/0!</v>
      </c>
      <c r="G15" s="369">
        <f>G6-G13</f>
        <v>0</v>
      </c>
      <c r="H15" s="368" t="e">
        <f>G15/$G$6</f>
        <v>#DIV/0!</v>
      </c>
      <c r="I15" s="369">
        <f>I6-I13</f>
        <v>0</v>
      </c>
      <c r="J15" s="370" t="e">
        <f>I15/$I$6</f>
        <v>#DIV/0!</v>
      </c>
      <c r="K15" s="399"/>
      <c r="L15" s="469"/>
    </row>
    <row r="16" spans="1:12">
      <c r="A16" s="116" t="s">
        <v>383</v>
      </c>
      <c r="B16" s="261"/>
      <c r="C16" s="261"/>
      <c r="D16" s="262"/>
      <c r="E16" s="263"/>
      <c r="F16" s="262"/>
      <c r="G16" s="263"/>
      <c r="H16" s="262"/>
      <c r="I16" s="263"/>
      <c r="J16" s="264"/>
      <c r="K16" s="399"/>
      <c r="L16" s="469"/>
    </row>
    <row r="17" spans="1:15">
      <c r="A17" s="265" t="s">
        <v>384</v>
      </c>
      <c r="B17" s="261">
        <f>-'Dettagli costi di struttura'!E15</f>
        <v>0</v>
      </c>
      <c r="C17" s="261">
        <f>-'Dettagli costi di struttura'!F15</f>
        <v>0</v>
      </c>
      <c r="D17" s="262" t="e">
        <f>-C17/$C$6</f>
        <v>#DIV/0!</v>
      </c>
      <c r="E17" s="261">
        <f>-'Dettagli costi di struttura'!G15</f>
        <v>0</v>
      </c>
      <c r="F17" s="262" t="e">
        <f>-E17/$E$6</f>
        <v>#DIV/0!</v>
      </c>
      <c r="G17" s="261">
        <f>-'Dettagli costi di struttura'!H15</f>
        <v>0</v>
      </c>
      <c r="H17" s="262" t="e">
        <f>-G17/$G$6</f>
        <v>#DIV/0!</v>
      </c>
      <c r="I17" s="261">
        <f>-'Dettagli costi di struttura'!I15</f>
        <v>0</v>
      </c>
      <c r="J17" s="279" t="e">
        <f>-I17/$I$6</f>
        <v>#DIV/0!</v>
      </c>
      <c r="K17" s="399"/>
      <c r="L17" s="469"/>
    </row>
    <row r="18" spans="1:15">
      <c r="A18" s="265" t="s">
        <v>385</v>
      </c>
      <c r="B18" s="261">
        <f>-'Dettagli costi di struttura'!E32</f>
        <v>0</v>
      </c>
      <c r="C18" s="261">
        <f>-'Dettagli costi di struttura'!F32</f>
        <v>0</v>
      </c>
      <c r="D18" s="262" t="e">
        <f t="shared" ref="D18:D20" si="0">-C18/$C$6</f>
        <v>#DIV/0!</v>
      </c>
      <c r="E18" s="261">
        <f>-'Dettagli costi di struttura'!G32</f>
        <v>0</v>
      </c>
      <c r="F18" s="262" t="e">
        <f t="shared" ref="F18:F20" si="1">-E18/$E$6</f>
        <v>#DIV/0!</v>
      </c>
      <c r="G18" s="261">
        <f>-'Dettagli costi di struttura'!H32</f>
        <v>0</v>
      </c>
      <c r="H18" s="262" t="e">
        <f t="shared" ref="H18:H20" si="2">-G18/$G$6</f>
        <v>#DIV/0!</v>
      </c>
      <c r="I18" s="261">
        <f>-'Dettagli costi di struttura'!I32</f>
        <v>0</v>
      </c>
      <c r="J18" s="279" t="e">
        <f t="shared" ref="J18:J20" si="3">-I18/$I$6</f>
        <v>#DIV/0!</v>
      </c>
      <c r="K18" s="399"/>
      <c r="L18" s="469"/>
    </row>
    <row r="19" spans="1:15">
      <c r="A19" s="265" t="s">
        <v>386</v>
      </c>
      <c r="B19" s="261">
        <f>-'Dettagli costi di struttura'!E23</f>
        <v>0</v>
      </c>
      <c r="C19" s="261">
        <f>-'Dettagli costi di struttura'!F23</f>
        <v>0</v>
      </c>
      <c r="D19" s="262" t="e">
        <f t="shared" si="0"/>
        <v>#DIV/0!</v>
      </c>
      <c r="E19" s="261">
        <f>-'Dettagli costi di struttura'!G23</f>
        <v>0</v>
      </c>
      <c r="F19" s="262" t="e">
        <f t="shared" si="1"/>
        <v>#DIV/0!</v>
      </c>
      <c r="G19" s="261">
        <f>-'Dettagli costi di struttura'!H23</f>
        <v>0</v>
      </c>
      <c r="H19" s="262" t="e">
        <f t="shared" si="2"/>
        <v>#DIV/0!</v>
      </c>
      <c r="I19" s="261">
        <f>-'Dettagli costi di struttura'!I23</f>
        <v>0</v>
      </c>
      <c r="J19" s="279" t="e">
        <f t="shared" si="3"/>
        <v>#DIV/0!</v>
      </c>
      <c r="K19" s="399"/>
      <c r="L19" s="469"/>
    </row>
    <row r="20" spans="1:15">
      <c r="A20" s="265" t="s">
        <v>387</v>
      </c>
      <c r="B20" s="261">
        <f>-'Dettagli costi di struttura'!E44</f>
        <v>0</v>
      </c>
      <c r="C20" s="261">
        <f>-'Dettagli costi di struttura'!F44</f>
        <v>0</v>
      </c>
      <c r="D20" s="262" t="e">
        <f t="shared" si="0"/>
        <v>#DIV/0!</v>
      </c>
      <c r="E20" s="261">
        <f>-'Dettagli costi di struttura'!G44</f>
        <v>0</v>
      </c>
      <c r="F20" s="262" t="e">
        <f t="shared" si="1"/>
        <v>#DIV/0!</v>
      </c>
      <c r="G20" s="261">
        <f>-'Dettagli costi di struttura'!H44</f>
        <v>0</v>
      </c>
      <c r="H20" s="262" t="e">
        <f t="shared" si="2"/>
        <v>#DIV/0!</v>
      </c>
      <c r="I20" s="261">
        <f>-'Dettagli costi di struttura'!I44</f>
        <v>0</v>
      </c>
      <c r="J20" s="279" t="e">
        <f t="shared" si="3"/>
        <v>#DIV/0!</v>
      </c>
      <c r="K20" s="399"/>
      <c r="L20" s="469"/>
    </row>
    <row r="21" spans="1:15" ht="15.75" thickBot="1">
      <c r="A21" s="265"/>
      <c r="B21" s="261"/>
      <c r="C21" s="261"/>
      <c r="D21" s="262"/>
      <c r="E21" s="261"/>
      <c r="F21" s="262"/>
      <c r="G21" s="261"/>
      <c r="H21" s="262"/>
      <c r="I21" s="261"/>
      <c r="J21" s="279"/>
      <c r="K21" s="399"/>
      <c r="L21" s="469"/>
    </row>
    <row r="22" spans="1:15" ht="15.75" thickTop="1">
      <c r="A22" s="117" t="s">
        <v>388</v>
      </c>
      <c r="B22" s="275">
        <f>SUM(B17:B21)</f>
        <v>0</v>
      </c>
      <c r="C22" s="275">
        <f>SUM(C17:C21)</f>
        <v>0</v>
      </c>
      <c r="D22" s="276" t="e">
        <f>-C22/$C$6</f>
        <v>#DIV/0!</v>
      </c>
      <c r="E22" s="277">
        <f>SUM(E17:E21)</f>
        <v>0</v>
      </c>
      <c r="F22" s="276" t="e">
        <f>-E22/$E$6</f>
        <v>#DIV/0!</v>
      </c>
      <c r="G22" s="277">
        <f>SUM(G17:G21)</f>
        <v>0</v>
      </c>
      <c r="H22" s="276" t="e">
        <f>-G22/$G$6</f>
        <v>#DIV/0!</v>
      </c>
      <c r="I22" s="277">
        <f>SUM(I17:I21)</f>
        <v>0</v>
      </c>
      <c r="J22" s="278" t="e">
        <f>-I22/$I$6</f>
        <v>#DIV/0!</v>
      </c>
      <c r="K22" s="399"/>
      <c r="L22" s="469"/>
    </row>
    <row r="23" spans="1:15" s="47" customFormat="1" ht="16.5" thickBot="1">
      <c r="A23" s="274"/>
      <c r="B23" s="261"/>
      <c r="C23" s="261"/>
      <c r="D23" s="262"/>
      <c r="E23" s="263"/>
      <c r="F23" s="262"/>
      <c r="G23" s="263"/>
      <c r="H23" s="262"/>
      <c r="I23" s="263"/>
      <c r="J23" s="264"/>
      <c r="K23" s="401"/>
      <c r="L23" s="469"/>
    </row>
    <row r="24" spans="1:15" ht="15.75" thickTop="1">
      <c r="A24" s="116" t="s">
        <v>14</v>
      </c>
      <c r="B24" s="275">
        <f>B15+B22</f>
        <v>0</v>
      </c>
      <c r="C24" s="275">
        <f>C15+C22</f>
        <v>0</v>
      </c>
      <c r="D24" s="276" t="e">
        <f>C24/$C$6</f>
        <v>#DIV/0!</v>
      </c>
      <c r="E24" s="277">
        <f>E15+E22</f>
        <v>0</v>
      </c>
      <c r="F24" s="276" t="e">
        <f>E24/$E$6</f>
        <v>#DIV/0!</v>
      </c>
      <c r="G24" s="277">
        <f>G15+G22</f>
        <v>0</v>
      </c>
      <c r="H24" s="276" t="e">
        <f>G24/$G$6</f>
        <v>#DIV/0!</v>
      </c>
      <c r="I24" s="277">
        <f>I15+I22</f>
        <v>0</v>
      </c>
      <c r="J24" s="278" t="e">
        <f>I24/$I$6</f>
        <v>#DIV/0!</v>
      </c>
      <c r="K24" s="399"/>
      <c r="L24" s="469"/>
      <c r="O24" s="11"/>
    </row>
    <row r="25" spans="1:15">
      <c r="A25" s="116" t="s">
        <v>389</v>
      </c>
      <c r="B25" s="261"/>
      <c r="C25" s="261"/>
      <c r="D25" s="262"/>
      <c r="E25" s="263"/>
      <c r="F25" s="262"/>
      <c r="G25" s="263"/>
      <c r="H25" s="262"/>
      <c r="I25" s="263"/>
      <c r="J25" s="264"/>
      <c r="K25" s="399"/>
      <c r="L25" s="469"/>
    </row>
    <row r="26" spans="1:15" ht="15.75" thickBot="1">
      <c r="A26" s="265" t="s">
        <v>389</v>
      </c>
      <c r="B26" s="261">
        <f>-'Piano ammortamenti investimenti'!C11</f>
        <v>0</v>
      </c>
      <c r="C26" s="261">
        <f>-'Piano ammortamenti investimenti'!D11</f>
        <v>0</v>
      </c>
      <c r="D26" s="262"/>
      <c r="E26" s="263">
        <f>-'Piano ammortamenti investimenti'!E11</f>
        <v>0</v>
      </c>
      <c r="F26" s="262"/>
      <c r="G26" s="263">
        <f>-'Piano ammortamenti investimenti'!F11</f>
        <v>0</v>
      </c>
      <c r="H26" s="262"/>
      <c r="I26" s="263">
        <f>-'Piano ammortamenti investimenti'!G11</f>
        <v>0</v>
      </c>
      <c r="J26" s="264"/>
      <c r="K26" s="399"/>
      <c r="L26" s="469"/>
    </row>
    <row r="27" spans="1:15" ht="16.5" thickTop="1" thickBot="1">
      <c r="A27" s="117" t="s">
        <v>390</v>
      </c>
      <c r="B27" s="275">
        <f>B26</f>
        <v>0</v>
      </c>
      <c r="C27" s="275">
        <f>C26</f>
        <v>0</v>
      </c>
      <c r="D27" s="276"/>
      <c r="E27" s="275">
        <f>E26</f>
        <v>0</v>
      </c>
      <c r="F27" s="276"/>
      <c r="G27" s="275">
        <f>G26</f>
        <v>0</v>
      </c>
      <c r="H27" s="276"/>
      <c r="I27" s="275">
        <f>I26</f>
        <v>0</v>
      </c>
      <c r="J27" s="278"/>
      <c r="K27" s="399"/>
      <c r="L27" s="469"/>
    </row>
    <row r="28" spans="1:15" ht="15.75" thickTop="1">
      <c r="A28" s="116" t="s">
        <v>391</v>
      </c>
      <c r="B28" s="275">
        <f>B24+B27</f>
        <v>0</v>
      </c>
      <c r="C28" s="275">
        <f>C24+C27</f>
        <v>0</v>
      </c>
      <c r="D28" s="276"/>
      <c r="E28" s="275">
        <f>E24+E27</f>
        <v>0</v>
      </c>
      <c r="F28" s="276"/>
      <c r="G28" s="275">
        <f>G24+G27</f>
        <v>0</v>
      </c>
      <c r="H28" s="276"/>
      <c r="I28" s="275">
        <f>I24+I27</f>
        <v>0</v>
      </c>
      <c r="J28" s="280"/>
      <c r="K28" s="399"/>
      <c r="L28" s="469"/>
    </row>
    <row r="29" spans="1:15" ht="15.75" thickBot="1">
      <c r="A29" s="118" t="s">
        <v>392</v>
      </c>
      <c r="B29" s="261">
        <v>0</v>
      </c>
      <c r="C29" s="261">
        <f>-('Cash Flow'!C19+'Cash Flow'!D19/2)*5%</f>
        <v>0</v>
      </c>
      <c r="D29" s="262"/>
      <c r="E29" s="261">
        <f>-('Cash Flow'!D19+'Cash Flow'!C19)*5%-'Cash Flow'!E18/2*5%</f>
        <v>0</v>
      </c>
      <c r="F29" s="262"/>
      <c r="G29" s="261">
        <f>-('Cash Flow'!C19+'Cash Flow'!D19+'Cash Flow'!E19+'Cash Flow'!F19)*5%-('Cash Flow'!E18+'Cash Flow'!F18)*5%</f>
        <v>0</v>
      </c>
      <c r="H29" s="262"/>
      <c r="I29" s="261">
        <f>-('Cash Flow'!E19+'Cash Flow'!F19+'Cash Flow'!G19+'Cash Flow'!H19)*5%-('Cash Flow'!G18+'Cash Flow'!H18)*5%</f>
        <v>0</v>
      </c>
      <c r="J29" s="264"/>
      <c r="K29" s="399"/>
      <c r="L29" s="469"/>
    </row>
    <row r="30" spans="1:15" ht="15.75" thickBot="1">
      <c r="A30" s="116" t="s">
        <v>393</v>
      </c>
      <c r="B30" s="362">
        <f>B28+B29</f>
        <v>0</v>
      </c>
      <c r="C30" s="363">
        <f>C28+C29</f>
        <v>0</v>
      </c>
      <c r="D30" s="364"/>
      <c r="E30" s="363">
        <f>E28+E29</f>
        <v>0</v>
      </c>
      <c r="F30" s="364"/>
      <c r="G30" s="363">
        <f>G28+G29</f>
        <v>0</v>
      </c>
      <c r="H30" s="364"/>
      <c r="I30" s="363">
        <f>I28+I29</f>
        <v>0</v>
      </c>
      <c r="J30" s="365"/>
      <c r="K30" s="399"/>
      <c r="L30" s="469"/>
    </row>
    <row r="31" spans="1:15" s="56" customFormat="1" ht="13.5" thickBot="1">
      <c r="A31" s="116" t="s">
        <v>394</v>
      </c>
      <c r="B31" s="261">
        <f>IF(B30&lt;0,0,-B30*27.9%)</f>
        <v>0</v>
      </c>
      <c r="C31" s="261">
        <f t="shared" ref="C31:I31" si="4">IF(C30&lt;0,0,-C30*27.9%)</f>
        <v>0</v>
      </c>
      <c r="D31" s="261"/>
      <c r="E31" s="261">
        <f t="shared" si="4"/>
        <v>0</v>
      </c>
      <c r="F31" s="261"/>
      <c r="G31" s="261">
        <f t="shared" si="4"/>
        <v>0</v>
      </c>
      <c r="H31" s="261"/>
      <c r="I31" s="261">
        <f t="shared" si="4"/>
        <v>0</v>
      </c>
      <c r="J31" s="261"/>
      <c r="K31" s="399" t="s">
        <v>490</v>
      </c>
      <c r="M31" s="469"/>
    </row>
    <row r="32" spans="1:15" ht="16.5" thickTop="1" thickBot="1">
      <c r="A32" s="119" t="s">
        <v>395</v>
      </c>
      <c r="B32" s="232">
        <f>B30+B31</f>
        <v>0</v>
      </c>
      <c r="C32" s="232">
        <f>C30+C31</f>
        <v>0</v>
      </c>
      <c r="D32" s="192" t="e">
        <f>C32/C4</f>
        <v>#DIV/0!</v>
      </c>
      <c r="E32" s="232">
        <f>E30+E31</f>
        <v>0</v>
      </c>
      <c r="F32" s="192" t="e">
        <f>E32/$E$6</f>
        <v>#DIV/0!</v>
      </c>
      <c r="G32" s="232">
        <f>G30+G31</f>
        <v>0</v>
      </c>
      <c r="H32" s="192" t="e">
        <f>G32/$G$6</f>
        <v>#DIV/0!</v>
      </c>
      <c r="I32" s="232">
        <f>I30+I31</f>
        <v>0</v>
      </c>
      <c r="J32" s="193" t="e">
        <f>I32/$I$6</f>
        <v>#DIV/0!</v>
      </c>
      <c r="K32" s="399"/>
      <c r="L32" s="469"/>
    </row>
    <row r="33" spans="1:12" ht="15.75" thickTop="1">
      <c r="A33" s="348" t="s">
        <v>396</v>
      </c>
      <c r="B33" s="353">
        <f>+B30</f>
        <v>0</v>
      </c>
      <c r="C33" s="353">
        <v>0</v>
      </c>
      <c r="D33" s="349"/>
      <c r="E33" s="261">
        <v>0</v>
      </c>
      <c r="F33" s="349"/>
      <c r="G33" s="350"/>
      <c r="H33" s="349"/>
      <c r="I33" s="351"/>
      <c r="J33" s="352"/>
      <c r="K33" s="399"/>
      <c r="L33" s="469"/>
    </row>
  </sheetData>
  <mergeCells count="1">
    <mergeCell ref="A1:J1"/>
  </mergeCells>
  <pageMargins left="0.51181102362204722" right="0.70866141732283472" top="0.39370078740157483" bottom="0.31496062992125984" header="0.23622047244094491" footer="0.15748031496062992"/>
  <pageSetup paperSize="9" scale="9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9"/>
  <sheetViews>
    <sheetView topLeftCell="A7" workbookViewId="0">
      <selection activeCell="F4" sqref="F4"/>
    </sheetView>
  </sheetViews>
  <sheetFormatPr defaultColWidth="9.140625" defaultRowHeight="15"/>
  <cols>
    <col min="1" max="1" width="46" customWidth="1"/>
    <col min="2" max="2" width="13.140625" hidden="1" customWidth="1"/>
    <col min="3" max="4" width="15.42578125" bestFit="1" customWidth="1"/>
    <col min="5" max="5" width="14.5703125" bestFit="1" customWidth="1"/>
    <col min="6" max="6" width="15.42578125" bestFit="1" customWidth="1"/>
    <col min="7" max="7" width="16.5703125" customWidth="1"/>
    <col min="9" max="9" width="14.5703125" bestFit="1" customWidth="1"/>
    <col min="11" max="11" width="13.140625" bestFit="1" customWidth="1"/>
  </cols>
  <sheetData>
    <row r="1" spans="1:9" s="177" customFormat="1" ht="27" thickTop="1">
      <c r="A1" s="484" t="s">
        <v>397</v>
      </c>
      <c r="B1" s="485"/>
      <c r="C1" s="485"/>
      <c r="D1" s="485"/>
      <c r="E1" s="485"/>
      <c r="F1" s="485"/>
      <c r="G1" s="486"/>
    </row>
    <row r="2" spans="1:9" s="15" customFormat="1">
      <c r="A2" s="171"/>
      <c r="B2" s="172"/>
      <c r="C2" s="173">
        <f>+Table2[[#This Row],[Column1]]</f>
        <v>2017</v>
      </c>
      <c r="D2" s="173">
        <f>+Table3[[#This Row],[Column3]]+1</f>
        <v>2018</v>
      </c>
      <c r="E2" s="173">
        <f>+Table3[[#This Row],[Column4]]+1</f>
        <v>2019</v>
      </c>
      <c r="F2" s="173">
        <f>+Table3[[#This Row],[Column5]]+1</f>
        <v>2020</v>
      </c>
      <c r="G2" s="173">
        <f>+Table3[[#This Row],[Column6]]+1</f>
        <v>2021</v>
      </c>
    </row>
    <row r="3" spans="1:9" s="15" customFormat="1" ht="15.75">
      <c r="A3" s="149" t="s">
        <v>398</v>
      </c>
      <c r="B3" s="164"/>
      <c r="C3" s="174"/>
      <c r="D3" s="174"/>
      <c r="E3" s="174"/>
      <c r="F3" s="174"/>
      <c r="G3" s="175"/>
    </row>
    <row r="4" spans="1:9" s="15" customFormat="1">
      <c r="A4" s="151" t="s">
        <v>399</v>
      </c>
      <c r="B4" s="164"/>
      <c r="C4" s="235">
        <f>'Conto economico'!B32</f>
        <v>0</v>
      </c>
      <c r="D4" s="235">
        <f>'Conto economico'!C32</f>
        <v>0</v>
      </c>
      <c r="E4" s="235">
        <f>'Conto economico'!E32</f>
        <v>0</v>
      </c>
      <c r="F4" s="235">
        <f>'Conto economico'!G32</f>
        <v>0</v>
      </c>
      <c r="G4" s="236">
        <f>'Conto economico'!I32</f>
        <v>0</v>
      </c>
    </row>
    <row r="5" spans="1:9" s="15" customFormat="1">
      <c r="A5" s="151" t="s">
        <v>400</v>
      </c>
      <c r="B5" s="164"/>
      <c r="C5" s="235">
        <f>'Piano ammortamenti investimenti'!C11</f>
        <v>0</v>
      </c>
      <c r="D5" s="235">
        <f>'Piano ammortamenti investimenti'!D11</f>
        <v>0</v>
      </c>
      <c r="E5" s="235">
        <f>'Piano ammortamenti investimenti'!E11</f>
        <v>0</v>
      </c>
      <c r="F5" s="235">
        <f>'Piano ammortamenti investimenti'!F11</f>
        <v>0</v>
      </c>
      <c r="G5" s="236">
        <f>'Piano ammortamenti investimenti'!G11</f>
        <v>0</v>
      </c>
    </row>
    <row r="6" spans="1:9" s="15" customFormat="1">
      <c r="A6" s="151" t="s">
        <v>401</v>
      </c>
      <c r="B6" s="164"/>
      <c r="C6" s="235"/>
      <c r="D6" s="235"/>
      <c r="E6" s="235"/>
      <c r="F6" s="235"/>
      <c r="G6" s="236"/>
      <c r="I6" s="15" t="s">
        <v>82</v>
      </c>
    </row>
    <row r="7" spans="1:9" s="15" customFormat="1">
      <c r="A7" s="176" t="s">
        <v>402</v>
      </c>
      <c r="B7" s="164"/>
      <c r="C7" s="235">
        <f>-('Stato patrimoniale'!D8-'Stato patrimoniale'!B8)</f>
        <v>0</v>
      </c>
      <c r="D7" s="235">
        <f>-('Stato patrimoniale'!E8-'Stato patrimoniale'!D8)</f>
        <v>0</v>
      </c>
      <c r="E7" s="235">
        <f>-('Stato patrimoniale'!F8-'Stato patrimoniale'!E8)</f>
        <v>0</v>
      </c>
      <c r="F7" s="235">
        <f>-('Stato patrimoniale'!G8-'Stato patrimoniale'!F8)</f>
        <v>0</v>
      </c>
      <c r="G7" s="236">
        <f>-('Stato patrimoniale'!H8-'Stato patrimoniale'!G8)</f>
        <v>0</v>
      </c>
      <c r="I7" s="15" t="s">
        <v>50</v>
      </c>
    </row>
    <row r="8" spans="1:9" s="15" customFormat="1">
      <c r="A8" s="176" t="s">
        <v>403</v>
      </c>
      <c r="B8" s="164"/>
      <c r="C8" s="235">
        <f>('Stato patrimoniale'!D38-'Stato patrimoniale'!B38)</f>
        <v>0</v>
      </c>
      <c r="D8" s="235">
        <f>('Stato patrimoniale'!E38-'Stato patrimoniale'!D38)</f>
        <v>0</v>
      </c>
      <c r="E8" s="235">
        <f>('Stato patrimoniale'!F38-'Stato patrimoniale'!E38)</f>
        <v>0</v>
      </c>
      <c r="F8" s="235">
        <f>('Stato patrimoniale'!G38-'Stato patrimoniale'!F38)</f>
        <v>0</v>
      </c>
      <c r="G8" s="236">
        <f>('Stato patrimoniale'!H38-'Stato patrimoniale'!G38)</f>
        <v>0</v>
      </c>
    </row>
    <row r="9" spans="1:9" s="15" customFormat="1" ht="15.75" thickBot="1">
      <c r="A9" s="176" t="s">
        <v>404</v>
      </c>
      <c r="B9" s="164"/>
      <c r="C9" s="237">
        <f>-('Stato patrimoniale'!D9-'Stato patrimoniale'!B9)</f>
        <v>0</v>
      </c>
      <c r="D9" s="237">
        <f>-('Stato patrimoniale'!E9-'Stato patrimoniale'!D9)</f>
        <v>0</v>
      </c>
      <c r="E9" s="237">
        <f>-('Stato patrimoniale'!F9-'Stato patrimoniale'!E9)</f>
        <v>0</v>
      </c>
      <c r="F9" s="237">
        <f>-('Stato patrimoniale'!G9-'Stato patrimoniale'!F9)</f>
        <v>0</v>
      </c>
      <c r="G9" s="238">
        <f>-('Stato patrimoniale'!H9-'Stato patrimoniale'!G9)</f>
        <v>0</v>
      </c>
    </row>
    <row r="10" spans="1:9" s="57" customFormat="1" ht="16.5" thickTop="1">
      <c r="A10" s="149" t="s">
        <v>405</v>
      </c>
      <c r="B10" s="170"/>
      <c r="C10" s="239">
        <f>SUM(C4:C9)</f>
        <v>0</v>
      </c>
      <c r="D10" s="239">
        <f t="shared" ref="D10:G10" si="0">SUM(D4:D9)</f>
        <v>0</v>
      </c>
      <c r="E10" s="239">
        <f t="shared" si="0"/>
        <v>0</v>
      </c>
      <c r="F10" s="239">
        <f t="shared" si="0"/>
        <v>0</v>
      </c>
      <c r="G10" s="240">
        <f t="shared" si="0"/>
        <v>0</v>
      </c>
    </row>
    <row r="11" spans="1:9" s="15" customFormat="1">
      <c r="A11" s="146"/>
      <c r="B11" s="164"/>
      <c r="C11" s="235"/>
      <c r="D11" s="235"/>
      <c r="E11" s="235"/>
      <c r="F11" s="235"/>
      <c r="G11" s="236"/>
    </row>
    <row r="12" spans="1:9" s="15" customFormat="1" ht="15.75">
      <c r="A12" s="149" t="s">
        <v>406</v>
      </c>
      <c r="B12" s="164"/>
      <c r="C12" s="235"/>
      <c r="D12" s="235"/>
      <c r="E12" s="235"/>
      <c r="F12" s="235"/>
      <c r="G12" s="236"/>
    </row>
    <row r="13" spans="1:9" s="15" customFormat="1">
      <c r="A13" s="125" t="s">
        <v>407</v>
      </c>
      <c r="B13" s="164"/>
      <c r="C13" s="235">
        <f>-'Piano Investimento'!F30</f>
        <v>0</v>
      </c>
      <c r="D13" s="235">
        <f>-'Piano Investimento'!H30</f>
        <v>0</v>
      </c>
      <c r="E13" s="235">
        <f>-'Piano Investimento'!I30</f>
        <v>0</v>
      </c>
      <c r="F13" s="235">
        <f>-'Piano Investimento'!J30</f>
        <v>0</v>
      </c>
      <c r="G13" s="236">
        <f>-'Piano Investimento'!K30</f>
        <v>0</v>
      </c>
    </row>
    <row r="14" spans="1:9" s="15" customFormat="1" ht="15.75" thickBot="1">
      <c r="A14" s="126" t="s">
        <v>408</v>
      </c>
      <c r="B14" s="164"/>
      <c r="C14" s="235"/>
      <c r="D14" s="235"/>
      <c r="E14" s="235"/>
      <c r="F14" s="235"/>
      <c r="G14" s="236"/>
    </row>
    <row r="15" spans="1:9" s="57" customFormat="1" ht="16.5" thickTop="1">
      <c r="A15" s="149" t="s">
        <v>409</v>
      </c>
      <c r="B15" s="170"/>
      <c r="C15" s="241">
        <f>SUM(C13)</f>
        <v>0</v>
      </c>
      <c r="D15" s="241">
        <f t="shared" ref="D15:G15" si="1">SUM(D13)</f>
        <v>0</v>
      </c>
      <c r="E15" s="241">
        <f t="shared" si="1"/>
        <v>0</v>
      </c>
      <c r="F15" s="241">
        <f t="shared" si="1"/>
        <v>0</v>
      </c>
      <c r="G15" s="242">
        <f t="shared" si="1"/>
        <v>0</v>
      </c>
    </row>
    <row r="16" spans="1:9">
      <c r="A16" s="122"/>
      <c r="B16" s="121"/>
      <c r="C16" s="243"/>
      <c r="D16" s="243"/>
      <c r="E16" s="243"/>
      <c r="F16" s="243"/>
      <c r="G16" s="244"/>
    </row>
    <row r="17" spans="1:9" s="15" customFormat="1" ht="15.75">
      <c r="A17" s="149" t="s">
        <v>410</v>
      </c>
      <c r="B17" s="164"/>
      <c r="C17" s="235"/>
      <c r="D17" s="235"/>
      <c r="E17" s="235"/>
      <c r="F17" s="235"/>
      <c r="G17" s="236"/>
    </row>
    <row r="18" spans="1:9" s="15" customFormat="1">
      <c r="A18" s="151" t="s">
        <v>411</v>
      </c>
      <c r="B18" s="164"/>
      <c r="C18" s="283">
        <v>0</v>
      </c>
      <c r="D18" s="283">
        <v>0</v>
      </c>
      <c r="E18" s="360">
        <v>0</v>
      </c>
      <c r="F18" s="283">
        <v>0</v>
      </c>
      <c r="G18" s="244">
        <v>0</v>
      </c>
    </row>
    <row r="19" spans="1:9" s="15" customFormat="1">
      <c r="A19" s="151" t="s">
        <v>412</v>
      </c>
      <c r="B19" s="164"/>
      <c r="C19" s="235">
        <v>0</v>
      </c>
      <c r="D19" s="235">
        <v>0</v>
      </c>
      <c r="E19" s="235">
        <v>0</v>
      </c>
      <c r="F19" s="235">
        <v>0</v>
      </c>
      <c r="G19" s="244">
        <v>0</v>
      </c>
    </row>
    <row r="20" spans="1:9" s="57" customFormat="1" ht="16.5" thickBot="1">
      <c r="A20" s="151" t="s">
        <v>413</v>
      </c>
      <c r="B20" s="164"/>
      <c r="C20" s="346">
        <v>0</v>
      </c>
      <c r="D20" s="346">
        <v>0</v>
      </c>
      <c r="E20" s="346"/>
      <c r="F20" s="346"/>
      <c r="G20" s="347"/>
    </row>
    <row r="21" spans="1:9" ht="16.5" thickTop="1">
      <c r="A21" s="149" t="s">
        <v>414</v>
      </c>
      <c r="B21" s="170"/>
      <c r="C21" s="241">
        <f>SUM(C18:C20)</f>
        <v>0</v>
      </c>
      <c r="D21" s="241">
        <f>SUM(D18:D20)</f>
        <v>0</v>
      </c>
      <c r="E21" s="241">
        <f t="shared" ref="E21:G21" si="2">SUM(E18:E20)</f>
        <v>0</v>
      </c>
      <c r="F21" s="241">
        <f t="shared" si="2"/>
        <v>0</v>
      </c>
      <c r="G21" s="241">
        <f t="shared" si="2"/>
        <v>0</v>
      </c>
    </row>
    <row r="22" spans="1:9" s="167" customFormat="1" ht="19.5" thickBot="1">
      <c r="A22" s="122"/>
      <c r="B22" s="121"/>
      <c r="C22" s="243"/>
      <c r="D22" s="243"/>
      <c r="E22" s="243"/>
      <c r="F22" s="243"/>
      <c r="G22" s="244"/>
      <c r="I22" s="287"/>
    </row>
    <row r="23" spans="1:9" s="15" customFormat="1" ht="20.25" thickTop="1" thickBot="1">
      <c r="A23" s="165" t="s">
        <v>415</v>
      </c>
      <c r="B23" s="166"/>
      <c r="C23" s="245">
        <f>C10+C15+C21</f>
        <v>0</v>
      </c>
      <c r="D23" s="245">
        <f>D10+D15+D21</f>
        <v>0</v>
      </c>
      <c r="E23" s="245">
        <f>E10+E15+E21</f>
        <v>0</v>
      </c>
      <c r="F23" s="245">
        <f>F10+F15+F21</f>
        <v>0</v>
      </c>
      <c r="G23" s="246">
        <f>G10+G15+G21</f>
        <v>0</v>
      </c>
    </row>
    <row r="24" spans="1:9" s="57" customFormat="1" ht="20.25" thickTop="1" thickBot="1">
      <c r="A24" s="171"/>
      <c r="B24" s="164"/>
      <c r="C24" s="168"/>
      <c r="D24" s="168"/>
      <c r="E24" s="168"/>
      <c r="F24" s="168"/>
      <c r="G24" s="169"/>
      <c r="I24" s="287"/>
    </row>
    <row r="25" spans="1:9" s="57" customFormat="1" ht="20.25" thickTop="1" thickBot="1">
      <c r="A25" s="178" t="s">
        <v>416</v>
      </c>
      <c r="B25" s="179"/>
      <c r="C25" s="247">
        <f>'Stato patrimoniale'!C7</f>
        <v>8000</v>
      </c>
      <c r="D25" s="247">
        <f>C26</f>
        <v>8000</v>
      </c>
      <c r="E25" s="247">
        <f>D26</f>
        <v>8000</v>
      </c>
      <c r="F25" s="247">
        <f>E26</f>
        <v>8000</v>
      </c>
      <c r="G25" s="248">
        <f>F26</f>
        <v>8000</v>
      </c>
      <c r="I25" s="287"/>
    </row>
    <row r="26" spans="1:9" s="47" customFormat="1" ht="17.25" thickTop="1" thickBot="1">
      <c r="A26" s="178" t="s">
        <v>417</v>
      </c>
      <c r="B26" s="180">
        <v>0</v>
      </c>
      <c r="C26" s="249">
        <f>C23+C25</f>
        <v>8000</v>
      </c>
      <c r="D26" s="249">
        <f>D23+D25</f>
        <v>8000</v>
      </c>
      <c r="E26" s="249">
        <f>E23+E25</f>
        <v>8000</v>
      </c>
      <c r="F26" s="249">
        <f>F23+F25</f>
        <v>8000</v>
      </c>
      <c r="G26" s="250">
        <f>G23+G25</f>
        <v>8000</v>
      </c>
    </row>
    <row r="27" spans="1:9" ht="17.25" thickTop="1" thickBot="1">
      <c r="A27" s="127"/>
      <c r="B27" s="123"/>
      <c r="C27" s="124"/>
      <c r="D27" s="124"/>
      <c r="E27" s="124"/>
      <c r="F27" s="124"/>
      <c r="G27" s="124"/>
    </row>
    <row r="28" spans="1:9">
      <c r="A28" s="69" t="s">
        <v>70</v>
      </c>
      <c r="B28" s="129"/>
      <c r="C28" s="130">
        <v>0.08</v>
      </c>
      <c r="D28" s="129"/>
      <c r="E28" s="129"/>
      <c r="F28" s="129"/>
      <c r="G28" s="131"/>
    </row>
    <row r="29" spans="1:9" ht="15.75" thickBot="1">
      <c r="A29" s="132" t="s">
        <v>418</v>
      </c>
      <c r="B29" s="31"/>
      <c r="C29" s="133">
        <f>C23</f>
        <v>0</v>
      </c>
      <c r="D29" s="133">
        <f>D23</f>
        <v>0</v>
      </c>
      <c r="E29" s="133">
        <f>E23</f>
        <v>0</v>
      </c>
      <c r="F29" s="133">
        <f>F23</f>
        <v>0</v>
      </c>
      <c r="G29" s="134">
        <f>G23</f>
        <v>0</v>
      </c>
      <c r="I29" s="361">
        <f>-('Cash Flow'!C19-'Cash Flow'!D19-'Cash Flow'!F19-'Cash Flow'!G19-'Cash Flow'!E19)*4%</f>
        <v>0</v>
      </c>
    </row>
    <row r="30" spans="1:9" ht="15.75" thickBot="1">
      <c r="C30" s="120"/>
      <c r="D30" s="120"/>
      <c r="E30" s="120"/>
      <c r="F30" s="120"/>
      <c r="G30" s="120"/>
      <c r="I30" s="286">
        <f>SUM(C30:H30)</f>
        <v>0</v>
      </c>
    </row>
    <row r="31" spans="1:9" ht="15.75" thickBot="1">
      <c r="A31" s="139" t="s">
        <v>35</v>
      </c>
      <c r="B31" s="140"/>
      <c r="C31" s="284">
        <f>C29/(1+C28)</f>
        <v>0</v>
      </c>
      <c r="D31" s="284">
        <f>D29/(1+C28)^2</f>
        <v>0</v>
      </c>
      <c r="E31" s="284">
        <f>E29/(1+C28)^3</f>
        <v>0</v>
      </c>
      <c r="F31" s="284">
        <f>F29/(1+C28)^4</f>
        <v>0</v>
      </c>
      <c r="G31" s="285">
        <f>G29/(1+C28)^5</f>
        <v>0</v>
      </c>
    </row>
    <row r="32" spans="1:9">
      <c r="C32" s="120"/>
      <c r="D32" s="120"/>
      <c r="E32" s="120"/>
      <c r="F32" s="120"/>
      <c r="G32" s="120"/>
    </row>
    <row r="33" spans="1:7" ht="15.75" thickBot="1">
      <c r="C33" s="120"/>
      <c r="D33" s="120"/>
      <c r="E33" s="120"/>
      <c r="F33" s="120"/>
      <c r="G33" s="120"/>
    </row>
    <row r="34" spans="1:7">
      <c r="A34" s="69" t="s">
        <v>69</v>
      </c>
      <c r="B34" s="129"/>
      <c r="C34" s="136">
        <f>NPV(C28,C29:G29)</f>
        <v>0</v>
      </c>
      <c r="D34" s="120"/>
      <c r="E34" s="120"/>
      <c r="F34" s="120"/>
      <c r="G34" s="120"/>
    </row>
    <row r="35" spans="1:7" ht="15.75" thickBot="1">
      <c r="A35" s="132" t="s">
        <v>71</v>
      </c>
      <c r="B35" s="137"/>
      <c r="C35" s="138" t="e">
        <f>IRR(C29:G29)</f>
        <v>#NUM!</v>
      </c>
      <c r="D35" s="281"/>
    </row>
    <row r="37" spans="1:7">
      <c r="A37" s="128" t="s">
        <v>34</v>
      </c>
      <c r="B37" s="128"/>
      <c r="C37" s="135"/>
      <c r="D37" s="135">
        <f>C29+D29</f>
        <v>0</v>
      </c>
      <c r="E37" s="135">
        <f>D37+E29</f>
        <v>0</v>
      </c>
      <c r="F37" s="135">
        <f>E37+F29</f>
        <v>0</v>
      </c>
      <c r="G37" s="135">
        <f>F37+G29</f>
        <v>0</v>
      </c>
    </row>
    <row r="38" spans="1:7" ht="15.75" thickBot="1"/>
    <row r="39" spans="1:7" ht="15.75" thickBot="1">
      <c r="A39" s="139" t="s">
        <v>36</v>
      </c>
      <c r="B39" s="140"/>
      <c r="C39" s="141" t="e">
        <f>(E29+F29+G29)/(-C29-D29)</f>
        <v>#DIV/0!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105" orientation="landscape" r:id="rId1"/>
  <legacy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49"/>
  <sheetViews>
    <sheetView topLeftCell="A10" workbookViewId="0">
      <selection activeCell="G4" sqref="G4"/>
    </sheetView>
  </sheetViews>
  <sheetFormatPr defaultColWidth="9.140625" defaultRowHeight="15"/>
  <cols>
    <col min="1" max="1" width="57.42578125" style="15" customWidth="1"/>
    <col min="2" max="2" width="13.85546875" style="15" customWidth="1"/>
    <col min="3" max="3" width="14.7109375" style="15" bestFit="1" customWidth="1"/>
    <col min="4" max="4" width="13.42578125" style="15" customWidth="1"/>
    <col min="5" max="6" width="13.140625" style="15" bestFit="1" customWidth="1"/>
    <col min="7" max="7" width="11.140625" style="15" customWidth="1"/>
    <col min="8" max="8" width="8" style="15" customWidth="1"/>
    <col min="9" max="16384" width="9.140625" style="15"/>
  </cols>
  <sheetData>
    <row r="1" spans="1:6" ht="27" thickTop="1">
      <c r="A1" s="484" t="s">
        <v>419</v>
      </c>
      <c r="B1" s="485"/>
      <c r="C1" s="485"/>
      <c r="D1" s="485"/>
      <c r="E1" s="485"/>
      <c r="F1" s="486"/>
    </row>
    <row r="2" spans="1:6">
      <c r="A2" s="146"/>
      <c r="B2" s="147">
        <v>2016</v>
      </c>
      <c r="C2" s="147">
        <v>2017</v>
      </c>
      <c r="D2" s="147">
        <v>2018</v>
      </c>
      <c r="E2" s="147">
        <v>2019</v>
      </c>
      <c r="F2" s="148">
        <v>2020</v>
      </c>
    </row>
    <row r="3" spans="1:6" ht="15.75">
      <c r="A3" s="149" t="s">
        <v>420</v>
      </c>
      <c r="B3" s="39"/>
      <c r="C3" s="39"/>
      <c r="D3" s="39"/>
      <c r="E3" s="39"/>
      <c r="F3" s="150"/>
    </row>
    <row r="4" spans="1:6">
      <c r="A4" t="s">
        <v>484</v>
      </c>
      <c r="B4" s="206"/>
      <c r="C4" s="403">
        <v>0</v>
      </c>
      <c r="D4" s="403">
        <v>0</v>
      </c>
      <c r="E4" s="403">
        <v>0</v>
      </c>
      <c r="F4" s="403">
        <v>0</v>
      </c>
    </row>
    <row r="5" spans="1:6">
      <c r="A5" t="s">
        <v>485</v>
      </c>
      <c r="B5" s="206"/>
      <c r="C5" s="403">
        <v>0</v>
      </c>
      <c r="D5" s="403">
        <v>0</v>
      </c>
      <c r="E5" s="403">
        <v>0</v>
      </c>
      <c r="F5" s="403">
        <v>0</v>
      </c>
    </row>
    <row r="6" spans="1:6" ht="15.75" thickBot="1">
      <c r="A6" t="s">
        <v>475</v>
      </c>
      <c r="B6" s="206"/>
      <c r="C6" s="403">
        <f>+C5</f>
        <v>0</v>
      </c>
      <c r="D6" s="403">
        <f t="shared" ref="D6:F6" si="0">+D5</f>
        <v>0</v>
      </c>
      <c r="E6" s="403">
        <f t="shared" si="0"/>
        <v>0</v>
      </c>
      <c r="F6" s="403">
        <f t="shared" si="0"/>
        <v>0</v>
      </c>
    </row>
    <row r="7" spans="1:6" ht="16.5" thickTop="1">
      <c r="A7" s="149" t="s">
        <v>51</v>
      </c>
      <c r="B7" s="207"/>
      <c r="C7" s="404">
        <f>SUM(C4:C6)</f>
        <v>0</v>
      </c>
      <c r="D7" s="404">
        <f>SUM(D4:D6)</f>
        <v>0</v>
      </c>
      <c r="E7" s="404">
        <f>SUM(E4:E6)</f>
        <v>0</v>
      </c>
      <c r="F7" s="405">
        <f>SUM(F4:F6)</f>
        <v>0</v>
      </c>
    </row>
    <row r="8" spans="1:6">
      <c r="A8" s="146"/>
      <c r="B8" s="61"/>
      <c r="C8" s="61"/>
      <c r="D8" s="61"/>
      <c r="E8" s="61"/>
      <c r="F8" s="152"/>
    </row>
    <row r="9" spans="1:6">
      <c r="A9" t="s">
        <v>421</v>
      </c>
      <c r="B9" s="155"/>
      <c r="C9" s="156"/>
      <c r="D9" s="156"/>
      <c r="E9" s="156"/>
      <c r="F9" s="157"/>
    </row>
    <row r="10" spans="1:6">
      <c r="A10" t="s">
        <v>473</v>
      </c>
      <c r="B10" s="153"/>
      <c r="C10" s="153"/>
      <c r="D10" s="153"/>
      <c r="E10" s="153"/>
      <c r="F10" s="153"/>
    </row>
    <row r="11" spans="1:6">
      <c r="A11" t="str">
        <f>+A5</f>
        <v>service 2</v>
      </c>
      <c r="B11" s="153"/>
      <c r="C11" s="153"/>
      <c r="D11" s="153"/>
      <c r="E11" s="153"/>
      <c r="F11" s="153"/>
    </row>
    <row r="12" spans="1:6">
      <c r="A12" t="str">
        <f>+A6</f>
        <v xml:space="preserve">service 3 </v>
      </c>
      <c r="B12" s="153"/>
      <c r="C12" s="153"/>
      <c r="D12" s="153"/>
      <c r="E12" s="153"/>
      <c r="F12" s="153"/>
    </row>
    <row r="13" spans="1:6">
      <c r="A13" s="146"/>
      <c r="B13" s="158"/>
      <c r="C13" s="158"/>
      <c r="D13" s="158"/>
      <c r="E13" s="158"/>
      <c r="F13" s="159"/>
    </row>
    <row r="14" spans="1:6" ht="15.75">
      <c r="A14" s="149" t="s">
        <v>422</v>
      </c>
      <c r="B14" s="158"/>
      <c r="C14" s="158"/>
      <c r="D14" s="158"/>
      <c r="E14" s="158"/>
      <c r="F14" s="159"/>
    </row>
    <row r="15" spans="1:6">
      <c r="A15" t="s">
        <v>473</v>
      </c>
      <c r="B15" s="153"/>
      <c r="C15" s="153">
        <f t="shared" ref="C15:F16" si="1">C10*C4</f>
        <v>0</v>
      </c>
      <c r="D15" s="153">
        <f t="shared" si="1"/>
        <v>0</v>
      </c>
      <c r="E15" s="153">
        <f t="shared" si="1"/>
        <v>0</v>
      </c>
      <c r="F15" s="154">
        <f t="shared" si="1"/>
        <v>0</v>
      </c>
    </row>
    <row r="16" spans="1:6">
      <c r="A16" t="s">
        <v>474</v>
      </c>
      <c r="B16" s="208"/>
      <c r="C16" s="153">
        <f t="shared" si="1"/>
        <v>0</v>
      </c>
      <c r="D16" s="153">
        <f t="shared" si="1"/>
        <v>0</v>
      </c>
      <c r="E16" s="153">
        <f t="shared" si="1"/>
        <v>0</v>
      </c>
      <c r="F16" s="154">
        <f t="shared" si="1"/>
        <v>0</v>
      </c>
    </row>
    <row r="17" spans="1:6" ht="15.75" thickBot="1">
      <c r="A17" t="s">
        <v>475</v>
      </c>
      <c r="B17" s="59"/>
      <c r="C17" s="59">
        <f>C6*C12</f>
        <v>0</v>
      </c>
      <c r="D17" s="59">
        <f>D6*D12</f>
        <v>0</v>
      </c>
      <c r="E17" s="59">
        <f>E6*E12</f>
        <v>0</v>
      </c>
      <c r="F17" s="160">
        <f>F6*F12</f>
        <v>0</v>
      </c>
    </row>
    <row r="18" spans="1:6" ht="17.25" thickTop="1" thickBot="1">
      <c r="A18" s="161" t="s">
        <v>390</v>
      </c>
      <c r="B18" s="162"/>
      <c r="C18" s="162">
        <f>SUM(C15:C17)</f>
        <v>0</v>
      </c>
      <c r="D18" s="162">
        <f>SUM(D15:D17)</f>
        <v>0</v>
      </c>
      <c r="E18" s="162">
        <f>SUM(E15:E17)</f>
        <v>0</v>
      </c>
      <c r="F18" s="163">
        <f>SUM(F15:F17)</f>
        <v>0</v>
      </c>
    </row>
    <row r="19" spans="1:6" ht="15.75" thickTop="1">
      <c r="B19" s="12"/>
      <c r="C19" s="12"/>
      <c r="D19" s="12"/>
      <c r="E19" s="12"/>
      <c r="F19" s="12"/>
    </row>
    <row r="20" spans="1:6">
      <c r="B20" s="12"/>
      <c r="C20" s="12"/>
      <c r="D20" s="12"/>
      <c r="E20" s="12"/>
      <c r="F20" s="12"/>
    </row>
    <row r="21" spans="1:6">
      <c r="A21"/>
      <c r="B21"/>
      <c r="C21"/>
      <c r="D21"/>
      <c r="E21"/>
      <c r="F21"/>
    </row>
    <row r="22" spans="1:6">
      <c r="A22" s="164" t="s">
        <v>423</v>
      </c>
      <c r="B22" s="181"/>
      <c r="C22" s="181"/>
      <c r="D22" s="181"/>
      <c r="E22" s="181"/>
      <c r="F22" s="181"/>
    </row>
    <row r="23" spans="1:6">
      <c r="A23" t="s">
        <v>306</v>
      </c>
      <c r="B23" s="227"/>
      <c r="C23" s="227">
        <v>0</v>
      </c>
      <c r="D23" s="227">
        <v>0</v>
      </c>
      <c r="E23" s="227">
        <v>0</v>
      </c>
      <c r="F23" s="227">
        <v>0</v>
      </c>
    </row>
    <row r="24" spans="1:6">
      <c r="A24" t="s">
        <v>307</v>
      </c>
      <c r="B24" s="227"/>
      <c r="C24" s="227">
        <v>0</v>
      </c>
      <c r="D24" s="227">
        <v>0</v>
      </c>
      <c r="E24" s="227">
        <v>0</v>
      </c>
      <c r="F24" s="227">
        <v>0</v>
      </c>
    </row>
    <row r="25" spans="1:6">
      <c r="A25" t="s">
        <v>308</v>
      </c>
      <c r="B25" s="227"/>
      <c r="C25" s="227"/>
      <c r="D25" s="227"/>
      <c r="E25" s="227">
        <v>0</v>
      </c>
      <c r="F25" s="227">
        <v>0</v>
      </c>
    </row>
    <row r="26" spans="1:6">
      <c r="A26" s="164"/>
      <c r="B26" s="208"/>
      <c r="C26" s="208"/>
      <c r="D26" s="208"/>
      <c r="E26" s="208"/>
      <c r="F26" s="208"/>
    </row>
    <row r="27" spans="1:6">
      <c r="A27" s="164" t="s">
        <v>424</v>
      </c>
      <c r="B27" s="208"/>
      <c r="C27" s="208"/>
      <c r="D27" s="208"/>
      <c r="E27" s="208"/>
      <c r="F27" s="208"/>
    </row>
    <row r="28" spans="1:6">
      <c r="A28" t="str">
        <f>+A23</f>
        <v>Unitary COGS serv 1</v>
      </c>
      <c r="B28" s="208"/>
      <c r="C28" s="153">
        <f t="shared" ref="C28:F30" si="2">C23*C4</f>
        <v>0</v>
      </c>
      <c r="D28" s="153">
        <f t="shared" si="2"/>
        <v>0</v>
      </c>
      <c r="E28" s="153">
        <f t="shared" si="2"/>
        <v>0</v>
      </c>
      <c r="F28" s="153">
        <f t="shared" si="2"/>
        <v>0</v>
      </c>
    </row>
    <row r="29" spans="1:6">
      <c r="A29" t="str">
        <f t="shared" ref="A29:A30" si="3">+A24</f>
        <v>Unitary COGS serv 2</v>
      </c>
      <c r="B29" s="153"/>
      <c r="C29" s="153">
        <f t="shared" si="2"/>
        <v>0</v>
      </c>
      <c r="D29" s="153">
        <f t="shared" si="2"/>
        <v>0</v>
      </c>
      <c r="E29" s="153">
        <f t="shared" si="2"/>
        <v>0</v>
      </c>
      <c r="F29" s="153">
        <f t="shared" si="2"/>
        <v>0</v>
      </c>
    </row>
    <row r="30" spans="1:6" ht="15.75" thickBot="1">
      <c r="A30" t="str">
        <f t="shared" si="3"/>
        <v>Unitary COGS serv 3</v>
      </c>
      <c r="B30" s="208"/>
      <c r="C30" s="153">
        <f t="shared" si="2"/>
        <v>0</v>
      </c>
      <c r="D30" s="153">
        <f t="shared" si="2"/>
        <v>0</v>
      </c>
      <c r="E30" s="153">
        <f t="shared" si="2"/>
        <v>0</v>
      </c>
      <c r="F30" s="153">
        <f t="shared" si="2"/>
        <v>0</v>
      </c>
    </row>
    <row r="31" spans="1:6" s="58" customFormat="1" ht="16.5" thickTop="1">
      <c r="A31" s="182" t="s">
        <v>390</v>
      </c>
      <c r="B31" s="228"/>
      <c r="C31" s="228">
        <f>SUM(C28:C30)</f>
        <v>0</v>
      </c>
      <c r="D31" s="228">
        <f t="shared" ref="D31:F31" si="4">SUM(D28:D30)</f>
        <v>0</v>
      </c>
      <c r="E31" s="228">
        <f t="shared" si="4"/>
        <v>0</v>
      </c>
      <c r="F31" s="228">
        <f t="shared" si="4"/>
        <v>0</v>
      </c>
    </row>
    <row r="32" spans="1:6">
      <c r="B32" s="12"/>
      <c r="C32" s="12"/>
      <c r="D32" s="12"/>
      <c r="E32" s="12"/>
      <c r="F32" s="12"/>
    </row>
    <row r="33" spans="1:8">
      <c r="A33"/>
      <c r="B33"/>
      <c r="C33"/>
      <c r="D33"/>
      <c r="E33"/>
      <c r="F33"/>
    </row>
    <row r="34" spans="1:8">
      <c r="A34" s="164" t="s">
        <v>425</v>
      </c>
      <c r="B34" s="230"/>
      <c r="C34" s="355">
        <v>0</v>
      </c>
      <c r="D34" s="355">
        <v>0</v>
      </c>
      <c r="E34" s="355">
        <v>0</v>
      </c>
      <c r="F34" s="355">
        <v>0</v>
      </c>
    </row>
    <row r="35" spans="1:8">
      <c r="A35" s="164" t="s">
        <v>426</v>
      </c>
      <c r="B35" s="230"/>
      <c r="C35" s="355">
        <v>0</v>
      </c>
      <c r="D35" s="355">
        <v>0</v>
      </c>
      <c r="E35" s="355">
        <v>0</v>
      </c>
      <c r="F35" s="355">
        <v>0</v>
      </c>
    </row>
    <row r="36" spans="1:8">
      <c r="A36" s="164" t="s">
        <v>427</v>
      </c>
      <c r="B36" s="230"/>
      <c r="C36" s="355">
        <v>0</v>
      </c>
      <c r="D36" s="355">
        <v>0</v>
      </c>
      <c r="E36" s="355">
        <v>0</v>
      </c>
      <c r="F36" s="355">
        <v>0</v>
      </c>
    </row>
    <row r="37" spans="1:8">
      <c r="A37" s="164"/>
      <c r="B37" s="208"/>
      <c r="C37" s="208"/>
      <c r="D37" s="208"/>
      <c r="E37" s="208"/>
      <c r="F37" s="208"/>
    </row>
    <row r="38" spans="1:8">
      <c r="A38" s="164" t="s">
        <v>428</v>
      </c>
      <c r="B38" s="208"/>
      <c r="C38" s="208">
        <f t="shared" ref="C38:F40" si="5">C34*C15</f>
        <v>0</v>
      </c>
      <c r="D38" s="208">
        <f t="shared" si="5"/>
        <v>0</v>
      </c>
      <c r="E38" s="208">
        <f t="shared" si="5"/>
        <v>0</v>
      </c>
      <c r="F38" s="208">
        <f>F34*F15</f>
        <v>0</v>
      </c>
    </row>
    <row r="39" spans="1:8">
      <c r="A39" s="164" t="s">
        <v>429</v>
      </c>
      <c r="B39" s="208"/>
      <c r="C39" s="208">
        <f t="shared" si="5"/>
        <v>0</v>
      </c>
      <c r="D39" s="208">
        <f t="shared" si="5"/>
        <v>0</v>
      </c>
      <c r="E39" s="208">
        <f t="shared" si="5"/>
        <v>0</v>
      </c>
      <c r="F39" s="208">
        <f t="shared" si="5"/>
        <v>0</v>
      </c>
    </row>
    <row r="40" spans="1:8">
      <c r="A40" s="164" t="s">
        <v>430</v>
      </c>
      <c r="B40" s="208"/>
      <c r="C40" s="208">
        <f t="shared" si="5"/>
        <v>0</v>
      </c>
      <c r="D40" s="208">
        <f t="shared" si="5"/>
        <v>0</v>
      </c>
      <c r="E40" s="208">
        <f t="shared" si="5"/>
        <v>0</v>
      </c>
      <c r="F40" s="208">
        <f t="shared" si="5"/>
        <v>0</v>
      </c>
    </row>
    <row r="41" spans="1:8" ht="15.75">
      <c r="A41" s="182" t="s">
        <v>431</v>
      </c>
      <c r="B41" s="231"/>
      <c r="C41" s="231">
        <f t="shared" ref="C41:F41" si="6">SUM(C38:C40)</f>
        <v>0</v>
      </c>
      <c r="D41" s="231">
        <f t="shared" si="6"/>
        <v>0</v>
      </c>
      <c r="E41" s="231">
        <f t="shared" si="6"/>
        <v>0</v>
      </c>
      <c r="F41" s="231">
        <f t="shared" si="6"/>
        <v>0</v>
      </c>
    </row>
    <row r="42" spans="1:8">
      <c r="B42" s="12"/>
      <c r="C42" s="12"/>
      <c r="D42" s="12"/>
      <c r="E42" s="12"/>
      <c r="F42" s="12"/>
    </row>
    <row r="43" spans="1:8">
      <c r="A43"/>
      <c r="B43"/>
      <c r="C43"/>
      <c r="D43"/>
      <c r="E43"/>
      <c r="F43"/>
      <c r="G43"/>
      <c r="H43"/>
    </row>
    <row r="44" spans="1:8" s="13" customFormat="1">
      <c r="A44" s="183" t="s">
        <v>432</v>
      </c>
      <c r="B44" s="184"/>
      <c r="C44" s="184"/>
      <c r="D44" s="307"/>
      <c r="E44" s="307"/>
      <c r="F44" s="307"/>
      <c r="G44" s="174"/>
      <c r="H44" s="174"/>
    </row>
    <row r="45" spans="1:8" ht="135">
      <c r="A45" s="20" t="s">
        <v>373</v>
      </c>
      <c r="B45" s="185">
        <f>B7*H45*H46</f>
        <v>0</v>
      </c>
      <c r="C45" s="185">
        <f>C7*H45*H46</f>
        <v>0</v>
      </c>
      <c r="D45" s="185">
        <f>(C7+D7)*H45*H46</f>
        <v>0</v>
      </c>
      <c r="E45" s="185">
        <f>(C7+D7+E7)*H45*H46</f>
        <v>0</v>
      </c>
      <c r="F45" s="185">
        <f>(C7+D7+E7+F7)*H46*H45</f>
        <v>0</v>
      </c>
      <c r="G45" s="186" t="s">
        <v>304</v>
      </c>
      <c r="H45" s="187">
        <v>0</v>
      </c>
    </row>
    <row r="46" spans="1:8">
      <c r="A46" s="164"/>
      <c r="B46" s="184"/>
      <c r="C46" s="184"/>
      <c r="D46" s="184"/>
      <c r="E46" s="184"/>
      <c r="F46" s="184"/>
      <c r="G46" s="184"/>
      <c r="H46" s="188">
        <v>0</v>
      </c>
    </row>
    <row r="47" spans="1:8">
      <c r="A47" s="164"/>
      <c r="B47" s="189"/>
      <c r="C47" s="189"/>
      <c r="D47" s="189"/>
      <c r="E47" s="189"/>
      <c r="F47" s="189"/>
      <c r="G47" s="174"/>
      <c r="H47" s="174"/>
    </row>
    <row r="48" spans="1:8" ht="30">
      <c r="A48" s="20" t="s">
        <v>433</v>
      </c>
      <c r="B48" s="189">
        <f>'Modello ricavi'!B4*$H$49*$H$48</f>
        <v>0</v>
      </c>
      <c r="C48" s="189">
        <f>'Modello ricavi'!C7*$H$49*$H$48</f>
        <v>0</v>
      </c>
      <c r="D48" s="189">
        <f>('Modello ricavi'!C7+'Modello ricavi'!D7)*$H$49*$H$48</f>
        <v>0</v>
      </c>
      <c r="E48" s="189">
        <f>('Modello ricavi'!C7+'Modello ricavi'!D7+'Modello ricavi'!E7)*$H$49*$H$48</f>
        <v>0</v>
      </c>
      <c r="F48" s="189">
        <f>('Modello ricavi'!C7+'Modello ricavi'!D7+'Modello ricavi'!E7+'Modello ricavi'!F7)*$H$49*$H$48</f>
        <v>0</v>
      </c>
      <c r="G48" s="186" t="s">
        <v>434</v>
      </c>
      <c r="H48" s="187">
        <v>0</v>
      </c>
    </row>
    <row r="49" spans="1:8" ht="45">
      <c r="A49" s="190"/>
      <c r="B49" s="189"/>
      <c r="C49" s="189"/>
      <c r="D49" s="189"/>
      <c r="E49" s="189"/>
      <c r="F49" s="189"/>
      <c r="G49" s="186" t="s">
        <v>57</v>
      </c>
      <c r="H49" s="191">
        <v>0</v>
      </c>
    </row>
  </sheetData>
  <mergeCells count="1">
    <mergeCell ref="A1:F1"/>
  </mergeCells>
  <printOptions gridLines="1"/>
  <pageMargins left="0.7" right="0.7" top="0.75" bottom="0.75" header="0.3" footer="0.3"/>
  <pageSetup paperSize="9" scale="53" orientation="landscape" r:id="rId1"/>
  <tableParts count="4"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0"/>
  <sheetViews>
    <sheetView topLeftCell="A23" zoomScale="110" zoomScaleNormal="110" workbookViewId="0">
      <selection activeCell="H24" sqref="H24:K24"/>
    </sheetView>
  </sheetViews>
  <sheetFormatPr defaultColWidth="9.140625" defaultRowHeight="15"/>
  <cols>
    <col min="1" max="1" width="20" customWidth="1"/>
    <col min="2" max="2" width="32.42578125" style="9" bestFit="1" customWidth="1"/>
    <col min="3" max="3" width="2.28515625" style="9" customWidth="1"/>
    <col min="4" max="4" width="14.42578125" style="8" bestFit="1" customWidth="1"/>
    <col min="5" max="5" width="2.28515625" style="8" customWidth="1"/>
    <col min="6" max="6" width="9.7109375" bestFit="1" customWidth="1"/>
    <col min="7" max="7" width="5.140625" customWidth="1"/>
    <col min="8" max="11" width="13.7109375" bestFit="1" customWidth="1"/>
  </cols>
  <sheetData>
    <row r="1" spans="1:11" ht="15.75" thickBot="1">
      <c r="A1" s="493" t="s">
        <v>29</v>
      </c>
      <c r="B1" s="494"/>
      <c r="C1" s="37"/>
      <c r="D1" s="39"/>
      <c r="E1" s="39"/>
      <c r="F1" s="383"/>
      <c r="G1" s="384"/>
      <c r="H1" s="487" t="s">
        <v>12</v>
      </c>
      <c r="I1" s="488"/>
      <c r="J1" s="488"/>
      <c r="K1" s="489"/>
    </row>
    <row r="2" spans="1:11" ht="15.75" thickBot="1">
      <c r="A2" s="21" t="s">
        <v>30</v>
      </c>
      <c r="B2" s="16" t="s">
        <v>31</v>
      </c>
      <c r="C2" s="20"/>
      <c r="D2" s="38" t="s">
        <v>32</v>
      </c>
      <c r="E2" s="39"/>
      <c r="F2" s="17" t="s">
        <v>317</v>
      </c>
      <c r="G2" s="386"/>
      <c r="H2" s="396" t="s">
        <v>52</v>
      </c>
      <c r="I2" s="396" t="s">
        <v>54</v>
      </c>
      <c r="J2" s="396" t="s">
        <v>55</v>
      </c>
      <c r="K2" s="397" t="s">
        <v>56</v>
      </c>
    </row>
    <row r="3" spans="1:11" ht="15.75" thickBot="1">
      <c r="C3" s="20"/>
      <c r="D3" s="39"/>
      <c r="E3" s="39"/>
      <c r="G3" s="387"/>
    </row>
    <row r="4" spans="1:11" ht="90" customHeight="1">
      <c r="A4" s="490" t="s">
        <v>24</v>
      </c>
      <c r="B4" s="23"/>
      <c r="C4" s="40"/>
      <c r="D4" s="42" t="s">
        <v>26</v>
      </c>
      <c r="E4" s="39"/>
      <c r="F4" s="293">
        <f>'Dettagli costi di struttura'!E19</f>
        <v>0</v>
      </c>
      <c r="G4" s="388"/>
      <c r="H4" s="293">
        <v>0</v>
      </c>
      <c r="I4" s="293">
        <v>0</v>
      </c>
      <c r="J4" s="293">
        <v>0</v>
      </c>
      <c r="K4" s="293">
        <v>0</v>
      </c>
    </row>
    <row r="5" spans="1:11" ht="15.75" thickBot="1">
      <c r="A5" s="492"/>
      <c r="B5" s="22"/>
      <c r="C5" s="20"/>
      <c r="D5" s="43"/>
      <c r="E5" s="39"/>
      <c r="F5" s="294"/>
      <c r="G5" s="389"/>
      <c r="H5" s="295"/>
      <c r="I5" s="295"/>
      <c r="J5" s="295"/>
      <c r="K5" s="296"/>
    </row>
    <row r="6" spans="1:11" ht="15.75" thickBot="1">
      <c r="C6" s="20"/>
      <c r="D6" s="39"/>
      <c r="E6" s="39"/>
      <c r="F6" s="297"/>
      <c r="G6" s="390"/>
      <c r="H6" s="297"/>
      <c r="I6" s="297"/>
      <c r="J6" s="297"/>
      <c r="K6" s="297"/>
    </row>
    <row r="7" spans="1:11" ht="92.25" customHeight="1">
      <c r="A7" s="490" t="s">
        <v>25</v>
      </c>
      <c r="B7" s="25" t="s">
        <v>309</v>
      </c>
      <c r="C7" s="20"/>
      <c r="D7" s="42" t="s">
        <v>26</v>
      </c>
      <c r="E7" s="39"/>
      <c r="F7" s="293">
        <v>0</v>
      </c>
      <c r="G7" s="388"/>
      <c r="H7" s="293">
        <v>0</v>
      </c>
      <c r="I7" s="293">
        <v>0</v>
      </c>
      <c r="J7" s="293">
        <v>0</v>
      </c>
      <c r="K7" s="293">
        <v>0</v>
      </c>
    </row>
    <row r="8" spans="1:11">
      <c r="A8" s="491"/>
      <c r="B8" s="24"/>
      <c r="C8" s="20"/>
      <c r="D8" s="44"/>
      <c r="E8" s="39"/>
      <c r="F8" s="298"/>
      <c r="G8" s="391"/>
      <c r="H8" s="299"/>
      <c r="I8" s="299"/>
      <c r="J8" s="299"/>
      <c r="K8" s="300"/>
    </row>
    <row r="9" spans="1:11">
      <c r="A9" s="491"/>
      <c r="B9" s="24" t="s">
        <v>86</v>
      </c>
      <c r="C9" s="20"/>
      <c r="D9" s="44"/>
      <c r="E9" s="39"/>
      <c r="F9" s="298">
        <v>0</v>
      </c>
      <c r="G9" s="392"/>
      <c r="H9" s="298">
        <v>0</v>
      </c>
      <c r="I9" s="298">
        <v>0</v>
      </c>
      <c r="J9" s="298">
        <v>0</v>
      </c>
      <c r="K9" s="298">
        <v>0</v>
      </c>
    </row>
    <row r="10" spans="1:11">
      <c r="A10" s="491"/>
      <c r="B10" s="24"/>
      <c r="C10" s="20"/>
      <c r="D10" s="44"/>
      <c r="E10" s="39"/>
      <c r="F10" s="298"/>
      <c r="G10" s="391"/>
      <c r="H10" s="299"/>
      <c r="I10" s="299"/>
      <c r="J10" s="299"/>
      <c r="K10" s="300"/>
    </row>
    <row r="11" spans="1:11" ht="15.75" thickBot="1">
      <c r="A11" s="492"/>
      <c r="B11" s="26" t="s">
        <v>85</v>
      </c>
      <c r="C11" s="41"/>
      <c r="D11" s="44" t="s">
        <v>26</v>
      </c>
      <c r="E11" s="39"/>
      <c r="F11" s="298">
        <f>'Dettagli costi di struttura'!E39+'Dettagli costi di struttura'!E40</f>
        <v>0</v>
      </c>
      <c r="G11" s="392"/>
      <c r="H11" s="298">
        <v>0</v>
      </c>
      <c r="I11" s="298">
        <v>0</v>
      </c>
      <c r="J11" s="298">
        <v>0</v>
      </c>
      <c r="K11" s="298">
        <v>0</v>
      </c>
    </row>
    <row r="12" spans="1:11" ht="15.75" thickBot="1">
      <c r="B12" s="20"/>
      <c r="C12" s="20"/>
      <c r="D12" s="39"/>
      <c r="E12" s="39"/>
      <c r="F12" s="301"/>
      <c r="G12" s="393"/>
      <c r="H12" s="301"/>
      <c r="I12" s="301"/>
      <c r="J12" s="301"/>
      <c r="K12" s="301"/>
    </row>
    <row r="13" spans="1:11" ht="68.25" customHeight="1">
      <c r="A13" s="490" t="s">
        <v>20</v>
      </c>
      <c r="B13" s="25"/>
      <c r="C13" s="20"/>
      <c r="D13" s="42"/>
      <c r="E13" s="39"/>
      <c r="F13" s="293"/>
      <c r="G13" s="394"/>
      <c r="H13" s="302"/>
      <c r="I13" s="302"/>
      <c r="J13" s="302"/>
      <c r="K13" s="303"/>
    </row>
    <row r="14" spans="1:11" ht="53.25" customHeight="1" thickBot="1">
      <c r="A14" s="492"/>
      <c r="B14" s="22"/>
      <c r="C14" s="20"/>
      <c r="D14" s="43"/>
      <c r="E14" s="39"/>
      <c r="F14" s="294"/>
      <c r="G14" s="389"/>
      <c r="H14" s="295"/>
      <c r="I14" s="295"/>
      <c r="J14" s="295"/>
      <c r="K14" s="296"/>
    </row>
    <row r="15" spans="1:11" ht="15.75" thickBot="1">
      <c r="A15" s="9"/>
      <c r="C15" s="20"/>
      <c r="D15" s="39"/>
      <c r="E15" s="39"/>
      <c r="F15" s="297"/>
      <c r="G15" s="390"/>
      <c r="H15" s="297"/>
      <c r="I15" s="297"/>
      <c r="J15" s="297"/>
      <c r="K15" s="297"/>
    </row>
    <row r="16" spans="1:11" ht="60" customHeight="1">
      <c r="A16" s="490" t="s">
        <v>21</v>
      </c>
      <c r="B16" s="25"/>
      <c r="C16" s="20"/>
      <c r="D16" s="42"/>
      <c r="E16" s="39"/>
      <c r="F16" s="293"/>
      <c r="G16" s="388"/>
      <c r="H16" s="293"/>
      <c r="I16" s="293"/>
      <c r="J16" s="293"/>
      <c r="K16" s="293"/>
    </row>
    <row r="17" spans="1:11">
      <c r="A17" s="491"/>
      <c r="G17" s="387"/>
    </row>
    <row r="18" spans="1:11" ht="15.75" thickBot="1">
      <c r="A18" s="492"/>
      <c r="B18" s="22"/>
      <c r="C18" s="20"/>
      <c r="D18" s="43"/>
      <c r="E18" s="39"/>
      <c r="F18" s="294"/>
      <c r="G18" s="389"/>
      <c r="H18" s="295"/>
      <c r="I18" s="295"/>
      <c r="J18" s="295"/>
      <c r="K18" s="296"/>
    </row>
    <row r="19" spans="1:11" ht="15.75" thickBot="1">
      <c r="A19" s="9"/>
      <c r="C19" s="20"/>
      <c r="D19" s="39"/>
      <c r="E19" s="39"/>
      <c r="F19" s="297"/>
      <c r="G19" s="390"/>
      <c r="H19" s="297"/>
      <c r="I19" s="297"/>
      <c r="J19" s="297"/>
      <c r="K19" s="297"/>
    </row>
    <row r="20" spans="1:11" ht="15.75" thickBot="1">
      <c r="A20" s="490" t="s">
        <v>22</v>
      </c>
      <c r="B20" s="27" t="s">
        <v>81</v>
      </c>
      <c r="C20" s="41"/>
      <c r="D20" s="42" t="s">
        <v>27</v>
      </c>
      <c r="E20" s="39"/>
      <c r="F20" s="293"/>
      <c r="G20" s="388"/>
      <c r="H20" s="293">
        <v>0</v>
      </c>
      <c r="I20" s="293">
        <v>0</v>
      </c>
      <c r="J20" s="293">
        <v>0</v>
      </c>
      <c r="K20" s="293">
        <v>0</v>
      </c>
    </row>
    <row r="21" spans="1:11" ht="45.75" thickBot="1">
      <c r="A21" s="491"/>
      <c r="B21" s="24" t="s">
        <v>28</v>
      </c>
      <c r="C21" s="20"/>
      <c r="D21" s="44" t="s">
        <v>27</v>
      </c>
      <c r="E21" s="39"/>
      <c r="F21" s="298"/>
      <c r="G21" s="392"/>
      <c r="H21" s="293">
        <v>0</v>
      </c>
      <c r="I21" s="293">
        <v>0</v>
      </c>
      <c r="J21" s="293">
        <v>0</v>
      </c>
      <c r="K21" s="293">
        <v>0</v>
      </c>
    </row>
    <row r="22" spans="1:11" ht="60" customHeight="1" thickBot="1">
      <c r="A22" s="492"/>
      <c r="B22" s="22" t="s">
        <v>483</v>
      </c>
      <c r="C22" s="20"/>
      <c r="D22" s="43" t="s">
        <v>80</v>
      </c>
      <c r="E22" s="39"/>
      <c r="F22" s="294"/>
      <c r="G22" s="395"/>
      <c r="H22" s="293">
        <v>0</v>
      </c>
      <c r="I22" s="293">
        <v>0</v>
      </c>
      <c r="J22" s="293">
        <v>0</v>
      </c>
      <c r="K22" s="293">
        <v>0</v>
      </c>
    </row>
    <row r="23" spans="1:11" ht="15.75" thickBot="1">
      <c r="A23" s="9"/>
      <c r="C23" s="20"/>
      <c r="D23" s="39"/>
      <c r="E23" s="39"/>
      <c r="F23" s="297"/>
      <c r="G23" s="390"/>
      <c r="H23" s="297"/>
      <c r="I23" s="297"/>
      <c r="J23" s="297"/>
      <c r="K23" s="297"/>
    </row>
    <row r="24" spans="1:11" ht="57.75" customHeight="1">
      <c r="A24" s="490" t="s">
        <v>23</v>
      </c>
      <c r="B24" s="25"/>
      <c r="C24" s="20"/>
      <c r="D24" s="42" t="s">
        <v>43</v>
      </c>
      <c r="E24" s="39"/>
      <c r="F24" s="293">
        <f>'Dettagli costi di struttura'!E42+'Dettagli costi di struttura'!E43</f>
        <v>0</v>
      </c>
      <c r="G24" s="388"/>
      <c r="H24" s="293"/>
      <c r="I24" s="293"/>
      <c r="J24" s="293"/>
      <c r="K24" s="293"/>
    </row>
    <row r="25" spans="1:11" ht="51" customHeight="1" thickBot="1">
      <c r="A25" s="492"/>
      <c r="B25" s="22"/>
      <c r="C25" s="20"/>
      <c r="D25" s="43"/>
      <c r="E25" s="39"/>
      <c r="F25" s="294"/>
      <c r="G25" s="389"/>
      <c r="H25" s="295"/>
      <c r="I25" s="295"/>
      <c r="J25" s="295"/>
      <c r="K25" s="296"/>
    </row>
    <row r="26" spans="1:11" ht="15.75" thickBot="1">
      <c r="A26" s="9"/>
      <c r="C26" s="20"/>
      <c r="D26" s="39"/>
      <c r="E26" s="39"/>
      <c r="F26" s="297"/>
      <c r="G26" s="390"/>
      <c r="H26" s="297"/>
      <c r="I26" s="297"/>
      <c r="J26" s="297"/>
      <c r="K26" s="297"/>
    </row>
    <row r="27" spans="1:11" ht="30" customHeight="1">
      <c r="A27" s="490" t="s">
        <v>18</v>
      </c>
      <c r="B27" s="25"/>
      <c r="C27" s="20"/>
      <c r="D27" s="42"/>
      <c r="E27" s="39"/>
      <c r="F27" s="293"/>
      <c r="G27" s="394"/>
      <c r="H27" s="302"/>
      <c r="I27" s="302"/>
      <c r="J27" s="302"/>
      <c r="K27" s="303"/>
    </row>
    <row r="28" spans="1:11" ht="15.75" thickBot="1">
      <c r="A28" s="492"/>
      <c r="B28" s="22"/>
      <c r="C28" s="20"/>
      <c r="D28" s="43"/>
      <c r="E28" s="39"/>
      <c r="F28" s="294"/>
      <c r="G28" s="389"/>
      <c r="H28" s="295"/>
      <c r="I28" s="295"/>
      <c r="J28" s="295"/>
      <c r="K28" s="296"/>
    </row>
    <row r="29" spans="1:11" ht="15.75" thickBot="1">
      <c r="C29" s="20"/>
      <c r="D29" s="39"/>
      <c r="E29" s="39"/>
      <c r="F29" s="297"/>
      <c r="G29" s="297"/>
      <c r="H29" s="297"/>
      <c r="I29" s="297"/>
      <c r="J29" s="297"/>
      <c r="K29" s="297"/>
    </row>
    <row r="30" spans="1:11" ht="15.75" thickBot="1">
      <c r="B30" s="16" t="s">
        <v>19</v>
      </c>
      <c r="C30" s="20"/>
      <c r="D30" s="39"/>
      <c r="E30" s="39"/>
      <c r="F30" s="304">
        <f>SUM(F4:F28)</f>
        <v>0</v>
      </c>
      <c r="G30" s="385"/>
      <c r="H30" s="305">
        <f t="shared" ref="H30:K30" si="0">SUM(H4:H28)</f>
        <v>0</v>
      </c>
      <c r="I30" s="305">
        <f t="shared" si="0"/>
        <v>0</v>
      </c>
      <c r="J30" s="305">
        <f t="shared" si="0"/>
        <v>0</v>
      </c>
      <c r="K30" s="306">
        <f t="shared" si="0"/>
        <v>0</v>
      </c>
    </row>
  </sheetData>
  <mergeCells count="9">
    <mergeCell ref="H1:K1"/>
    <mergeCell ref="A16:A18"/>
    <mergeCell ref="A20:A22"/>
    <mergeCell ref="A24:A25"/>
    <mergeCell ref="A27:A28"/>
    <mergeCell ref="A1:B1"/>
    <mergeCell ref="A4:A5"/>
    <mergeCell ref="A7:A11"/>
    <mergeCell ref="A13:A14"/>
  </mergeCells>
  <pageMargins left="0.7" right="0.7" top="0.75" bottom="0.75" header="0.3" footer="0.3"/>
  <pageSetup paperSize="9" scale="9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3"/>
  <sheetViews>
    <sheetView workbookViewId="0">
      <selection activeCell="J19" sqref="J19"/>
    </sheetView>
  </sheetViews>
  <sheetFormatPr defaultColWidth="9.140625" defaultRowHeight="15"/>
  <cols>
    <col min="1" max="1" width="23.7109375" style="5" bestFit="1" customWidth="1"/>
    <col min="2" max="2" width="3.28515625" customWidth="1"/>
    <col min="3" max="5" width="13.140625" bestFit="1" customWidth="1"/>
    <col min="6" max="6" width="12" bestFit="1" customWidth="1"/>
    <col min="7" max="7" width="13.140625" bestFit="1" customWidth="1"/>
    <col min="8" max="10" width="12" bestFit="1" customWidth="1"/>
    <col min="11" max="12" width="10.42578125" bestFit="1" customWidth="1"/>
  </cols>
  <sheetData>
    <row r="1" spans="1:12" ht="15.75" thickBot="1">
      <c r="A1" s="115"/>
      <c r="B1" s="20"/>
      <c r="C1" s="17" t="s">
        <v>317</v>
      </c>
      <c r="D1" s="18" t="s">
        <v>318</v>
      </c>
      <c r="E1" s="18" t="s">
        <v>53</v>
      </c>
      <c r="F1" s="18" t="s">
        <v>54</v>
      </c>
      <c r="G1" s="19" t="s">
        <v>55</v>
      </c>
      <c r="H1" s="19" t="s">
        <v>72</v>
      </c>
      <c r="I1" s="19" t="s">
        <v>73</v>
      </c>
      <c r="J1" s="19" t="s">
        <v>74</v>
      </c>
      <c r="K1" s="19" t="s">
        <v>75</v>
      </c>
    </row>
    <row r="2" spans="1:12" ht="15.75" thickBot="1"/>
    <row r="3" spans="1:12" ht="15.75" thickBot="1">
      <c r="A3" s="46" t="s">
        <v>62</v>
      </c>
      <c r="C3" s="52">
        <f>'Piano Investimento'!F30</f>
        <v>0</v>
      </c>
      <c r="D3" s="52">
        <f>'Piano Investimento'!H30</f>
        <v>0</v>
      </c>
      <c r="E3" s="52">
        <f>'Piano Investimento'!I30</f>
        <v>0</v>
      </c>
      <c r="F3" s="52">
        <f>'Piano Investimento'!J30</f>
        <v>0</v>
      </c>
      <c r="G3" s="52">
        <f>'Piano Investimento'!K30</f>
        <v>0</v>
      </c>
    </row>
    <row r="4" spans="1:12" ht="15.75" thickBot="1">
      <c r="C4" s="55"/>
      <c r="D4" s="55"/>
      <c r="E4" s="55"/>
      <c r="F4" s="55"/>
      <c r="G4" s="55"/>
      <c r="L4" t="s">
        <v>301</v>
      </c>
    </row>
    <row r="5" spans="1:12" s="8" customFormat="1" ht="30.75" thickBot="1">
      <c r="A5" s="51" t="s">
        <v>63</v>
      </c>
      <c r="C5" s="53">
        <v>0</v>
      </c>
      <c r="D5" s="371">
        <f t="shared" ref="D5:H5" si="0">$C$3/5</f>
        <v>0</v>
      </c>
      <c r="E5" s="372">
        <f t="shared" si="0"/>
        <v>0</v>
      </c>
      <c r="F5" s="373">
        <f t="shared" si="0"/>
        <v>0</v>
      </c>
      <c r="G5" s="371">
        <f t="shared" si="0"/>
        <v>0</v>
      </c>
      <c r="H5" s="54">
        <f t="shared" si="0"/>
        <v>0</v>
      </c>
      <c r="I5" s="144"/>
      <c r="J5" s="144"/>
      <c r="K5" s="145"/>
      <c r="L5" s="12">
        <f>SUM(C5:K5)</f>
        <v>0</v>
      </c>
    </row>
    <row r="6" spans="1:12" s="8" customFormat="1" ht="30.75" thickBot="1">
      <c r="A6" s="51" t="s">
        <v>64</v>
      </c>
      <c r="C6" s="48"/>
      <c r="D6" s="374">
        <f>$D$3/5</f>
        <v>0</v>
      </c>
      <c r="E6" s="375">
        <f t="shared" ref="E6:H6" si="1">$D$3/5</f>
        <v>0</v>
      </c>
      <c r="F6" s="376">
        <f t="shared" si="1"/>
        <v>0</v>
      </c>
      <c r="G6" s="374">
        <f t="shared" si="1"/>
        <v>0</v>
      </c>
      <c r="H6" s="33">
        <f t="shared" si="1"/>
        <v>0</v>
      </c>
      <c r="I6" s="142"/>
      <c r="J6" s="142"/>
      <c r="K6" s="143"/>
      <c r="L6" s="12">
        <f t="shared" ref="L6:L9" si="2">SUM(C6:K6)</f>
        <v>0</v>
      </c>
    </row>
    <row r="7" spans="1:12" s="8" customFormat="1" ht="30.75" thickBot="1">
      <c r="A7" s="51" t="s">
        <v>65</v>
      </c>
      <c r="C7" s="48"/>
      <c r="D7" s="377"/>
      <c r="E7" s="375">
        <f>$E$3/5</f>
        <v>0</v>
      </c>
      <c r="F7" s="376">
        <f t="shared" ref="F7:I7" si="3">$E$3/5</f>
        <v>0</v>
      </c>
      <c r="G7" s="374">
        <f t="shared" si="3"/>
        <v>0</v>
      </c>
      <c r="H7" s="33">
        <f t="shared" si="3"/>
        <v>0</v>
      </c>
      <c r="I7" s="34">
        <f t="shared" si="3"/>
        <v>0</v>
      </c>
      <c r="J7" s="142"/>
      <c r="K7" s="143"/>
      <c r="L7" s="12">
        <f t="shared" si="2"/>
        <v>0</v>
      </c>
    </row>
    <row r="8" spans="1:12" s="8" customFormat="1" ht="30.75" thickBot="1">
      <c r="A8" s="51" t="s">
        <v>66</v>
      </c>
      <c r="C8" s="48"/>
      <c r="D8" s="377"/>
      <c r="E8" s="378"/>
      <c r="F8" s="376">
        <f>$F$3/5</f>
        <v>0</v>
      </c>
      <c r="G8" s="374">
        <f t="shared" ref="G8:J8" si="4">$F$3/5</f>
        <v>0</v>
      </c>
      <c r="H8" s="33">
        <f t="shared" si="4"/>
        <v>0</v>
      </c>
      <c r="I8" s="34">
        <f t="shared" si="4"/>
        <v>0</v>
      </c>
      <c r="J8" s="34">
        <f t="shared" si="4"/>
        <v>0</v>
      </c>
      <c r="K8" s="143"/>
      <c r="L8" s="12">
        <f t="shared" si="2"/>
        <v>0</v>
      </c>
    </row>
    <row r="9" spans="1:12" s="8" customFormat="1" ht="30.75" thickBot="1">
      <c r="A9" s="51" t="s">
        <v>67</v>
      </c>
      <c r="C9" s="49"/>
      <c r="D9" s="379"/>
      <c r="E9" s="380"/>
      <c r="F9" s="381"/>
      <c r="G9" s="382">
        <f>$G$3/5</f>
        <v>0</v>
      </c>
      <c r="H9" s="30">
        <f t="shared" ref="H9:K9" si="5">$G$3/5</f>
        <v>0</v>
      </c>
      <c r="I9" s="31">
        <f t="shared" si="5"/>
        <v>0</v>
      </c>
      <c r="J9" s="31">
        <f t="shared" si="5"/>
        <v>0</v>
      </c>
      <c r="K9" s="32">
        <f t="shared" si="5"/>
        <v>0</v>
      </c>
      <c r="L9" s="12">
        <f t="shared" si="2"/>
        <v>0</v>
      </c>
    </row>
    <row r="10" spans="1:12" ht="15.75" thickBot="1"/>
    <row r="11" spans="1:12" ht="15.75" thickBot="1">
      <c r="A11" s="46" t="s">
        <v>68</v>
      </c>
      <c r="C11" s="50">
        <f>SUM(C5:C10)</f>
        <v>0</v>
      </c>
      <c r="D11" s="28">
        <f t="shared" ref="D11:K11" si="6">SUM(D5:D10)</f>
        <v>0</v>
      </c>
      <c r="E11" s="28">
        <f t="shared" si="6"/>
        <v>0</v>
      </c>
      <c r="F11" s="28">
        <f t="shared" si="6"/>
        <v>0</v>
      </c>
      <c r="G11" s="29">
        <f t="shared" si="6"/>
        <v>0</v>
      </c>
      <c r="H11" s="29">
        <f t="shared" si="6"/>
        <v>0</v>
      </c>
      <c r="I11" s="29">
        <f t="shared" si="6"/>
        <v>0</v>
      </c>
      <c r="J11" s="29">
        <f t="shared" si="6"/>
        <v>0</v>
      </c>
      <c r="K11" s="29">
        <f t="shared" si="6"/>
        <v>0</v>
      </c>
    </row>
    <row r="12" spans="1:12" ht="15.75" thickBot="1"/>
    <row r="13" spans="1:12" s="8" customFormat="1" ht="45.75" thickBot="1">
      <c r="A13" s="21" t="s">
        <v>33</v>
      </c>
      <c r="C13" s="45">
        <f>C3-C11</f>
        <v>0</v>
      </c>
      <c r="D13" s="35">
        <f t="shared" ref="D13:G13" si="7">D3-D11</f>
        <v>0</v>
      </c>
      <c r="E13" s="35">
        <f t="shared" si="7"/>
        <v>0</v>
      </c>
      <c r="F13" s="35">
        <f t="shared" si="7"/>
        <v>0</v>
      </c>
      <c r="G13" s="36">
        <f t="shared" si="7"/>
        <v>0</v>
      </c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H12"/>
  <sheetViews>
    <sheetView workbookViewId="0">
      <selection activeCell="F12" sqref="F12"/>
    </sheetView>
  </sheetViews>
  <sheetFormatPr defaultRowHeight="15"/>
  <cols>
    <col min="4" max="4" width="46.7109375" customWidth="1"/>
    <col min="5" max="5" width="2.5703125" customWidth="1"/>
    <col min="6" max="6" width="11.5703125" bestFit="1" customWidth="1"/>
  </cols>
  <sheetData>
    <row r="3" spans="4:8" ht="15.75" thickBot="1"/>
    <row r="4" spans="4:8">
      <c r="D4" s="406" t="s">
        <v>478</v>
      </c>
      <c r="E4" s="407"/>
      <c r="F4" s="408">
        <v>0</v>
      </c>
    </row>
    <row r="5" spans="4:8">
      <c r="D5" s="409"/>
      <c r="E5" s="410"/>
      <c r="F5" s="411"/>
    </row>
    <row r="6" spans="4:8">
      <c r="D6" s="409" t="s">
        <v>489</v>
      </c>
      <c r="E6" s="410"/>
      <c r="F6" s="411"/>
    </row>
    <row r="7" spans="4:8">
      <c r="D7" s="409"/>
      <c r="E7" s="410"/>
      <c r="F7" s="411"/>
    </row>
    <row r="8" spans="4:8">
      <c r="D8" s="409" t="s">
        <v>441</v>
      </c>
      <c r="E8" s="410"/>
      <c r="F8" s="411">
        <v>0</v>
      </c>
      <c r="H8" t="s">
        <v>471</v>
      </c>
    </row>
    <row r="9" spans="4:8">
      <c r="D9" s="409"/>
      <c r="E9" s="410"/>
      <c r="F9" s="411"/>
    </row>
    <row r="10" spans="4:8" ht="15.75" thickBot="1">
      <c r="D10" s="412" t="s">
        <v>438</v>
      </c>
      <c r="E10" s="413"/>
      <c r="F10" s="414">
        <v>0</v>
      </c>
    </row>
    <row r="12" spans="4:8">
      <c r="D12" t="s">
        <v>481</v>
      </c>
      <c r="F12" s="465">
        <f>+F4+F8+F10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showGridLines="0" tabSelected="1" topLeftCell="A7" workbookViewId="0">
      <selection activeCell="Q45" sqref="Q45"/>
    </sheetView>
  </sheetViews>
  <sheetFormatPr defaultColWidth="11.42578125" defaultRowHeight="12.75"/>
  <cols>
    <col min="1" max="1" width="4.42578125" style="417" customWidth="1"/>
    <col min="2" max="2" width="19.28515625" style="417" customWidth="1"/>
    <col min="3" max="3" width="15" style="417" customWidth="1"/>
    <col min="4" max="5" width="13.7109375" style="417" customWidth="1"/>
    <col min="6" max="6" width="17.28515625" style="417" customWidth="1"/>
    <col min="7" max="7" width="15.42578125" style="417" customWidth="1"/>
    <col min="8" max="8" width="12.85546875" style="417" customWidth="1"/>
    <col min="9" max="9" width="13.85546875" style="417" customWidth="1"/>
    <col min="10" max="10" width="13.28515625" style="417" customWidth="1"/>
    <col min="11" max="11" width="14.28515625" style="417" customWidth="1"/>
    <col min="12" max="12" width="13.42578125" style="417" customWidth="1"/>
    <col min="13" max="13" width="12.28515625" style="417" customWidth="1"/>
    <col min="14" max="256" width="11.42578125" style="417"/>
    <col min="257" max="257" width="4.42578125" style="417" customWidth="1"/>
    <col min="258" max="258" width="19.28515625" style="417" customWidth="1"/>
    <col min="259" max="259" width="15" style="417" customWidth="1"/>
    <col min="260" max="261" width="13.7109375" style="417" customWidth="1"/>
    <col min="262" max="262" width="17.28515625" style="417" customWidth="1"/>
    <col min="263" max="263" width="15.42578125" style="417" customWidth="1"/>
    <col min="264" max="264" width="12.85546875" style="417" customWidth="1"/>
    <col min="265" max="265" width="13.85546875" style="417" customWidth="1"/>
    <col min="266" max="266" width="13.28515625" style="417" customWidth="1"/>
    <col min="267" max="267" width="14.28515625" style="417" customWidth="1"/>
    <col min="268" max="268" width="13.42578125" style="417" customWidth="1"/>
    <col min="269" max="269" width="12.28515625" style="417" customWidth="1"/>
    <col min="270" max="512" width="11.42578125" style="417"/>
    <col min="513" max="513" width="4.42578125" style="417" customWidth="1"/>
    <col min="514" max="514" width="19.28515625" style="417" customWidth="1"/>
    <col min="515" max="515" width="15" style="417" customWidth="1"/>
    <col min="516" max="517" width="13.7109375" style="417" customWidth="1"/>
    <col min="518" max="518" width="17.28515625" style="417" customWidth="1"/>
    <col min="519" max="519" width="15.42578125" style="417" customWidth="1"/>
    <col min="520" max="520" width="12.85546875" style="417" customWidth="1"/>
    <col min="521" max="521" width="13.85546875" style="417" customWidth="1"/>
    <col min="522" max="522" width="13.28515625" style="417" customWidth="1"/>
    <col min="523" max="523" width="14.28515625" style="417" customWidth="1"/>
    <col min="524" max="524" width="13.42578125" style="417" customWidth="1"/>
    <col min="525" max="525" width="12.28515625" style="417" customWidth="1"/>
    <col min="526" max="768" width="11.42578125" style="417"/>
    <col min="769" max="769" width="4.42578125" style="417" customWidth="1"/>
    <col min="770" max="770" width="19.28515625" style="417" customWidth="1"/>
    <col min="771" max="771" width="15" style="417" customWidth="1"/>
    <col min="772" max="773" width="13.7109375" style="417" customWidth="1"/>
    <col min="774" max="774" width="17.28515625" style="417" customWidth="1"/>
    <col min="775" max="775" width="15.42578125" style="417" customWidth="1"/>
    <col min="776" max="776" width="12.85546875" style="417" customWidth="1"/>
    <col min="777" max="777" width="13.85546875" style="417" customWidth="1"/>
    <col min="778" max="778" width="13.28515625" style="417" customWidth="1"/>
    <col min="779" max="779" width="14.28515625" style="417" customWidth="1"/>
    <col min="780" max="780" width="13.42578125" style="417" customWidth="1"/>
    <col min="781" max="781" width="12.28515625" style="417" customWidth="1"/>
    <col min="782" max="1024" width="11.42578125" style="417"/>
    <col min="1025" max="1025" width="4.42578125" style="417" customWidth="1"/>
    <col min="1026" max="1026" width="19.28515625" style="417" customWidth="1"/>
    <col min="1027" max="1027" width="15" style="417" customWidth="1"/>
    <col min="1028" max="1029" width="13.7109375" style="417" customWidth="1"/>
    <col min="1030" max="1030" width="17.28515625" style="417" customWidth="1"/>
    <col min="1031" max="1031" width="15.42578125" style="417" customWidth="1"/>
    <col min="1032" max="1032" width="12.85546875" style="417" customWidth="1"/>
    <col min="1033" max="1033" width="13.85546875" style="417" customWidth="1"/>
    <col min="1034" max="1034" width="13.28515625" style="417" customWidth="1"/>
    <col min="1035" max="1035" width="14.28515625" style="417" customWidth="1"/>
    <col min="1036" max="1036" width="13.42578125" style="417" customWidth="1"/>
    <col min="1037" max="1037" width="12.28515625" style="417" customWidth="1"/>
    <col min="1038" max="1280" width="11.42578125" style="417"/>
    <col min="1281" max="1281" width="4.42578125" style="417" customWidth="1"/>
    <col min="1282" max="1282" width="19.28515625" style="417" customWidth="1"/>
    <col min="1283" max="1283" width="15" style="417" customWidth="1"/>
    <col min="1284" max="1285" width="13.7109375" style="417" customWidth="1"/>
    <col min="1286" max="1286" width="17.28515625" style="417" customWidth="1"/>
    <col min="1287" max="1287" width="15.42578125" style="417" customWidth="1"/>
    <col min="1288" max="1288" width="12.85546875" style="417" customWidth="1"/>
    <col min="1289" max="1289" width="13.85546875" style="417" customWidth="1"/>
    <col min="1290" max="1290" width="13.28515625" style="417" customWidth="1"/>
    <col min="1291" max="1291" width="14.28515625" style="417" customWidth="1"/>
    <col min="1292" max="1292" width="13.42578125" style="417" customWidth="1"/>
    <col min="1293" max="1293" width="12.28515625" style="417" customWidth="1"/>
    <col min="1294" max="1536" width="11.42578125" style="417"/>
    <col min="1537" max="1537" width="4.42578125" style="417" customWidth="1"/>
    <col min="1538" max="1538" width="19.28515625" style="417" customWidth="1"/>
    <col min="1539" max="1539" width="15" style="417" customWidth="1"/>
    <col min="1540" max="1541" width="13.7109375" style="417" customWidth="1"/>
    <col min="1542" max="1542" width="17.28515625" style="417" customWidth="1"/>
    <col min="1543" max="1543" width="15.42578125" style="417" customWidth="1"/>
    <col min="1544" max="1544" width="12.85546875" style="417" customWidth="1"/>
    <col min="1545" max="1545" width="13.85546875" style="417" customWidth="1"/>
    <col min="1546" max="1546" width="13.28515625" style="417" customWidth="1"/>
    <col min="1547" max="1547" width="14.28515625" style="417" customWidth="1"/>
    <col min="1548" max="1548" width="13.42578125" style="417" customWidth="1"/>
    <col min="1549" max="1549" width="12.28515625" style="417" customWidth="1"/>
    <col min="1550" max="1792" width="11.42578125" style="417"/>
    <col min="1793" max="1793" width="4.42578125" style="417" customWidth="1"/>
    <col min="1794" max="1794" width="19.28515625" style="417" customWidth="1"/>
    <col min="1795" max="1795" width="15" style="417" customWidth="1"/>
    <col min="1796" max="1797" width="13.7109375" style="417" customWidth="1"/>
    <col min="1798" max="1798" width="17.28515625" style="417" customWidth="1"/>
    <col min="1799" max="1799" width="15.42578125" style="417" customWidth="1"/>
    <col min="1800" max="1800" width="12.85546875" style="417" customWidth="1"/>
    <col min="1801" max="1801" width="13.85546875" style="417" customWidth="1"/>
    <col min="1802" max="1802" width="13.28515625" style="417" customWidth="1"/>
    <col min="1803" max="1803" width="14.28515625" style="417" customWidth="1"/>
    <col min="1804" max="1804" width="13.42578125" style="417" customWidth="1"/>
    <col min="1805" max="1805" width="12.28515625" style="417" customWidth="1"/>
    <col min="1806" max="2048" width="11.42578125" style="417"/>
    <col min="2049" max="2049" width="4.42578125" style="417" customWidth="1"/>
    <col min="2050" max="2050" width="19.28515625" style="417" customWidth="1"/>
    <col min="2051" max="2051" width="15" style="417" customWidth="1"/>
    <col min="2052" max="2053" width="13.7109375" style="417" customWidth="1"/>
    <col min="2054" max="2054" width="17.28515625" style="417" customWidth="1"/>
    <col min="2055" max="2055" width="15.42578125" style="417" customWidth="1"/>
    <col min="2056" max="2056" width="12.85546875" style="417" customWidth="1"/>
    <col min="2057" max="2057" width="13.85546875" style="417" customWidth="1"/>
    <col min="2058" max="2058" width="13.28515625" style="417" customWidth="1"/>
    <col min="2059" max="2059" width="14.28515625" style="417" customWidth="1"/>
    <col min="2060" max="2060" width="13.42578125" style="417" customWidth="1"/>
    <col min="2061" max="2061" width="12.28515625" style="417" customWidth="1"/>
    <col min="2062" max="2304" width="11.42578125" style="417"/>
    <col min="2305" max="2305" width="4.42578125" style="417" customWidth="1"/>
    <col min="2306" max="2306" width="19.28515625" style="417" customWidth="1"/>
    <col min="2307" max="2307" width="15" style="417" customWidth="1"/>
    <col min="2308" max="2309" width="13.7109375" style="417" customWidth="1"/>
    <col min="2310" max="2310" width="17.28515625" style="417" customWidth="1"/>
    <col min="2311" max="2311" width="15.42578125" style="417" customWidth="1"/>
    <col min="2312" max="2312" width="12.85546875" style="417" customWidth="1"/>
    <col min="2313" max="2313" width="13.85546875" style="417" customWidth="1"/>
    <col min="2314" max="2314" width="13.28515625" style="417" customWidth="1"/>
    <col min="2315" max="2315" width="14.28515625" style="417" customWidth="1"/>
    <col min="2316" max="2316" width="13.42578125" style="417" customWidth="1"/>
    <col min="2317" max="2317" width="12.28515625" style="417" customWidth="1"/>
    <col min="2318" max="2560" width="11.42578125" style="417"/>
    <col min="2561" max="2561" width="4.42578125" style="417" customWidth="1"/>
    <col min="2562" max="2562" width="19.28515625" style="417" customWidth="1"/>
    <col min="2563" max="2563" width="15" style="417" customWidth="1"/>
    <col min="2564" max="2565" width="13.7109375" style="417" customWidth="1"/>
    <col min="2566" max="2566" width="17.28515625" style="417" customWidth="1"/>
    <col min="2567" max="2567" width="15.42578125" style="417" customWidth="1"/>
    <col min="2568" max="2568" width="12.85546875" style="417" customWidth="1"/>
    <col min="2569" max="2569" width="13.85546875" style="417" customWidth="1"/>
    <col min="2570" max="2570" width="13.28515625" style="417" customWidth="1"/>
    <col min="2571" max="2571" width="14.28515625" style="417" customWidth="1"/>
    <col min="2572" max="2572" width="13.42578125" style="417" customWidth="1"/>
    <col min="2573" max="2573" width="12.28515625" style="417" customWidth="1"/>
    <col min="2574" max="2816" width="11.42578125" style="417"/>
    <col min="2817" max="2817" width="4.42578125" style="417" customWidth="1"/>
    <col min="2818" max="2818" width="19.28515625" style="417" customWidth="1"/>
    <col min="2819" max="2819" width="15" style="417" customWidth="1"/>
    <col min="2820" max="2821" width="13.7109375" style="417" customWidth="1"/>
    <col min="2822" max="2822" width="17.28515625" style="417" customWidth="1"/>
    <col min="2823" max="2823" width="15.42578125" style="417" customWidth="1"/>
    <col min="2824" max="2824" width="12.85546875" style="417" customWidth="1"/>
    <col min="2825" max="2825" width="13.85546875" style="417" customWidth="1"/>
    <col min="2826" max="2826" width="13.28515625" style="417" customWidth="1"/>
    <col min="2827" max="2827" width="14.28515625" style="417" customWidth="1"/>
    <col min="2828" max="2828" width="13.42578125" style="417" customWidth="1"/>
    <col min="2829" max="2829" width="12.28515625" style="417" customWidth="1"/>
    <col min="2830" max="3072" width="11.42578125" style="417"/>
    <col min="3073" max="3073" width="4.42578125" style="417" customWidth="1"/>
    <col min="3074" max="3074" width="19.28515625" style="417" customWidth="1"/>
    <col min="3075" max="3075" width="15" style="417" customWidth="1"/>
    <col min="3076" max="3077" width="13.7109375" style="417" customWidth="1"/>
    <col min="3078" max="3078" width="17.28515625" style="417" customWidth="1"/>
    <col min="3079" max="3079" width="15.42578125" style="417" customWidth="1"/>
    <col min="3080" max="3080" width="12.85546875" style="417" customWidth="1"/>
    <col min="3081" max="3081" width="13.85546875" style="417" customWidth="1"/>
    <col min="3082" max="3082" width="13.28515625" style="417" customWidth="1"/>
    <col min="3083" max="3083" width="14.28515625" style="417" customWidth="1"/>
    <col min="3084" max="3084" width="13.42578125" style="417" customWidth="1"/>
    <col min="3085" max="3085" width="12.28515625" style="417" customWidth="1"/>
    <col min="3086" max="3328" width="11.42578125" style="417"/>
    <col min="3329" max="3329" width="4.42578125" style="417" customWidth="1"/>
    <col min="3330" max="3330" width="19.28515625" style="417" customWidth="1"/>
    <col min="3331" max="3331" width="15" style="417" customWidth="1"/>
    <col min="3332" max="3333" width="13.7109375" style="417" customWidth="1"/>
    <col min="3334" max="3334" width="17.28515625" style="417" customWidth="1"/>
    <col min="3335" max="3335" width="15.42578125" style="417" customWidth="1"/>
    <col min="3336" max="3336" width="12.85546875" style="417" customWidth="1"/>
    <col min="3337" max="3337" width="13.85546875" style="417" customWidth="1"/>
    <col min="3338" max="3338" width="13.28515625" style="417" customWidth="1"/>
    <col min="3339" max="3339" width="14.28515625" style="417" customWidth="1"/>
    <col min="3340" max="3340" width="13.42578125" style="417" customWidth="1"/>
    <col min="3341" max="3341" width="12.28515625" style="417" customWidth="1"/>
    <col min="3342" max="3584" width="11.42578125" style="417"/>
    <col min="3585" max="3585" width="4.42578125" style="417" customWidth="1"/>
    <col min="3586" max="3586" width="19.28515625" style="417" customWidth="1"/>
    <col min="3587" max="3587" width="15" style="417" customWidth="1"/>
    <col min="3588" max="3589" width="13.7109375" style="417" customWidth="1"/>
    <col min="3590" max="3590" width="17.28515625" style="417" customWidth="1"/>
    <col min="3591" max="3591" width="15.42578125" style="417" customWidth="1"/>
    <col min="3592" max="3592" width="12.85546875" style="417" customWidth="1"/>
    <col min="3593" max="3593" width="13.85546875" style="417" customWidth="1"/>
    <col min="3594" max="3594" width="13.28515625" style="417" customWidth="1"/>
    <col min="3595" max="3595" width="14.28515625" style="417" customWidth="1"/>
    <col min="3596" max="3596" width="13.42578125" style="417" customWidth="1"/>
    <col min="3597" max="3597" width="12.28515625" style="417" customWidth="1"/>
    <col min="3598" max="3840" width="11.42578125" style="417"/>
    <col min="3841" max="3841" width="4.42578125" style="417" customWidth="1"/>
    <col min="3842" max="3842" width="19.28515625" style="417" customWidth="1"/>
    <col min="3843" max="3843" width="15" style="417" customWidth="1"/>
    <col min="3844" max="3845" width="13.7109375" style="417" customWidth="1"/>
    <col min="3846" max="3846" width="17.28515625" style="417" customWidth="1"/>
    <col min="3847" max="3847" width="15.42578125" style="417" customWidth="1"/>
    <col min="3848" max="3848" width="12.85546875" style="417" customWidth="1"/>
    <col min="3849" max="3849" width="13.85546875" style="417" customWidth="1"/>
    <col min="3850" max="3850" width="13.28515625" style="417" customWidth="1"/>
    <col min="3851" max="3851" width="14.28515625" style="417" customWidth="1"/>
    <col min="3852" max="3852" width="13.42578125" style="417" customWidth="1"/>
    <col min="3853" max="3853" width="12.28515625" style="417" customWidth="1"/>
    <col min="3854" max="4096" width="11.42578125" style="417"/>
    <col min="4097" max="4097" width="4.42578125" style="417" customWidth="1"/>
    <col min="4098" max="4098" width="19.28515625" style="417" customWidth="1"/>
    <col min="4099" max="4099" width="15" style="417" customWidth="1"/>
    <col min="4100" max="4101" width="13.7109375" style="417" customWidth="1"/>
    <col min="4102" max="4102" width="17.28515625" style="417" customWidth="1"/>
    <col min="4103" max="4103" width="15.42578125" style="417" customWidth="1"/>
    <col min="4104" max="4104" width="12.85546875" style="417" customWidth="1"/>
    <col min="4105" max="4105" width="13.85546875" style="417" customWidth="1"/>
    <col min="4106" max="4106" width="13.28515625" style="417" customWidth="1"/>
    <col min="4107" max="4107" width="14.28515625" style="417" customWidth="1"/>
    <col min="4108" max="4108" width="13.42578125" style="417" customWidth="1"/>
    <col min="4109" max="4109" width="12.28515625" style="417" customWidth="1"/>
    <col min="4110" max="4352" width="11.42578125" style="417"/>
    <col min="4353" max="4353" width="4.42578125" style="417" customWidth="1"/>
    <col min="4354" max="4354" width="19.28515625" style="417" customWidth="1"/>
    <col min="4355" max="4355" width="15" style="417" customWidth="1"/>
    <col min="4356" max="4357" width="13.7109375" style="417" customWidth="1"/>
    <col min="4358" max="4358" width="17.28515625" style="417" customWidth="1"/>
    <col min="4359" max="4359" width="15.42578125" style="417" customWidth="1"/>
    <col min="4360" max="4360" width="12.85546875" style="417" customWidth="1"/>
    <col min="4361" max="4361" width="13.85546875" style="417" customWidth="1"/>
    <col min="4362" max="4362" width="13.28515625" style="417" customWidth="1"/>
    <col min="4363" max="4363" width="14.28515625" style="417" customWidth="1"/>
    <col min="4364" max="4364" width="13.42578125" style="417" customWidth="1"/>
    <col min="4365" max="4365" width="12.28515625" style="417" customWidth="1"/>
    <col min="4366" max="4608" width="11.42578125" style="417"/>
    <col min="4609" max="4609" width="4.42578125" style="417" customWidth="1"/>
    <col min="4610" max="4610" width="19.28515625" style="417" customWidth="1"/>
    <col min="4611" max="4611" width="15" style="417" customWidth="1"/>
    <col min="4612" max="4613" width="13.7109375" style="417" customWidth="1"/>
    <col min="4614" max="4614" width="17.28515625" style="417" customWidth="1"/>
    <col min="4615" max="4615" width="15.42578125" style="417" customWidth="1"/>
    <col min="4616" max="4616" width="12.85546875" style="417" customWidth="1"/>
    <col min="4617" max="4617" width="13.85546875" style="417" customWidth="1"/>
    <col min="4618" max="4618" width="13.28515625" style="417" customWidth="1"/>
    <col min="4619" max="4619" width="14.28515625" style="417" customWidth="1"/>
    <col min="4620" max="4620" width="13.42578125" style="417" customWidth="1"/>
    <col min="4621" max="4621" width="12.28515625" style="417" customWidth="1"/>
    <col min="4622" max="4864" width="11.42578125" style="417"/>
    <col min="4865" max="4865" width="4.42578125" style="417" customWidth="1"/>
    <col min="4866" max="4866" width="19.28515625" style="417" customWidth="1"/>
    <col min="4867" max="4867" width="15" style="417" customWidth="1"/>
    <col min="4868" max="4869" width="13.7109375" style="417" customWidth="1"/>
    <col min="4870" max="4870" width="17.28515625" style="417" customWidth="1"/>
    <col min="4871" max="4871" width="15.42578125" style="417" customWidth="1"/>
    <col min="4872" max="4872" width="12.85546875" style="417" customWidth="1"/>
    <col min="4873" max="4873" width="13.85546875" style="417" customWidth="1"/>
    <col min="4874" max="4874" width="13.28515625" style="417" customWidth="1"/>
    <col min="4875" max="4875" width="14.28515625" style="417" customWidth="1"/>
    <col min="4876" max="4876" width="13.42578125" style="417" customWidth="1"/>
    <col min="4877" max="4877" width="12.28515625" style="417" customWidth="1"/>
    <col min="4878" max="5120" width="11.42578125" style="417"/>
    <col min="5121" max="5121" width="4.42578125" style="417" customWidth="1"/>
    <col min="5122" max="5122" width="19.28515625" style="417" customWidth="1"/>
    <col min="5123" max="5123" width="15" style="417" customWidth="1"/>
    <col min="5124" max="5125" width="13.7109375" style="417" customWidth="1"/>
    <col min="5126" max="5126" width="17.28515625" style="417" customWidth="1"/>
    <col min="5127" max="5127" width="15.42578125" style="417" customWidth="1"/>
    <col min="5128" max="5128" width="12.85546875" style="417" customWidth="1"/>
    <col min="5129" max="5129" width="13.85546875" style="417" customWidth="1"/>
    <col min="5130" max="5130" width="13.28515625" style="417" customWidth="1"/>
    <col min="5131" max="5131" width="14.28515625" style="417" customWidth="1"/>
    <col min="5132" max="5132" width="13.42578125" style="417" customWidth="1"/>
    <col min="5133" max="5133" width="12.28515625" style="417" customWidth="1"/>
    <col min="5134" max="5376" width="11.42578125" style="417"/>
    <col min="5377" max="5377" width="4.42578125" style="417" customWidth="1"/>
    <col min="5378" max="5378" width="19.28515625" style="417" customWidth="1"/>
    <col min="5379" max="5379" width="15" style="417" customWidth="1"/>
    <col min="5380" max="5381" width="13.7109375" style="417" customWidth="1"/>
    <col min="5382" max="5382" width="17.28515625" style="417" customWidth="1"/>
    <col min="5383" max="5383" width="15.42578125" style="417" customWidth="1"/>
    <col min="5384" max="5384" width="12.85546875" style="417" customWidth="1"/>
    <col min="5385" max="5385" width="13.85546875" style="417" customWidth="1"/>
    <col min="5386" max="5386" width="13.28515625" style="417" customWidth="1"/>
    <col min="5387" max="5387" width="14.28515625" style="417" customWidth="1"/>
    <col min="5388" max="5388" width="13.42578125" style="417" customWidth="1"/>
    <col min="5389" max="5389" width="12.28515625" style="417" customWidth="1"/>
    <col min="5390" max="5632" width="11.42578125" style="417"/>
    <col min="5633" max="5633" width="4.42578125" style="417" customWidth="1"/>
    <col min="5634" max="5634" width="19.28515625" style="417" customWidth="1"/>
    <col min="5635" max="5635" width="15" style="417" customWidth="1"/>
    <col min="5636" max="5637" width="13.7109375" style="417" customWidth="1"/>
    <col min="5638" max="5638" width="17.28515625" style="417" customWidth="1"/>
    <col min="5639" max="5639" width="15.42578125" style="417" customWidth="1"/>
    <col min="5640" max="5640" width="12.85546875" style="417" customWidth="1"/>
    <col min="5641" max="5641" width="13.85546875" style="417" customWidth="1"/>
    <col min="5642" max="5642" width="13.28515625" style="417" customWidth="1"/>
    <col min="5643" max="5643" width="14.28515625" style="417" customWidth="1"/>
    <col min="5644" max="5644" width="13.42578125" style="417" customWidth="1"/>
    <col min="5645" max="5645" width="12.28515625" style="417" customWidth="1"/>
    <col min="5646" max="5888" width="11.42578125" style="417"/>
    <col min="5889" max="5889" width="4.42578125" style="417" customWidth="1"/>
    <col min="5890" max="5890" width="19.28515625" style="417" customWidth="1"/>
    <col min="5891" max="5891" width="15" style="417" customWidth="1"/>
    <col min="5892" max="5893" width="13.7109375" style="417" customWidth="1"/>
    <col min="5894" max="5894" width="17.28515625" style="417" customWidth="1"/>
    <col min="5895" max="5895" width="15.42578125" style="417" customWidth="1"/>
    <col min="5896" max="5896" width="12.85546875" style="417" customWidth="1"/>
    <col min="5897" max="5897" width="13.85546875" style="417" customWidth="1"/>
    <col min="5898" max="5898" width="13.28515625" style="417" customWidth="1"/>
    <col min="5899" max="5899" width="14.28515625" style="417" customWidth="1"/>
    <col min="5900" max="5900" width="13.42578125" style="417" customWidth="1"/>
    <col min="5901" max="5901" width="12.28515625" style="417" customWidth="1"/>
    <col min="5902" max="6144" width="11.42578125" style="417"/>
    <col min="6145" max="6145" width="4.42578125" style="417" customWidth="1"/>
    <col min="6146" max="6146" width="19.28515625" style="417" customWidth="1"/>
    <col min="6147" max="6147" width="15" style="417" customWidth="1"/>
    <col min="6148" max="6149" width="13.7109375" style="417" customWidth="1"/>
    <col min="6150" max="6150" width="17.28515625" style="417" customWidth="1"/>
    <col min="6151" max="6151" width="15.42578125" style="417" customWidth="1"/>
    <col min="6152" max="6152" width="12.85546875" style="417" customWidth="1"/>
    <col min="6153" max="6153" width="13.85546875" style="417" customWidth="1"/>
    <col min="6154" max="6154" width="13.28515625" style="417" customWidth="1"/>
    <col min="6155" max="6155" width="14.28515625" style="417" customWidth="1"/>
    <col min="6156" max="6156" width="13.42578125" style="417" customWidth="1"/>
    <col min="6157" max="6157" width="12.28515625" style="417" customWidth="1"/>
    <col min="6158" max="6400" width="11.42578125" style="417"/>
    <col min="6401" max="6401" width="4.42578125" style="417" customWidth="1"/>
    <col min="6402" max="6402" width="19.28515625" style="417" customWidth="1"/>
    <col min="6403" max="6403" width="15" style="417" customWidth="1"/>
    <col min="6404" max="6405" width="13.7109375" style="417" customWidth="1"/>
    <col min="6406" max="6406" width="17.28515625" style="417" customWidth="1"/>
    <col min="6407" max="6407" width="15.42578125" style="417" customWidth="1"/>
    <col min="6408" max="6408" width="12.85546875" style="417" customWidth="1"/>
    <col min="6409" max="6409" width="13.85546875" style="417" customWidth="1"/>
    <col min="6410" max="6410" width="13.28515625" style="417" customWidth="1"/>
    <col min="6411" max="6411" width="14.28515625" style="417" customWidth="1"/>
    <col min="6412" max="6412" width="13.42578125" style="417" customWidth="1"/>
    <col min="6413" max="6413" width="12.28515625" style="417" customWidth="1"/>
    <col min="6414" max="6656" width="11.42578125" style="417"/>
    <col min="6657" max="6657" width="4.42578125" style="417" customWidth="1"/>
    <col min="6658" max="6658" width="19.28515625" style="417" customWidth="1"/>
    <col min="6659" max="6659" width="15" style="417" customWidth="1"/>
    <col min="6660" max="6661" width="13.7109375" style="417" customWidth="1"/>
    <col min="6662" max="6662" width="17.28515625" style="417" customWidth="1"/>
    <col min="6663" max="6663" width="15.42578125" style="417" customWidth="1"/>
    <col min="6664" max="6664" width="12.85546875" style="417" customWidth="1"/>
    <col min="6665" max="6665" width="13.85546875" style="417" customWidth="1"/>
    <col min="6666" max="6666" width="13.28515625" style="417" customWidth="1"/>
    <col min="6667" max="6667" width="14.28515625" style="417" customWidth="1"/>
    <col min="6668" max="6668" width="13.42578125" style="417" customWidth="1"/>
    <col min="6669" max="6669" width="12.28515625" style="417" customWidth="1"/>
    <col min="6670" max="6912" width="11.42578125" style="417"/>
    <col min="6913" max="6913" width="4.42578125" style="417" customWidth="1"/>
    <col min="6914" max="6914" width="19.28515625" style="417" customWidth="1"/>
    <col min="6915" max="6915" width="15" style="417" customWidth="1"/>
    <col min="6916" max="6917" width="13.7109375" style="417" customWidth="1"/>
    <col min="6918" max="6918" width="17.28515625" style="417" customWidth="1"/>
    <col min="6919" max="6919" width="15.42578125" style="417" customWidth="1"/>
    <col min="6920" max="6920" width="12.85546875" style="417" customWidth="1"/>
    <col min="6921" max="6921" width="13.85546875" style="417" customWidth="1"/>
    <col min="6922" max="6922" width="13.28515625" style="417" customWidth="1"/>
    <col min="6923" max="6923" width="14.28515625" style="417" customWidth="1"/>
    <col min="6924" max="6924" width="13.42578125" style="417" customWidth="1"/>
    <col min="6925" max="6925" width="12.28515625" style="417" customWidth="1"/>
    <col min="6926" max="7168" width="11.42578125" style="417"/>
    <col min="7169" max="7169" width="4.42578125" style="417" customWidth="1"/>
    <col min="7170" max="7170" width="19.28515625" style="417" customWidth="1"/>
    <col min="7171" max="7171" width="15" style="417" customWidth="1"/>
    <col min="7172" max="7173" width="13.7109375" style="417" customWidth="1"/>
    <col min="7174" max="7174" width="17.28515625" style="417" customWidth="1"/>
    <col min="7175" max="7175" width="15.42578125" style="417" customWidth="1"/>
    <col min="7176" max="7176" width="12.85546875" style="417" customWidth="1"/>
    <col min="7177" max="7177" width="13.85546875" style="417" customWidth="1"/>
    <col min="7178" max="7178" width="13.28515625" style="417" customWidth="1"/>
    <col min="7179" max="7179" width="14.28515625" style="417" customWidth="1"/>
    <col min="7180" max="7180" width="13.42578125" style="417" customWidth="1"/>
    <col min="7181" max="7181" width="12.28515625" style="417" customWidth="1"/>
    <col min="7182" max="7424" width="11.42578125" style="417"/>
    <col min="7425" max="7425" width="4.42578125" style="417" customWidth="1"/>
    <col min="7426" max="7426" width="19.28515625" style="417" customWidth="1"/>
    <col min="7427" max="7427" width="15" style="417" customWidth="1"/>
    <col min="7428" max="7429" width="13.7109375" style="417" customWidth="1"/>
    <col min="7430" max="7430" width="17.28515625" style="417" customWidth="1"/>
    <col min="7431" max="7431" width="15.42578125" style="417" customWidth="1"/>
    <col min="7432" max="7432" width="12.85546875" style="417" customWidth="1"/>
    <col min="7433" max="7433" width="13.85546875" style="417" customWidth="1"/>
    <col min="7434" max="7434" width="13.28515625" style="417" customWidth="1"/>
    <col min="7435" max="7435" width="14.28515625" style="417" customWidth="1"/>
    <col min="7436" max="7436" width="13.42578125" style="417" customWidth="1"/>
    <col min="7437" max="7437" width="12.28515625" style="417" customWidth="1"/>
    <col min="7438" max="7680" width="11.42578125" style="417"/>
    <col min="7681" max="7681" width="4.42578125" style="417" customWidth="1"/>
    <col min="7682" max="7682" width="19.28515625" style="417" customWidth="1"/>
    <col min="7683" max="7683" width="15" style="417" customWidth="1"/>
    <col min="7684" max="7685" width="13.7109375" style="417" customWidth="1"/>
    <col min="7686" max="7686" width="17.28515625" style="417" customWidth="1"/>
    <col min="7687" max="7687" width="15.42578125" style="417" customWidth="1"/>
    <col min="7688" max="7688" width="12.85546875" style="417" customWidth="1"/>
    <col min="7689" max="7689" width="13.85546875" style="417" customWidth="1"/>
    <col min="7690" max="7690" width="13.28515625" style="417" customWidth="1"/>
    <col min="7691" max="7691" width="14.28515625" style="417" customWidth="1"/>
    <col min="7692" max="7692" width="13.42578125" style="417" customWidth="1"/>
    <col min="7693" max="7693" width="12.28515625" style="417" customWidth="1"/>
    <col min="7694" max="7936" width="11.42578125" style="417"/>
    <col min="7937" max="7937" width="4.42578125" style="417" customWidth="1"/>
    <col min="7938" max="7938" width="19.28515625" style="417" customWidth="1"/>
    <col min="7939" max="7939" width="15" style="417" customWidth="1"/>
    <col min="7940" max="7941" width="13.7109375" style="417" customWidth="1"/>
    <col min="7942" max="7942" width="17.28515625" style="417" customWidth="1"/>
    <col min="7943" max="7943" width="15.42578125" style="417" customWidth="1"/>
    <col min="7944" max="7944" width="12.85546875" style="417" customWidth="1"/>
    <col min="7945" max="7945" width="13.85546875" style="417" customWidth="1"/>
    <col min="7946" max="7946" width="13.28515625" style="417" customWidth="1"/>
    <col min="7947" max="7947" width="14.28515625" style="417" customWidth="1"/>
    <col min="7948" max="7948" width="13.42578125" style="417" customWidth="1"/>
    <col min="7949" max="7949" width="12.28515625" style="417" customWidth="1"/>
    <col min="7950" max="8192" width="11.42578125" style="417"/>
    <col min="8193" max="8193" width="4.42578125" style="417" customWidth="1"/>
    <col min="8194" max="8194" width="19.28515625" style="417" customWidth="1"/>
    <col min="8195" max="8195" width="15" style="417" customWidth="1"/>
    <col min="8196" max="8197" width="13.7109375" style="417" customWidth="1"/>
    <col min="8198" max="8198" width="17.28515625" style="417" customWidth="1"/>
    <col min="8199" max="8199" width="15.42578125" style="417" customWidth="1"/>
    <col min="8200" max="8200" width="12.85546875" style="417" customWidth="1"/>
    <col min="8201" max="8201" width="13.85546875" style="417" customWidth="1"/>
    <col min="8202" max="8202" width="13.28515625" style="417" customWidth="1"/>
    <col min="8203" max="8203" width="14.28515625" style="417" customWidth="1"/>
    <col min="8204" max="8204" width="13.42578125" style="417" customWidth="1"/>
    <col min="8205" max="8205" width="12.28515625" style="417" customWidth="1"/>
    <col min="8206" max="8448" width="11.42578125" style="417"/>
    <col min="8449" max="8449" width="4.42578125" style="417" customWidth="1"/>
    <col min="8450" max="8450" width="19.28515625" style="417" customWidth="1"/>
    <col min="8451" max="8451" width="15" style="417" customWidth="1"/>
    <col min="8452" max="8453" width="13.7109375" style="417" customWidth="1"/>
    <col min="8454" max="8454" width="17.28515625" style="417" customWidth="1"/>
    <col min="8455" max="8455" width="15.42578125" style="417" customWidth="1"/>
    <col min="8456" max="8456" width="12.85546875" style="417" customWidth="1"/>
    <col min="8457" max="8457" width="13.85546875" style="417" customWidth="1"/>
    <col min="8458" max="8458" width="13.28515625" style="417" customWidth="1"/>
    <col min="8459" max="8459" width="14.28515625" style="417" customWidth="1"/>
    <col min="8460" max="8460" width="13.42578125" style="417" customWidth="1"/>
    <col min="8461" max="8461" width="12.28515625" style="417" customWidth="1"/>
    <col min="8462" max="8704" width="11.42578125" style="417"/>
    <col min="8705" max="8705" width="4.42578125" style="417" customWidth="1"/>
    <col min="8706" max="8706" width="19.28515625" style="417" customWidth="1"/>
    <col min="8707" max="8707" width="15" style="417" customWidth="1"/>
    <col min="8708" max="8709" width="13.7109375" style="417" customWidth="1"/>
    <col min="8710" max="8710" width="17.28515625" style="417" customWidth="1"/>
    <col min="8711" max="8711" width="15.42578125" style="417" customWidth="1"/>
    <col min="8712" max="8712" width="12.85546875" style="417" customWidth="1"/>
    <col min="8713" max="8713" width="13.85546875" style="417" customWidth="1"/>
    <col min="8714" max="8714" width="13.28515625" style="417" customWidth="1"/>
    <col min="8715" max="8715" width="14.28515625" style="417" customWidth="1"/>
    <col min="8716" max="8716" width="13.42578125" style="417" customWidth="1"/>
    <col min="8717" max="8717" width="12.28515625" style="417" customWidth="1"/>
    <col min="8718" max="8960" width="11.42578125" style="417"/>
    <col min="8961" max="8961" width="4.42578125" style="417" customWidth="1"/>
    <col min="8962" max="8962" width="19.28515625" style="417" customWidth="1"/>
    <col min="8963" max="8963" width="15" style="417" customWidth="1"/>
    <col min="8964" max="8965" width="13.7109375" style="417" customWidth="1"/>
    <col min="8966" max="8966" width="17.28515625" style="417" customWidth="1"/>
    <col min="8967" max="8967" width="15.42578125" style="417" customWidth="1"/>
    <col min="8968" max="8968" width="12.85546875" style="417" customWidth="1"/>
    <col min="8969" max="8969" width="13.85546875" style="417" customWidth="1"/>
    <col min="8970" max="8970" width="13.28515625" style="417" customWidth="1"/>
    <col min="8971" max="8971" width="14.28515625" style="417" customWidth="1"/>
    <col min="8972" max="8972" width="13.42578125" style="417" customWidth="1"/>
    <col min="8973" max="8973" width="12.28515625" style="417" customWidth="1"/>
    <col min="8974" max="9216" width="11.42578125" style="417"/>
    <col min="9217" max="9217" width="4.42578125" style="417" customWidth="1"/>
    <col min="9218" max="9218" width="19.28515625" style="417" customWidth="1"/>
    <col min="9219" max="9219" width="15" style="417" customWidth="1"/>
    <col min="9220" max="9221" width="13.7109375" style="417" customWidth="1"/>
    <col min="9222" max="9222" width="17.28515625" style="417" customWidth="1"/>
    <col min="9223" max="9223" width="15.42578125" style="417" customWidth="1"/>
    <col min="9224" max="9224" width="12.85546875" style="417" customWidth="1"/>
    <col min="9225" max="9225" width="13.85546875" style="417" customWidth="1"/>
    <col min="9226" max="9226" width="13.28515625" style="417" customWidth="1"/>
    <col min="9227" max="9227" width="14.28515625" style="417" customWidth="1"/>
    <col min="9228" max="9228" width="13.42578125" style="417" customWidth="1"/>
    <col min="9229" max="9229" width="12.28515625" style="417" customWidth="1"/>
    <col min="9230" max="9472" width="11.42578125" style="417"/>
    <col min="9473" max="9473" width="4.42578125" style="417" customWidth="1"/>
    <col min="9474" max="9474" width="19.28515625" style="417" customWidth="1"/>
    <col min="9475" max="9475" width="15" style="417" customWidth="1"/>
    <col min="9476" max="9477" width="13.7109375" style="417" customWidth="1"/>
    <col min="9478" max="9478" width="17.28515625" style="417" customWidth="1"/>
    <col min="9479" max="9479" width="15.42578125" style="417" customWidth="1"/>
    <col min="9480" max="9480" width="12.85546875" style="417" customWidth="1"/>
    <col min="9481" max="9481" width="13.85546875" style="417" customWidth="1"/>
    <col min="9482" max="9482" width="13.28515625" style="417" customWidth="1"/>
    <col min="9483" max="9483" width="14.28515625" style="417" customWidth="1"/>
    <col min="9484" max="9484" width="13.42578125" style="417" customWidth="1"/>
    <col min="9485" max="9485" width="12.28515625" style="417" customWidth="1"/>
    <col min="9486" max="9728" width="11.42578125" style="417"/>
    <col min="9729" max="9729" width="4.42578125" style="417" customWidth="1"/>
    <col min="9730" max="9730" width="19.28515625" style="417" customWidth="1"/>
    <col min="9731" max="9731" width="15" style="417" customWidth="1"/>
    <col min="9732" max="9733" width="13.7109375" style="417" customWidth="1"/>
    <col min="9734" max="9734" width="17.28515625" style="417" customWidth="1"/>
    <col min="9735" max="9735" width="15.42578125" style="417" customWidth="1"/>
    <col min="9736" max="9736" width="12.85546875" style="417" customWidth="1"/>
    <col min="9737" max="9737" width="13.85546875" style="417" customWidth="1"/>
    <col min="9738" max="9738" width="13.28515625" style="417" customWidth="1"/>
    <col min="9739" max="9739" width="14.28515625" style="417" customWidth="1"/>
    <col min="9740" max="9740" width="13.42578125" style="417" customWidth="1"/>
    <col min="9741" max="9741" width="12.28515625" style="417" customWidth="1"/>
    <col min="9742" max="9984" width="11.42578125" style="417"/>
    <col min="9985" max="9985" width="4.42578125" style="417" customWidth="1"/>
    <col min="9986" max="9986" width="19.28515625" style="417" customWidth="1"/>
    <col min="9987" max="9987" width="15" style="417" customWidth="1"/>
    <col min="9988" max="9989" width="13.7109375" style="417" customWidth="1"/>
    <col min="9990" max="9990" width="17.28515625" style="417" customWidth="1"/>
    <col min="9991" max="9991" width="15.42578125" style="417" customWidth="1"/>
    <col min="9992" max="9992" width="12.85546875" style="417" customWidth="1"/>
    <col min="9993" max="9993" width="13.85546875" style="417" customWidth="1"/>
    <col min="9994" max="9994" width="13.28515625" style="417" customWidth="1"/>
    <col min="9995" max="9995" width="14.28515625" style="417" customWidth="1"/>
    <col min="9996" max="9996" width="13.42578125" style="417" customWidth="1"/>
    <col min="9997" max="9997" width="12.28515625" style="417" customWidth="1"/>
    <col min="9998" max="10240" width="11.42578125" style="417"/>
    <col min="10241" max="10241" width="4.42578125" style="417" customWidth="1"/>
    <col min="10242" max="10242" width="19.28515625" style="417" customWidth="1"/>
    <col min="10243" max="10243" width="15" style="417" customWidth="1"/>
    <col min="10244" max="10245" width="13.7109375" style="417" customWidth="1"/>
    <col min="10246" max="10246" width="17.28515625" style="417" customWidth="1"/>
    <col min="10247" max="10247" width="15.42578125" style="417" customWidth="1"/>
    <col min="10248" max="10248" width="12.85546875" style="417" customWidth="1"/>
    <col min="10249" max="10249" width="13.85546875" style="417" customWidth="1"/>
    <col min="10250" max="10250" width="13.28515625" style="417" customWidth="1"/>
    <col min="10251" max="10251" width="14.28515625" style="417" customWidth="1"/>
    <col min="10252" max="10252" width="13.42578125" style="417" customWidth="1"/>
    <col min="10253" max="10253" width="12.28515625" style="417" customWidth="1"/>
    <col min="10254" max="10496" width="11.42578125" style="417"/>
    <col min="10497" max="10497" width="4.42578125" style="417" customWidth="1"/>
    <col min="10498" max="10498" width="19.28515625" style="417" customWidth="1"/>
    <col min="10499" max="10499" width="15" style="417" customWidth="1"/>
    <col min="10500" max="10501" width="13.7109375" style="417" customWidth="1"/>
    <col min="10502" max="10502" width="17.28515625" style="417" customWidth="1"/>
    <col min="10503" max="10503" width="15.42578125" style="417" customWidth="1"/>
    <col min="10504" max="10504" width="12.85546875" style="417" customWidth="1"/>
    <col min="10505" max="10505" width="13.85546875" style="417" customWidth="1"/>
    <col min="10506" max="10506" width="13.28515625" style="417" customWidth="1"/>
    <col min="10507" max="10507" width="14.28515625" style="417" customWidth="1"/>
    <col min="10508" max="10508" width="13.42578125" style="417" customWidth="1"/>
    <col min="10509" max="10509" width="12.28515625" style="417" customWidth="1"/>
    <col min="10510" max="10752" width="11.42578125" style="417"/>
    <col min="10753" max="10753" width="4.42578125" style="417" customWidth="1"/>
    <col min="10754" max="10754" width="19.28515625" style="417" customWidth="1"/>
    <col min="10755" max="10755" width="15" style="417" customWidth="1"/>
    <col min="10756" max="10757" width="13.7109375" style="417" customWidth="1"/>
    <col min="10758" max="10758" width="17.28515625" style="417" customWidth="1"/>
    <col min="10759" max="10759" width="15.42578125" style="417" customWidth="1"/>
    <col min="10760" max="10760" width="12.85546875" style="417" customWidth="1"/>
    <col min="10761" max="10761" width="13.85546875" style="417" customWidth="1"/>
    <col min="10762" max="10762" width="13.28515625" style="417" customWidth="1"/>
    <col min="10763" max="10763" width="14.28515625" style="417" customWidth="1"/>
    <col min="10764" max="10764" width="13.42578125" style="417" customWidth="1"/>
    <col min="10765" max="10765" width="12.28515625" style="417" customWidth="1"/>
    <col min="10766" max="11008" width="11.42578125" style="417"/>
    <col min="11009" max="11009" width="4.42578125" style="417" customWidth="1"/>
    <col min="11010" max="11010" width="19.28515625" style="417" customWidth="1"/>
    <col min="11011" max="11011" width="15" style="417" customWidth="1"/>
    <col min="11012" max="11013" width="13.7109375" style="417" customWidth="1"/>
    <col min="11014" max="11014" width="17.28515625" style="417" customWidth="1"/>
    <col min="11015" max="11015" width="15.42578125" style="417" customWidth="1"/>
    <col min="11016" max="11016" width="12.85546875" style="417" customWidth="1"/>
    <col min="11017" max="11017" width="13.85546875" style="417" customWidth="1"/>
    <col min="11018" max="11018" width="13.28515625" style="417" customWidth="1"/>
    <col min="11019" max="11019" width="14.28515625" style="417" customWidth="1"/>
    <col min="11020" max="11020" width="13.42578125" style="417" customWidth="1"/>
    <col min="11021" max="11021" width="12.28515625" style="417" customWidth="1"/>
    <col min="11022" max="11264" width="11.42578125" style="417"/>
    <col min="11265" max="11265" width="4.42578125" style="417" customWidth="1"/>
    <col min="11266" max="11266" width="19.28515625" style="417" customWidth="1"/>
    <col min="11267" max="11267" width="15" style="417" customWidth="1"/>
    <col min="11268" max="11269" width="13.7109375" style="417" customWidth="1"/>
    <col min="11270" max="11270" width="17.28515625" style="417" customWidth="1"/>
    <col min="11271" max="11271" width="15.42578125" style="417" customWidth="1"/>
    <col min="11272" max="11272" width="12.85546875" style="417" customWidth="1"/>
    <col min="11273" max="11273" width="13.85546875" style="417" customWidth="1"/>
    <col min="11274" max="11274" width="13.28515625" style="417" customWidth="1"/>
    <col min="11275" max="11275" width="14.28515625" style="417" customWidth="1"/>
    <col min="11276" max="11276" width="13.42578125" style="417" customWidth="1"/>
    <col min="11277" max="11277" width="12.28515625" style="417" customWidth="1"/>
    <col min="11278" max="11520" width="11.42578125" style="417"/>
    <col min="11521" max="11521" width="4.42578125" style="417" customWidth="1"/>
    <col min="11522" max="11522" width="19.28515625" style="417" customWidth="1"/>
    <col min="11523" max="11523" width="15" style="417" customWidth="1"/>
    <col min="11524" max="11525" width="13.7109375" style="417" customWidth="1"/>
    <col min="11526" max="11526" width="17.28515625" style="417" customWidth="1"/>
    <col min="11527" max="11527" width="15.42578125" style="417" customWidth="1"/>
    <col min="11528" max="11528" width="12.85546875" style="417" customWidth="1"/>
    <col min="11529" max="11529" width="13.85546875" style="417" customWidth="1"/>
    <col min="11530" max="11530" width="13.28515625" style="417" customWidth="1"/>
    <col min="11531" max="11531" width="14.28515625" style="417" customWidth="1"/>
    <col min="11532" max="11532" width="13.42578125" style="417" customWidth="1"/>
    <col min="11533" max="11533" width="12.28515625" style="417" customWidth="1"/>
    <col min="11534" max="11776" width="11.42578125" style="417"/>
    <col min="11777" max="11777" width="4.42578125" style="417" customWidth="1"/>
    <col min="11778" max="11778" width="19.28515625" style="417" customWidth="1"/>
    <col min="11779" max="11779" width="15" style="417" customWidth="1"/>
    <col min="11780" max="11781" width="13.7109375" style="417" customWidth="1"/>
    <col min="11782" max="11782" width="17.28515625" style="417" customWidth="1"/>
    <col min="11783" max="11783" width="15.42578125" style="417" customWidth="1"/>
    <col min="11784" max="11784" width="12.85546875" style="417" customWidth="1"/>
    <col min="11785" max="11785" width="13.85546875" style="417" customWidth="1"/>
    <col min="11786" max="11786" width="13.28515625" style="417" customWidth="1"/>
    <col min="11787" max="11787" width="14.28515625" style="417" customWidth="1"/>
    <col min="11788" max="11788" width="13.42578125" style="417" customWidth="1"/>
    <col min="11789" max="11789" width="12.28515625" style="417" customWidth="1"/>
    <col min="11790" max="12032" width="11.42578125" style="417"/>
    <col min="12033" max="12033" width="4.42578125" style="417" customWidth="1"/>
    <col min="12034" max="12034" width="19.28515625" style="417" customWidth="1"/>
    <col min="12035" max="12035" width="15" style="417" customWidth="1"/>
    <col min="12036" max="12037" width="13.7109375" style="417" customWidth="1"/>
    <col min="12038" max="12038" width="17.28515625" style="417" customWidth="1"/>
    <col min="12039" max="12039" width="15.42578125" style="417" customWidth="1"/>
    <col min="12040" max="12040" width="12.85546875" style="417" customWidth="1"/>
    <col min="12041" max="12041" width="13.85546875" style="417" customWidth="1"/>
    <col min="12042" max="12042" width="13.28515625" style="417" customWidth="1"/>
    <col min="12043" max="12043" width="14.28515625" style="417" customWidth="1"/>
    <col min="12044" max="12044" width="13.42578125" style="417" customWidth="1"/>
    <col min="12045" max="12045" width="12.28515625" style="417" customWidth="1"/>
    <col min="12046" max="12288" width="11.42578125" style="417"/>
    <col min="12289" max="12289" width="4.42578125" style="417" customWidth="1"/>
    <col min="12290" max="12290" width="19.28515625" style="417" customWidth="1"/>
    <col min="12291" max="12291" width="15" style="417" customWidth="1"/>
    <col min="12292" max="12293" width="13.7109375" style="417" customWidth="1"/>
    <col min="12294" max="12294" width="17.28515625" style="417" customWidth="1"/>
    <col min="12295" max="12295" width="15.42578125" style="417" customWidth="1"/>
    <col min="12296" max="12296" width="12.85546875" style="417" customWidth="1"/>
    <col min="12297" max="12297" width="13.85546875" style="417" customWidth="1"/>
    <col min="12298" max="12298" width="13.28515625" style="417" customWidth="1"/>
    <col min="12299" max="12299" width="14.28515625" style="417" customWidth="1"/>
    <col min="12300" max="12300" width="13.42578125" style="417" customWidth="1"/>
    <col min="12301" max="12301" width="12.28515625" style="417" customWidth="1"/>
    <col min="12302" max="12544" width="11.42578125" style="417"/>
    <col min="12545" max="12545" width="4.42578125" style="417" customWidth="1"/>
    <col min="12546" max="12546" width="19.28515625" style="417" customWidth="1"/>
    <col min="12547" max="12547" width="15" style="417" customWidth="1"/>
    <col min="12548" max="12549" width="13.7109375" style="417" customWidth="1"/>
    <col min="12550" max="12550" width="17.28515625" style="417" customWidth="1"/>
    <col min="12551" max="12551" width="15.42578125" style="417" customWidth="1"/>
    <col min="12552" max="12552" width="12.85546875" style="417" customWidth="1"/>
    <col min="12553" max="12553" width="13.85546875" style="417" customWidth="1"/>
    <col min="12554" max="12554" width="13.28515625" style="417" customWidth="1"/>
    <col min="12555" max="12555" width="14.28515625" style="417" customWidth="1"/>
    <col min="12556" max="12556" width="13.42578125" style="417" customWidth="1"/>
    <col min="12557" max="12557" width="12.28515625" style="417" customWidth="1"/>
    <col min="12558" max="12800" width="11.42578125" style="417"/>
    <col min="12801" max="12801" width="4.42578125" style="417" customWidth="1"/>
    <col min="12802" max="12802" width="19.28515625" style="417" customWidth="1"/>
    <col min="12803" max="12803" width="15" style="417" customWidth="1"/>
    <col min="12804" max="12805" width="13.7109375" style="417" customWidth="1"/>
    <col min="12806" max="12806" width="17.28515625" style="417" customWidth="1"/>
    <col min="12807" max="12807" width="15.42578125" style="417" customWidth="1"/>
    <col min="12808" max="12808" width="12.85546875" style="417" customWidth="1"/>
    <col min="12809" max="12809" width="13.85546875" style="417" customWidth="1"/>
    <col min="12810" max="12810" width="13.28515625" style="417" customWidth="1"/>
    <col min="12811" max="12811" width="14.28515625" style="417" customWidth="1"/>
    <col min="12812" max="12812" width="13.42578125" style="417" customWidth="1"/>
    <col min="12813" max="12813" width="12.28515625" style="417" customWidth="1"/>
    <col min="12814" max="13056" width="11.42578125" style="417"/>
    <col min="13057" max="13057" width="4.42578125" style="417" customWidth="1"/>
    <col min="13058" max="13058" width="19.28515625" style="417" customWidth="1"/>
    <col min="13059" max="13059" width="15" style="417" customWidth="1"/>
    <col min="13060" max="13061" width="13.7109375" style="417" customWidth="1"/>
    <col min="13062" max="13062" width="17.28515625" style="417" customWidth="1"/>
    <col min="13063" max="13063" width="15.42578125" style="417" customWidth="1"/>
    <col min="13064" max="13064" width="12.85546875" style="417" customWidth="1"/>
    <col min="13065" max="13065" width="13.85546875" style="417" customWidth="1"/>
    <col min="13066" max="13066" width="13.28515625" style="417" customWidth="1"/>
    <col min="13067" max="13067" width="14.28515625" style="417" customWidth="1"/>
    <col min="13068" max="13068" width="13.42578125" style="417" customWidth="1"/>
    <col min="13069" max="13069" width="12.28515625" style="417" customWidth="1"/>
    <col min="13070" max="13312" width="11.42578125" style="417"/>
    <col min="13313" max="13313" width="4.42578125" style="417" customWidth="1"/>
    <col min="13314" max="13314" width="19.28515625" style="417" customWidth="1"/>
    <col min="13315" max="13315" width="15" style="417" customWidth="1"/>
    <col min="13316" max="13317" width="13.7109375" style="417" customWidth="1"/>
    <col min="13318" max="13318" width="17.28515625" style="417" customWidth="1"/>
    <col min="13319" max="13319" width="15.42578125" style="417" customWidth="1"/>
    <col min="13320" max="13320" width="12.85546875" style="417" customWidth="1"/>
    <col min="13321" max="13321" width="13.85546875" style="417" customWidth="1"/>
    <col min="13322" max="13322" width="13.28515625" style="417" customWidth="1"/>
    <col min="13323" max="13323" width="14.28515625" style="417" customWidth="1"/>
    <col min="13324" max="13324" width="13.42578125" style="417" customWidth="1"/>
    <col min="13325" max="13325" width="12.28515625" style="417" customWidth="1"/>
    <col min="13326" max="13568" width="11.42578125" style="417"/>
    <col min="13569" max="13569" width="4.42578125" style="417" customWidth="1"/>
    <col min="13570" max="13570" width="19.28515625" style="417" customWidth="1"/>
    <col min="13571" max="13571" width="15" style="417" customWidth="1"/>
    <col min="13572" max="13573" width="13.7109375" style="417" customWidth="1"/>
    <col min="13574" max="13574" width="17.28515625" style="417" customWidth="1"/>
    <col min="13575" max="13575" width="15.42578125" style="417" customWidth="1"/>
    <col min="13576" max="13576" width="12.85546875" style="417" customWidth="1"/>
    <col min="13577" max="13577" width="13.85546875" style="417" customWidth="1"/>
    <col min="13578" max="13578" width="13.28515625" style="417" customWidth="1"/>
    <col min="13579" max="13579" width="14.28515625" style="417" customWidth="1"/>
    <col min="13580" max="13580" width="13.42578125" style="417" customWidth="1"/>
    <col min="13581" max="13581" width="12.28515625" style="417" customWidth="1"/>
    <col min="13582" max="13824" width="11.42578125" style="417"/>
    <col min="13825" max="13825" width="4.42578125" style="417" customWidth="1"/>
    <col min="13826" max="13826" width="19.28515625" style="417" customWidth="1"/>
    <col min="13827" max="13827" width="15" style="417" customWidth="1"/>
    <col min="13828" max="13829" width="13.7109375" style="417" customWidth="1"/>
    <col min="13830" max="13830" width="17.28515625" style="417" customWidth="1"/>
    <col min="13831" max="13831" width="15.42578125" style="417" customWidth="1"/>
    <col min="13832" max="13832" width="12.85546875" style="417" customWidth="1"/>
    <col min="13833" max="13833" width="13.85546875" style="417" customWidth="1"/>
    <col min="13834" max="13834" width="13.28515625" style="417" customWidth="1"/>
    <col min="13835" max="13835" width="14.28515625" style="417" customWidth="1"/>
    <col min="13836" max="13836" width="13.42578125" style="417" customWidth="1"/>
    <col min="13837" max="13837" width="12.28515625" style="417" customWidth="1"/>
    <col min="13838" max="14080" width="11.42578125" style="417"/>
    <col min="14081" max="14081" width="4.42578125" style="417" customWidth="1"/>
    <col min="14082" max="14082" width="19.28515625" style="417" customWidth="1"/>
    <col min="14083" max="14083" width="15" style="417" customWidth="1"/>
    <col min="14084" max="14085" width="13.7109375" style="417" customWidth="1"/>
    <col min="14086" max="14086" width="17.28515625" style="417" customWidth="1"/>
    <col min="14087" max="14087" width="15.42578125" style="417" customWidth="1"/>
    <col min="14088" max="14088" width="12.85546875" style="417" customWidth="1"/>
    <col min="14089" max="14089" width="13.85546875" style="417" customWidth="1"/>
    <col min="14090" max="14090" width="13.28515625" style="417" customWidth="1"/>
    <col min="14091" max="14091" width="14.28515625" style="417" customWidth="1"/>
    <col min="14092" max="14092" width="13.42578125" style="417" customWidth="1"/>
    <col min="14093" max="14093" width="12.28515625" style="417" customWidth="1"/>
    <col min="14094" max="14336" width="11.42578125" style="417"/>
    <col min="14337" max="14337" width="4.42578125" style="417" customWidth="1"/>
    <col min="14338" max="14338" width="19.28515625" style="417" customWidth="1"/>
    <col min="14339" max="14339" width="15" style="417" customWidth="1"/>
    <col min="14340" max="14341" width="13.7109375" style="417" customWidth="1"/>
    <col min="14342" max="14342" width="17.28515625" style="417" customWidth="1"/>
    <col min="14343" max="14343" width="15.42578125" style="417" customWidth="1"/>
    <col min="14344" max="14344" width="12.85546875" style="417" customWidth="1"/>
    <col min="14345" max="14345" width="13.85546875" style="417" customWidth="1"/>
    <col min="14346" max="14346" width="13.28515625" style="417" customWidth="1"/>
    <col min="14347" max="14347" width="14.28515625" style="417" customWidth="1"/>
    <col min="14348" max="14348" width="13.42578125" style="417" customWidth="1"/>
    <col min="14349" max="14349" width="12.28515625" style="417" customWidth="1"/>
    <col min="14350" max="14592" width="11.42578125" style="417"/>
    <col min="14593" max="14593" width="4.42578125" style="417" customWidth="1"/>
    <col min="14594" max="14594" width="19.28515625" style="417" customWidth="1"/>
    <col min="14595" max="14595" width="15" style="417" customWidth="1"/>
    <col min="14596" max="14597" width="13.7109375" style="417" customWidth="1"/>
    <col min="14598" max="14598" width="17.28515625" style="417" customWidth="1"/>
    <col min="14599" max="14599" width="15.42578125" style="417" customWidth="1"/>
    <col min="14600" max="14600" width="12.85546875" style="417" customWidth="1"/>
    <col min="14601" max="14601" width="13.85546875" style="417" customWidth="1"/>
    <col min="14602" max="14602" width="13.28515625" style="417" customWidth="1"/>
    <col min="14603" max="14603" width="14.28515625" style="417" customWidth="1"/>
    <col min="14604" max="14604" width="13.42578125" style="417" customWidth="1"/>
    <col min="14605" max="14605" width="12.28515625" style="417" customWidth="1"/>
    <col min="14606" max="14848" width="11.42578125" style="417"/>
    <col min="14849" max="14849" width="4.42578125" style="417" customWidth="1"/>
    <col min="14850" max="14850" width="19.28515625" style="417" customWidth="1"/>
    <col min="14851" max="14851" width="15" style="417" customWidth="1"/>
    <col min="14852" max="14853" width="13.7109375" style="417" customWidth="1"/>
    <col min="14854" max="14854" width="17.28515625" style="417" customWidth="1"/>
    <col min="14855" max="14855" width="15.42578125" style="417" customWidth="1"/>
    <col min="14856" max="14856" width="12.85546875" style="417" customWidth="1"/>
    <col min="14857" max="14857" width="13.85546875" style="417" customWidth="1"/>
    <col min="14858" max="14858" width="13.28515625" style="417" customWidth="1"/>
    <col min="14859" max="14859" width="14.28515625" style="417" customWidth="1"/>
    <col min="14860" max="14860" width="13.42578125" style="417" customWidth="1"/>
    <col min="14861" max="14861" width="12.28515625" style="417" customWidth="1"/>
    <col min="14862" max="15104" width="11.42578125" style="417"/>
    <col min="15105" max="15105" width="4.42578125" style="417" customWidth="1"/>
    <col min="15106" max="15106" width="19.28515625" style="417" customWidth="1"/>
    <col min="15107" max="15107" width="15" style="417" customWidth="1"/>
    <col min="15108" max="15109" width="13.7109375" style="417" customWidth="1"/>
    <col min="15110" max="15110" width="17.28515625" style="417" customWidth="1"/>
    <col min="15111" max="15111" width="15.42578125" style="417" customWidth="1"/>
    <col min="15112" max="15112" width="12.85546875" style="417" customWidth="1"/>
    <col min="15113" max="15113" width="13.85546875" style="417" customWidth="1"/>
    <col min="15114" max="15114" width="13.28515625" style="417" customWidth="1"/>
    <col min="15115" max="15115" width="14.28515625" style="417" customWidth="1"/>
    <col min="15116" max="15116" width="13.42578125" style="417" customWidth="1"/>
    <col min="15117" max="15117" width="12.28515625" style="417" customWidth="1"/>
    <col min="15118" max="15360" width="11.42578125" style="417"/>
    <col min="15361" max="15361" width="4.42578125" style="417" customWidth="1"/>
    <col min="15362" max="15362" width="19.28515625" style="417" customWidth="1"/>
    <col min="15363" max="15363" width="15" style="417" customWidth="1"/>
    <col min="15364" max="15365" width="13.7109375" style="417" customWidth="1"/>
    <col min="15366" max="15366" width="17.28515625" style="417" customWidth="1"/>
    <col min="15367" max="15367" width="15.42578125" style="417" customWidth="1"/>
    <col min="15368" max="15368" width="12.85546875" style="417" customWidth="1"/>
    <col min="15369" max="15369" width="13.85546875" style="417" customWidth="1"/>
    <col min="15370" max="15370" width="13.28515625" style="417" customWidth="1"/>
    <col min="15371" max="15371" width="14.28515625" style="417" customWidth="1"/>
    <col min="15372" max="15372" width="13.42578125" style="417" customWidth="1"/>
    <col min="15373" max="15373" width="12.28515625" style="417" customWidth="1"/>
    <col min="15374" max="15616" width="11.42578125" style="417"/>
    <col min="15617" max="15617" width="4.42578125" style="417" customWidth="1"/>
    <col min="15618" max="15618" width="19.28515625" style="417" customWidth="1"/>
    <col min="15619" max="15619" width="15" style="417" customWidth="1"/>
    <col min="15620" max="15621" width="13.7109375" style="417" customWidth="1"/>
    <col min="15622" max="15622" width="17.28515625" style="417" customWidth="1"/>
    <col min="15623" max="15623" width="15.42578125" style="417" customWidth="1"/>
    <col min="15624" max="15624" width="12.85546875" style="417" customWidth="1"/>
    <col min="15625" max="15625" width="13.85546875" style="417" customWidth="1"/>
    <col min="15626" max="15626" width="13.28515625" style="417" customWidth="1"/>
    <col min="15627" max="15627" width="14.28515625" style="417" customWidth="1"/>
    <col min="15628" max="15628" width="13.42578125" style="417" customWidth="1"/>
    <col min="15629" max="15629" width="12.28515625" style="417" customWidth="1"/>
    <col min="15630" max="15872" width="11.42578125" style="417"/>
    <col min="15873" max="15873" width="4.42578125" style="417" customWidth="1"/>
    <col min="15874" max="15874" width="19.28515625" style="417" customWidth="1"/>
    <col min="15875" max="15875" width="15" style="417" customWidth="1"/>
    <col min="15876" max="15877" width="13.7109375" style="417" customWidth="1"/>
    <col min="15878" max="15878" width="17.28515625" style="417" customWidth="1"/>
    <col min="15879" max="15879" width="15.42578125" style="417" customWidth="1"/>
    <col min="15880" max="15880" width="12.85546875" style="417" customWidth="1"/>
    <col min="15881" max="15881" width="13.85546875" style="417" customWidth="1"/>
    <col min="15882" max="15882" width="13.28515625" style="417" customWidth="1"/>
    <col min="15883" max="15883" width="14.28515625" style="417" customWidth="1"/>
    <col min="15884" max="15884" width="13.42578125" style="417" customWidth="1"/>
    <col min="15885" max="15885" width="12.28515625" style="417" customWidth="1"/>
    <col min="15886" max="16128" width="11.42578125" style="417"/>
    <col min="16129" max="16129" width="4.42578125" style="417" customWidth="1"/>
    <col min="16130" max="16130" width="19.28515625" style="417" customWidth="1"/>
    <col min="16131" max="16131" width="15" style="417" customWidth="1"/>
    <col min="16132" max="16133" width="13.7109375" style="417" customWidth="1"/>
    <col min="16134" max="16134" width="17.28515625" style="417" customWidth="1"/>
    <col min="16135" max="16135" width="15.42578125" style="417" customWidth="1"/>
    <col min="16136" max="16136" width="12.85546875" style="417" customWidth="1"/>
    <col min="16137" max="16137" width="13.85546875" style="417" customWidth="1"/>
    <col min="16138" max="16138" width="13.28515625" style="417" customWidth="1"/>
    <col min="16139" max="16139" width="14.28515625" style="417" customWidth="1"/>
    <col min="16140" max="16140" width="13.42578125" style="417" customWidth="1"/>
    <col min="16141" max="16141" width="12.28515625" style="417" customWidth="1"/>
    <col min="16142" max="16384" width="11.42578125" style="417"/>
  </cols>
  <sheetData>
    <row r="1" spans="1:7" ht="23.25">
      <c r="A1" s="415" t="s">
        <v>442</v>
      </c>
      <c r="B1" s="416"/>
      <c r="C1" s="416"/>
      <c r="D1" s="416"/>
      <c r="E1" s="416"/>
      <c r="F1" s="416"/>
      <c r="G1" s="416"/>
    </row>
    <row r="2" spans="1:7">
      <c r="B2" s="418" t="s">
        <v>472</v>
      </c>
    </row>
    <row r="4" spans="1:7">
      <c r="E4" s="419" t="s">
        <v>443</v>
      </c>
    </row>
    <row r="5" spans="1:7" ht="23.25">
      <c r="A5" s="415" t="s">
        <v>444</v>
      </c>
      <c r="B5" s="416"/>
      <c r="C5" s="416"/>
      <c r="D5" s="416"/>
      <c r="E5" s="416"/>
      <c r="F5" s="416"/>
      <c r="G5" s="416"/>
    </row>
    <row r="6" spans="1:7">
      <c r="A6" s="420" t="s">
        <v>445</v>
      </c>
      <c r="B6" s="421"/>
      <c r="C6" s="422"/>
      <c r="E6" s="420" t="s">
        <v>446</v>
      </c>
      <c r="F6" s="416"/>
      <c r="G6" s="416"/>
    </row>
    <row r="7" spans="1:7">
      <c r="B7" s="423" t="s">
        <v>447</v>
      </c>
      <c r="C7" s="424">
        <v>150000</v>
      </c>
      <c r="F7" s="423" t="s">
        <v>448</v>
      </c>
      <c r="G7" s="425">
        <f>+Data_1rata</f>
        <v>44013</v>
      </c>
    </row>
    <row r="8" spans="1:7">
      <c r="B8" s="423" t="s">
        <v>449</v>
      </c>
      <c r="C8" s="426">
        <v>2.5000000000000001E-2</v>
      </c>
      <c r="F8" s="423" t="s">
        <v>450</v>
      </c>
      <c r="G8" s="427">
        <v>1</v>
      </c>
    </row>
    <row r="9" spans="1:7">
      <c r="B9" s="423" t="s">
        <v>451</v>
      </c>
      <c r="C9" s="428">
        <v>1</v>
      </c>
      <c r="F9" s="423"/>
      <c r="G9" s="429"/>
    </row>
    <row r="10" spans="1:7">
      <c r="B10" s="423" t="s">
        <v>452</v>
      </c>
      <c r="C10" s="430">
        <v>4</v>
      </c>
      <c r="E10" s="417" t="s">
        <v>488</v>
      </c>
      <c r="G10" s="472">
        <v>43465</v>
      </c>
    </row>
    <row r="11" spans="1:7">
      <c r="A11" s="431"/>
      <c r="B11" s="432" t="s">
        <v>390</v>
      </c>
      <c r="C11" s="433">
        <f>+C9+Periodo</f>
        <v>5</v>
      </c>
    </row>
    <row r="12" spans="1:7">
      <c r="B12" s="423" t="s">
        <v>453</v>
      </c>
      <c r="C12" s="430">
        <v>2</v>
      </c>
    </row>
    <row r="13" spans="1:7">
      <c r="B13" s="423" t="s">
        <v>454</v>
      </c>
      <c r="C13" s="434">
        <v>44013</v>
      </c>
    </row>
    <row r="14" spans="1:7">
      <c r="A14" s="420" t="s">
        <v>455</v>
      </c>
      <c r="B14" s="416"/>
      <c r="C14" s="416"/>
      <c r="D14" s="416"/>
      <c r="E14" s="416"/>
      <c r="F14" s="416"/>
      <c r="G14" s="416"/>
    </row>
    <row r="15" spans="1:7">
      <c r="B15" s="423" t="s">
        <v>456</v>
      </c>
      <c r="C15" s="435"/>
      <c r="D15" s="436" t="s">
        <v>457</v>
      </c>
    </row>
    <row r="16" spans="1:7">
      <c r="B16" s="423" t="s">
        <v>458</v>
      </c>
      <c r="C16" s="437">
        <f>PMT(Tasso_periodico,Rate_totali,-Ammontare)</f>
        <v>19819.970467838219</v>
      </c>
      <c r="D16" s="436" t="s">
        <v>459</v>
      </c>
    </row>
    <row r="17" spans="1:7">
      <c r="A17" s="420" t="s">
        <v>460</v>
      </c>
      <c r="B17" s="416"/>
      <c r="C17" s="416"/>
      <c r="D17" s="416"/>
      <c r="E17" s="416"/>
      <c r="F17" s="416"/>
      <c r="G17" s="416"/>
    </row>
    <row r="18" spans="1:7">
      <c r="B18" s="423" t="s">
        <v>461</v>
      </c>
      <c r="C18" s="438">
        <f>IF(Rata_immessa=0,Rata_calc,Rata_immessa)</f>
        <v>19819.970467838219</v>
      </c>
      <c r="F18" s="423" t="str">
        <f>"Bilancio iniziale al pagamento "&amp;TEXT(Num_1rata,"0")&amp;":"</f>
        <v>Bilancio iniziale al pagamento 1:</v>
      </c>
      <c r="G18" s="439">
        <f>FV(Tasso_interessi_annuo/Num_rate_annuali,Num_1rata-1,Rata_da_usare,-Ammontare)</f>
        <v>150000</v>
      </c>
    </row>
    <row r="19" spans="1:7">
      <c r="B19" s="423" t="s">
        <v>462</v>
      </c>
      <c r="C19" s="440">
        <f>IF(G7=0,IF(G8=0,1,G8),1+C12*(YEAR(G7)-YEAR(C13))+INT(C12*(MONTH(G7)-MONTH(C13))/12)+IF(DAY(G7)&gt;DAY(C13),1))</f>
        <v>1</v>
      </c>
      <c r="F19" s="423" t="str">
        <f>"Interessi cumulati prima del pagamento "&amp;TEXT(Num_1rata,"0")&amp;":"</f>
        <v>Interessi cumulati prima del pagamento 1:</v>
      </c>
      <c r="G19" s="439">
        <f>Rata_da_usare*(Num_1rata-1)-(Ammontare-Tabella_iniz_bil)</f>
        <v>0</v>
      </c>
    </row>
    <row r="20" spans="1:7" ht="23.25">
      <c r="A20" s="415" t="s">
        <v>463</v>
      </c>
      <c r="B20" s="416"/>
      <c r="C20" s="416"/>
      <c r="D20" s="416"/>
      <c r="E20" s="416"/>
      <c r="F20" s="416"/>
      <c r="G20" s="416"/>
    </row>
    <row r="22" spans="1:7">
      <c r="A22" s="441"/>
      <c r="B22" s="441" t="s">
        <v>464</v>
      </c>
      <c r="C22" s="441" t="s">
        <v>465</v>
      </c>
      <c r="D22" s="441" t="s">
        <v>439</v>
      </c>
      <c r="E22" s="441" t="s">
        <v>440</v>
      </c>
      <c r="F22" s="441" t="s">
        <v>465</v>
      </c>
      <c r="G22" s="441" t="s">
        <v>439</v>
      </c>
    </row>
    <row r="23" spans="1:7">
      <c r="A23" s="442" t="s">
        <v>466</v>
      </c>
      <c r="B23" s="442" t="s">
        <v>467</v>
      </c>
      <c r="C23" s="442" t="s">
        <v>468</v>
      </c>
      <c r="D23" s="442"/>
      <c r="E23" s="442"/>
      <c r="F23" s="442" t="s">
        <v>469</v>
      </c>
      <c r="G23" s="442" t="s">
        <v>470</v>
      </c>
    </row>
    <row r="24" spans="1:7">
      <c r="A24" s="443"/>
      <c r="B24" s="444">
        <v>43647</v>
      </c>
      <c r="C24" s="445">
        <f>+C26</f>
        <v>150000</v>
      </c>
      <c r="D24" s="446">
        <f>+C24*Tasso_int_annuo/2</f>
        <v>1875</v>
      </c>
      <c r="E24" s="443">
        <v>0</v>
      </c>
      <c r="F24" s="445">
        <f>+C24-E24</f>
        <v>150000</v>
      </c>
      <c r="G24" s="447">
        <f>+D24</f>
        <v>1875</v>
      </c>
    </row>
    <row r="25" spans="1:7">
      <c r="A25" s="443"/>
      <c r="B25" s="444">
        <v>43830</v>
      </c>
      <c r="C25" s="445">
        <f>+C24</f>
        <v>150000</v>
      </c>
      <c r="D25" s="446">
        <f>+D24</f>
        <v>1875</v>
      </c>
      <c r="E25" s="443">
        <v>0</v>
      </c>
      <c r="F25" s="445">
        <f>+C25-E25</f>
        <v>150000</v>
      </c>
      <c r="G25" s="447">
        <f>+G24+D25</f>
        <v>3750</v>
      </c>
    </row>
    <row r="26" spans="1:7">
      <c r="A26" s="448">
        <f>+G8</f>
        <v>1</v>
      </c>
      <c r="B26" s="449">
        <f>+Tabella_data_iniz</f>
        <v>44013</v>
      </c>
      <c r="C26" s="450">
        <f>IF(A26&lt;&gt;"",IF(Tabella_iniz_bil&lt;0,0,Tabella_iniz_bil),"")</f>
        <v>150000</v>
      </c>
      <c r="D26" s="450">
        <f t="shared" ref="D26:D89" si="0">Interessi</f>
        <v>1875</v>
      </c>
      <c r="E26" s="450">
        <f t="shared" ref="E26:E89" si="1">Montante</f>
        <v>17944.970467838219</v>
      </c>
      <c r="F26" s="450">
        <f t="shared" ref="F26:F89" si="2">Bilancio.fin</f>
        <v>132055.02953216177</v>
      </c>
      <c r="G26" s="451">
        <f>+G25+D26</f>
        <v>5625</v>
      </c>
    </row>
    <row r="27" spans="1:7">
      <c r="A27" s="452">
        <f t="shared" ref="A27:A90" si="3">Num.rata</f>
        <v>2</v>
      </c>
      <c r="B27" s="453">
        <f>Mostra.data</f>
        <v>44197</v>
      </c>
      <c r="C27" s="454">
        <f t="shared" ref="C27:C90" si="4">Bilancio.iniz</f>
        <v>132055.02953216177</v>
      </c>
      <c r="D27" s="454">
        <f t="shared" si="0"/>
        <v>1650.6878691520224</v>
      </c>
      <c r="E27" s="454">
        <f t="shared" si="1"/>
        <v>18169.282598686197</v>
      </c>
      <c r="F27" s="454">
        <f t="shared" si="2"/>
        <v>113885.74693347557</v>
      </c>
      <c r="G27" s="454">
        <f t="shared" ref="G27:G90" si="5">Interesse.cum</f>
        <v>7275.6878691520224</v>
      </c>
    </row>
    <row r="28" spans="1:7">
      <c r="A28" s="455">
        <f t="shared" si="3"/>
        <v>3</v>
      </c>
      <c r="B28" s="453">
        <f>Mostra.data</f>
        <v>44378</v>
      </c>
      <c r="C28" s="456">
        <f t="shared" si="4"/>
        <v>113885.74693347557</v>
      </c>
      <c r="D28" s="456">
        <f t="shared" si="0"/>
        <v>1423.5718366684448</v>
      </c>
      <c r="E28" s="456">
        <f t="shared" si="1"/>
        <v>18396.398631169774</v>
      </c>
      <c r="F28" s="456">
        <f t="shared" si="2"/>
        <v>95489.348302305792</v>
      </c>
      <c r="G28" s="456">
        <f t="shared" si="5"/>
        <v>8699.2597058204665</v>
      </c>
    </row>
    <row r="29" spans="1:7">
      <c r="A29" s="448">
        <f t="shared" si="3"/>
        <v>4</v>
      </c>
      <c r="B29" s="453">
        <f>Mostra.data</f>
        <v>44562</v>
      </c>
      <c r="C29" s="450">
        <f t="shared" si="4"/>
        <v>95489.348302305792</v>
      </c>
      <c r="D29" s="450">
        <f t="shared" si="0"/>
        <v>1193.6168537788224</v>
      </c>
      <c r="E29" s="450">
        <f t="shared" si="1"/>
        <v>18626.353614059397</v>
      </c>
      <c r="F29" s="450">
        <f t="shared" si="2"/>
        <v>76862.994688246399</v>
      </c>
      <c r="G29" s="450">
        <f t="shared" si="5"/>
        <v>9892.8765595992882</v>
      </c>
    </row>
    <row r="30" spans="1:7">
      <c r="A30" s="452">
        <f t="shared" si="3"/>
        <v>5</v>
      </c>
      <c r="B30" s="453">
        <f>Mostra.data</f>
        <v>44743</v>
      </c>
      <c r="C30" s="454">
        <f t="shared" si="4"/>
        <v>76862.994688246399</v>
      </c>
      <c r="D30" s="454">
        <f t="shared" si="0"/>
        <v>960.78743360307999</v>
      </c>
      <c r="E30" s="454">
        <f t="shared" si="1"/>
        <v>18859.183034235139</v>
      </c>
      <c r="F30" s="454">
        <f t="shared" si="2"/>
        <v>58003.811654011261</v>
      </c>
      <c r="G30" s="454">
        <f t="shared" si="5"/>
        <v>10853.663993202368</v>
      </c>
    </row>
    <row r="31" spans="1:7">
      <c r="A31" s="455">
        <f t="shared" si="3"/>
        <v>6</v>
      </c>
      <c r="B31" s="453">
        <f>Mostra.data</f>
        <v>44927</v>
      </c>
      <c r="C31" s="456">
        <f t="shared" si="4"/>
        <v>58003.811654011261</v>
      </c>
      <c r="D31" s="456">
        <f t="shared" si="0"/>
        <v>725.04764567514076</v>
      </c>
      <c r="E31" s="456">
        <f t="shared" si="1"/>
        <v>19094.922822163076</v>
      </c>
      <c r="F31" s="456">
        <f t="shared" si="2"/>
        <v>38908.888831848184</v>
      </c>
      <c r="G31" s="456">
        <f t="shared" si="5"/>
        <v>11578.711638877508</v>
      </c>
    </row>
    <row r="32" spans="1:7">
      <c r="A32" s="448">
        <f t="shared" si="3"/>
        <v>7</v>
      </c>
      <c r="B32" s="453">
        <f t="shared" ref="B32:B41" si="6">Mostra.data</f>
        <v>45108</v>
      </c>
      <c r="C32" s="450">
        <f t="shared" si="4"/>
        <v>38908.888831848184</v>
      </c>
      <c r="D32" s="450">
        <f t="shared" si="0"/>
        <v>486.36111039810231</v>
      </c>
      <c r="E32" s="450">
        <f t="shared" si="1"/>
        <v>19333.609357440117</v>
      </c>
      <c r="F32" s="450">
        <f t="shared" si="2"/>
        <v>19575.279474408067</v>
      </c>
      <c r="G32" s="450">
        <f t="shared" si="5"/>
        <v>12065.07274927561</v>
      </c>
    </row>
    <row r="33" spans="1:7">
      <c r="A33" s="452">
        <f t="shared" si="3"/>
        <v>8</v>
      </c>
      <c r="B33" s="453">
        <f t="shared" si="6"/>
        <v>45292</v>
      </c>
      <c r="C33" s="454">
        <f t="shared" si="4"/>
        <v>19575.279474408067</v>
      </c>
      <c r="D33" s="454">
        <f t="shared" si="0"/>
        <v>244.69099343010086</v>
      </c>
      <c r="E33" s="454">
        <f t="shared" si="1"/>
        <v>19575.279474408067</v>
      </c>
      <c r="F33" s="454">
        <f t="shared" si="2"/>
        <v>0</v>
      </c>
      <c r="G33" s="454">
        <f t="shared" si="5"/>
        <v>12309.763742705711</v>
      </c>
    </row>
    <row r="34" spans="1:7">
      <c r="A34" s="455" t="str">
        <f t="shared" si="3"/>
        <v/>
      </c>
      <c r="B34" s="453" t="str">
        <f t="shared" si="6"/>
        <v/>
      </c>
      <c r="C34" s="456" t="str">
        <f t="shared" si="4"/>
        <v/>
      </c>
      <c r="D34" s="456" t="str">
        <f t="shared" si="0"/>
        <v/>
      </c>
      <c r="E34" s="456" t="str">
        <f t="shared" si="1"/>
        <v/>
      </c>
      <c r="F34" s="456" t="str">
        <f t="shared" si="2"/>
        <v/>
      </c>
      <c r="G34" s="456" t="str">
        <f t="shared" si="5"/>
        <v/>
      </c>
    </row>
    <row r="35" spans="1:7">
      <c r="A35" s="448" t="str">
        <f t="shared" si="3"/>
        <v/>
      </c>
      <c r="B35" s="453" t="str">
        <f t="shared" si="6"/>
        <v/>
      </c>
      <c r="C35" s="450" t="str">
        <f t="shared" si="4"/>
        <v/>
      </c>
      <c r="D35" s="450" t="str">
        <f t="shared" si="0"/>
        <v/>
      </c>
      <c r="E35" s="450" t="str">
        <f t="shared" si="1"/>
        <v/>
      </c>
      <c r="F35" s="450" t="str">
        <f t="shared" si="2"/>
        <v/>
      </c>
      <c r="G35" s="450" t="str">
        <f t="shared" si="5"/>
        <v/>
      </c>
    </row>
    <row r="36" spans="1:7">
      <c r="A36" s="452" t="str">
        <f t="shared" si="3"/>
        <v/>
      </c>
      <c r="B36" s="453" t="str">
        <f t="shared" si="6"/>
        <v/>
      </c>
      <c r="C36" s="454" t="str">
        <f t="shared" si="4"/>
        <v/>
      </c>
      <c r="D36" s="454" t="str">
        <f t="shared" si="0"/>
        <v/>
      </c>
      <c r="E36" s="454" t="str">
        <f t="shared" si="1"/>
        <v/>
      </c>
      <c r="F36" s="454" t="str">
        <f t="shared" si="2"/>
        <v/>
      </c>
      <c r="G36" s="454" t="str">
        <f t="shared" si="5"/>
        <v/>
      </c>
    </row>
    <row r="37" spans="1:7">
      <c r="A37" s="455" t="str">
        <f t="shared" si="3"/>
        <v/>
      </c>
      <c r="B37" s="453" t="str">
        <f t="shared" si="6"/>
        <v/>
      </c>
      <c r="C37" s="456" t="str">
        <f t="shared" si="4"/>
        <v/>
      </c>
      <c r="D37" s="456" t="str">
        <f t="shared" si="0"/>
        <v/>
      </c>
      <c r="E37" s="456" t="str">
        <f t="shared" si="1"/>
        <v/>
      </c>
      <c r="F37" s="456" t="str">
        <f t="shared" si="2"/>
        <v/>
      </c>
      <c r="G37" s="456" t="str">
        <f t="shared" si="5"/>
        <v/>
      </c>
    </row>
    <row r="38" spans="1:7">
      <c r="A38" s="448" t="str">
        <f t="shared" si="3"/>
        <v/>
      </c>
      <c r="B38" s="453" t="str">
        <f t="shared" si="6"/>
        <v/>
      </c>
      <c r="C38" s="450" t="str">
        <f t="shared" si="4"/>
        <v/>
      </c>
      <c r="D38" s="450" t="str">
        <f t="shared" si="0"/>
        <v/>
      </c>
      <c r="E38" s="450" t="str">
        <f t="shared" si="1"/>
        <v/>
      </c>
      <c r="F38" s="450" t="str">
        <f t="shared" si="2"/>
        <v/>
      </c>
      <c r="G38" s="450" t="str">
        <f t="shared" si="5"/>
        <v/>
      </c>
    </row>
    <row r="39" spans="1:7">
      <c r="A39" s="452" t="str">
        <f t="shared" si="3"/>
        <v/>
      </c>
      <c r="B39" s="453" t="str">
        <f t="shared" si="6"/>
        <v/>
      </c>
      <c r="C39" s="454" t="str">
        <f t="shared" si="4"/>
        <v/>
      </c>
      <c r="D39" s="454" t="str">
        <f t="shared" si="0"/>
        <v/>
      </c>
      <c r="E39" s="454" t="str">
        <f t="shared" si="1"/>
        <v/>
      </c>
      <c r="F39" s="454" t="str">
        <f t="shared" si="2"/>
        <v/>
      </c>
      <c r="G39" s="454" t="str">
        <f t="shared" si="5"/>
        <v/>
      </c>
    </row>
    <row r="40" spans="1:7">
      <c r="A40" s="455" t="str">
        <f t="shared" si="3"/>
        <v/>
      </c>
      <c r="B40" s="453" t="str">
        <f t="shared" si="6"/>
        <v/>
      </c>
      <c r="C40" s="456" t="str">
        <f t="shared" si="4"/>
        <v/>
      </c>
      <c r="D40" s="456" t="str">
        <f t="shared" si="0"/>
        <v/>
      </c>
      <c r="E40" s="456" t="str">
        <f t="shared" si="1"/>
        <v/>
      </c>
      <c r="F40" s="456" t="str">
        <f t="shared" si="2"/>
        <v/>
      </c>
      <c r="G40" s="456" t="str">
        <f t="shared" si="5"/>
        <v/>
      </c>
    </row>
    <row r="41" spans="1:7">
      <c r="A41" s="448" t="str">
        <f t="shared" si="3"/>
        <v/>
      </c>
      <c r="B41" s="453" t="str">
        <f t="shared" si="6"/>
        <v/>
      </c>
      <c r="C41" s="450" t="str">
        <f t="shared" si="4"/>
        <v/>
      </c>
      <c r="D41" s="450" t="str">
        <f t="shared" si="0"/>
        <v/>
      </c>
      <c r="E41" s="450" t="str">
        <f t="shared" si="1"/>
        <v/>
      </c>
      <c r="F41" s="450" t="str">
        <f t="shared" si="2"/>
        <v/>
      </c>
      <c r="G41" s="450" t="str">
        <f t="shared" si="5"/>
        <v/>
      </c>
    </row>
    <row r="42" spans="1:7">
      <c r="A42" s="452" t="str">
        <f t="shared" si="3"/>
        <v/>
      </c>
      <c r="B42" s="453" t="str">
        <f t="shared" ref="B42:B105" si="7">Mostra.data</f>
        <v/>
      </c>
      <c r="C42" s="454" t="str">
        <f t="shared" si="4"/>
        <v/>
      </c>
      <c r="D42" s="454" t="str">
        <f t="shared" si="0"/>
        <v/>
      </c>
      <c r="E42" s="454" t="str">
        <f t="shared" si="1"/>
        <v/>
      </c>
      <c r="F42" s="454" t="str">
        <f t="shared" si="2"/>
        <v/>
      </c>
      <c r="G42" s="454" t="str">
        <f t="shared" si="5"/>
        <v/>
      </c>
    </row>
    <row r="43" spans="1:7">
      <c r="A43" s="455" t="str">
        <f t="shared" si="3"/>
        <v/>
      </c>
      <c r="B43" s="457" t="str">
        <f t="shared" si="7"/>
        <v/>
      </c>
      <c r="C43" s="456" t="str">
        <f t="shared" si="4"/>
        <v/>
      </c>
      <c r="D43" s="456" t="str">
        <f t="shared" si="0"/>
        <v/>
      </c>
      <c r="E43" s="456" t="str">
        <f t="shared" si="1"/>
        <v/>
      </c>
      <c r="F43" s="456" t="str">
        <f t="shared" si="2"/>
        <v/>
      </c>
      <c r="G43" s="456" t="str">
        <f t="shared" si="5"/>
        <v/>
      </c>
    </row>
    <row r="44" spans="1:7">
      <c r="A44" s="452" t="str">
        <f t="shared" si="3"/>
        <v/>
      </c>
      <c r="B44" s="453" t="str">
        <f t="shared" si="7"/>
        <v/>
      </c>
      <c r="C44" s="454" t="str">
        <f t="shared" si="4"/>
        <v/>
      </c>
      <c r="D44" s="454" t="str">
        <f t="shared" si="0"/>
        <v/>
      </c>
      <c r="E44" s="454" t="str">
        <f t="shared" si="1"/>
        <v/>
      </c>
      <c r="F44" s="454" t="str">
        <f t="shared" si="2"/>
        <v/>
      </c>
      <c r="G44" s="454" t="str">
        <f t="shared" si="5"/>
        <v/>
      </c>
    </row>
    <row r="45" spans="1:7">
      <c r="A45" s="452" t="str">
        <f t="shared" si="3"/>
        <v/>
      </c>
      <c r="B45" s="453" t="str">
        <f t="shared" si="7"/>
        <v/>
      </c>
      <c r="C45" s="454" t="str">
        <f t="shared" si="4"/>
        <v/>
      </c>
      <c r="D45" s="454" t="str">
        <f t="shared" si="0"/>
        <v/>
      </c>
      <c r="E45" s="454" t="str">
        <f t="shared" si="1"/>
        <v/>
      </c>
      <c r="F45" s="454" t="str">
        <f t="shared" si="2"/>
        <v/>
      </c>
      <c r="G45" s="454" t="str">
        <f t="shared" si="5"/>
        <v/>
      </c>
    </row>
    <row r="46" spans="1:7">
      <c r="A46" s="455" t="str">
        <f t="shared" si="3"/>
        <v/>
      </c>
      <c r="B46" s="457" t="str">
        <f t="shared" si="7"/>
        <v/>
      </c>
      <c r="C46" s="456" t="str">
        <f t="shared" si="4"/>
        <v/>
      </c>
      <c r="D46" s="456" t="str">
        <f t="shared" si="0"/>
        <v/>
      </c>
      <c r="E46" s="456" t="str">
        <f t="shared" si="1"/>
        <v/>
      </c>
      <c r="F46" s="456" t="str">
        <f t="shared" si="2"/>
        <v/>
      </c>
      <c r="G46" s="456" t="str">
        <f t="shared" si="5"/>
        <v/>
      </c>
    </row>
    <row r="47" spans="1:7">
      <c r="A47" s="452" t="str">
        <f t="shared" si="3"/>
        <v/>
      </c>
      <c r="B47" s="453" t="str">
        <f t="shared" si="7"/>
        <v/>
      </c>
      <c r="C47" s="454" t="str">
        <f t="shared" si="4"/>
        <v/>
      </c>
      <c r="D47" s="454" t="str">
        <f t="shared" si="0"/>
        <v/>
      </c>
      <c r="E47" s="454" t="str">
        <f t="shared" si="1"/>
        <v/>
      </c>
      <c r="F47" s="454" t="str">
        <f t="shared" si="2"/>
        <v/>
      </c>
      <c r="G47" s="454" t="str">
        <f t="shared" si="5"/>
        <v/>
      </c>
    </row>
    <row r="48" spans="1:7">
      <c r="A48" s="452" t="str">
        <f t="shared" si="3"/>
        <v/>
      </c>
      <c r="B48" s="453" t="str">
        <f t="shared" si="7"/>
        <v/>
      </c>
      <c r="C48" s="454" t="str">
        <f t="shared" si="4"/>
        <v/>
      </c>
      <c r="D48" s="454" t="str">
        <f t="shared" si="0"/>
        <v/>
      </c>
      <c r="E48" s="454" t="str">
        <f t="shared" si="1"/>
        <v/>
      </c>
      <c r="F48" s="454" t="str">
        <f t="shared" si="2"/>
        <v/>
      </c>
      <c r="G48" s="454" t="str">
        <f t="shared" si="5"/>
        <v/>
      </c>
    </row>
    <row r="49" spans="1:13">
      <c r="A49" s="455" t="str">
        <f t="shared" si="3"/>
        <v/>
      </c>
      <c r="B49" s="457" t="str">
        <f t="shared" si="7"/>
        <v/>
      </c>
      <c r="C49" s="456" t="str">
        <f t="shared" si="4"/>
        <v/>
      </c>
      <c r="D49" s="456" t="str">
        <f t="shared" si="0"/>
        <v/>
      </c>
      <c r="E49" s="456" t="str">
        <f t="shared" si="1"/>
        <v/>
      </c>
      <c r="F49" s="456" t="str">
        <f t="shared" si="2"/>
        <v/>
      </c>
      <c r="G49" s="456" t="str">
        <f t="shared" si="5"/>
        <v/>
      </c>
    </row>
    <row r="50" spans="1:13">
      <c r="A50" s="455" t="str">
        <f t="shared" si="3"/>
        <v/>
      </c>
      <c r="B50" s="457" t="str">
        <f t="shared" si="7"/>
        <v/>
      </c>
      <c r="C50" s="456" t="str">
        <f t="shared" si="4"/>
        <v/>
      </c>
      <c r="D50" s="456" t="str">
        <f t="shared" si="0"/>
        <v/>
      </c>
      <c r="E50" s="456" t="str">
        <f t="shared" si="1"/>
        <v/>
      </c>
      <c r="F50" s="456" t="str">
        <f t="shared" si="2"/>
        <v/>
      </c>
      <c r="G50" s="456" t="str">
        <f t="shared" si="5"/>
        <v/>
      </c>
    </row>
    <row r="51" spans="1:13">
      <c r="A51" s="455" t="str">
        <f t="shared" si="3"/>
        <v/>
      </c>
      <c r="B51" s="457" t="str">
        <f t="shared" si="7"/>
        <v/>
      </c>
      <c r="C51" s="456" t="str">
        <f t="shared" si="4"/>
        <v/>
      </c>
      <c r="D51" s="456" t="str">
        <f t="shared" si="0"/>
        <v/>
      </c>
      <c r="E51" s="456" t="str">
        <f t="shared" si="1"/>
        <v/>
      </c>
      <c r="F51" s="456" t="str">
        <f t="shared" si="2"/>
        <v/>
      </c>
      <c r="G51" s="456" t="str">
        <f t="shared" si="5"/>
        <v/>
      </c>
    </row>
    <row r="52" spans="1:13">
      <c r="A52" s="455" t="str">
        <f t="shared" si="3"/>
        <v/>
      </c>
      <c r="B52" s="457" t="str">
        <f t="shared" si="7"/>
        <v/>
      </c>
      <c r="C52" s="456" t="str">
        <f t="shared" si="4"/>
        <v/>
      </c>
      <c r="D52" s="456" t="str">
        <f t="shared" si="0"/>
        <v/>
      </c>
      <c r="E52" s="456" t="str">
        <f t="shared" si="1"/>
        <v/>
      </c>
      <c r="F52" s="456" t="str">
        <f t="shared" si="2"/>
        <v/>
      </c>
      <c r="G52" s="456" t="str">
        <f t="shared" si="5"/>
        <v/>
      </c>
    </row>
    <row r="53" spans="1:13">
      <c r="A53" s="455" t="str">
        <f t="shared" si="3"/>
        <v/>
      </c>
      <c r="B53" s="457" t="str">
        <f t="shared" si="7"/>
        <v/>
      </c>
      <c r="C53" s="456" t="str">
        <f t="shared" si="4"/>
        <v/>
      </c>
      <c r="D53" s="456" t="str">
        <f t="shared" si="0"/>
        <v/>
      </c>
      <c r="E53" s="456" t="str">
        <f t="shared" si="1"/>
        <v/>
      </c>
      <c r="F53" s="456" t="str">
        <f t="shared" si="2"/>
        <v/>
      </c>
      <c r="G53" s="456" t="str">
        <f t="shared" si="5"/>
        <v/>
      </c>
      <c r="H53" s="458"/>
      <c r="I53" s="458"/>
      <c r="J53" s="458"/>
      <c r="K53" s="458"/>
      <c r="L53" s="458"/>
      <c r="M53" s="458"/>
    </row>
    <row r="54" spans="1:13">
      <c r="A54" s="455" t="str">
        <f t="shared" si="3"/>
        <v/>
      </c>
      <c r="B54" s="457" t="str">
        <f t="shared" si="7"/>
        <v/>
      </c>
      <c r="C54" s="456" t="str">
        <f t="shared" si="4"/>
        <v/>
      </c>
      <c r="D54" s="456" t="str">
        <f t="shared" si="0"/>
        <v/>
      </c>
      <c r="E54" s="456" t="str">
        <f t="shared" si="1"/>
        <v/>
      </c>
      <c r="F54" s="456" t="str">
        <f t="shared" si="2"/>
        <v/>
      </c>
      <c r="G54" s="456" t="str">
        <f t="shared" si="5"/>
        <v/>
      </c>
      <c r="H54" s="459"/>
      <c r="I54" s="459"/>
      <c r="J54" s="459"/>
      <c r="K54" s="459"/>
      <c r="L54" s="459"/>
      <c r="M54" s="460"/>
    </row>
    <row r="55" spans="1:13">
      <c r="A55" s="455" t="str">
        <f t="shared" si="3"/>
        <v/>
      </c>
      <c r="B55" s="457" t="str">
        <f t="shared" si="7"/>
        <v/>
      </c>
      <c r="C55" s="456" t="str">
        <f t="shared" si="4"/>
        <v/>
      </c>
      <c r="D55" s="456" t="str">
        <f t="shared" si="0"/>
        <v/>
      </c>
      <c r="E55" s="456" t="str">
        <f t="shared" si="1"/>
        <v/>
      </c>
      <c r="F55" s="456" t="str">
        <f t="shared" si="2"/>
        <v/>
      </c>
      <c r="G55" s="456" t="str">
        <f t="shared" si="5"/>
        <v/>
      </c>
      <c r="H55" s="461"/>
      <c r="I55" s="461"/>
      <c r="J55" s="461"/>
      <c r="K55" s="461"/>
      <c r="L55" s="461"/>
      <c r="M55" s="462"/>
    </row>
    <row r="56" spans="1:13">
      <c r="A56" s="455" t="str">
        <f t="shared" si="3"/>
        <v/>
      </c>
      <c r="B56" s="457" t="str">
        <f t="shared" si="7"/>
        <v/>
      </c>
      <c r="C56" s="456" t="str">
        <f t="shared" si="4"/>
        <v/>
      </c>
      <c r="D56" s="456" t="str">
        <f t="shared" si="0"/>
        <v/>
      </c>
      <c r="E56" s="456" t="str">
        <f t="shared" si="1"/>
        <v/>
      </c>
      <c r="F56" s="456" t="str">
        <f t="shared" si="2"/>
        <v/>
      </c>
      <c r="G56" s="456" t="str">
        <f t="shared" si="5"/>
        <v/>
      </c>
      <c r="H56" s="461"/>
      <c r="I56" s="461"/>
      <c r="J56" s="461"/>
      <c r="K56" s="461"/>
      <c r="L56" s="461"/>
      <c r="M56" s="462"/>
    </row>
    <row r="57" spans="1:13">
      <c r="A57" s="455" t="str">
        <f t="shared" si="3"/>
        <v/>
      </c>
      <c r="B57" s="457" t="str">
        <f t="shared" si="7"/>
        <v/>
      </c>
      <c r="C57" s="456" t="str">
        <f t="shared" si="4"/>
        <v/>
      </c>
      <c r="D57" s="456" t="str">
        <f t="shared" si="0"/>
        <v/>
      </c>
      <c r="E57" s="456" t="str">
        <f t="shared" si="1"/>
        <v/>
      </c>
      <c r="F57" s="456" t="str">
        <f t="shared" si="2"/>
        <v/>
      </c>
      <c r="G57" s="456" t="str">
        <f t="shared" si="5"/>
        <v/>
      </c>
      <c r="H57" s="459"/>
      <c r="I57" s="459"/>
      <c r="J57" s="459"/>
      <c r="K57" s="459"/>
      <c r="L57" s="459"/>
      <c r="M57" s="460"/>
    </row>
    <row r="58" spans="1:13">
      <c r="A58" s="455" t="str">
        <f t="shared" si="3"/>
        <v/>
      </c>
      <c r="B58" s="457" t="str">
        <f t="shared" si="7"/>
        <v/>
      </c>
      <c r="C58" s="456" t="str">
        <f t="shared" si="4"/>
        <v/>
      </c>
      <c r="D58" s="456" t="str">
        <f t="shared" si="0"/>
        <v/>
      </c>
      <c r="E58" s="456" t="str">
        <f t="shared" si="1"/>
        <v/>
      </c>
      <c r="F58" s="456" t="str">
        <f t="shared" si="2"/>
        <v/>
      </c>
      <c r="G58" s="456" t="str">
        <f t="shared" si="5"/>
        <v/>
      </c>
      <c r="H58" s="463"/>
      <c r="I58" s="463"/>
      <c r="J58" s="463"/>
      <c r="K58" s="463"/>
      <c r="L58" s="463"/>
      <c r="M58" s="464"/>
    </row>
    <row r="59" spans="1:13">
      <c r="A59" s="455" t="str">
        <f t="shared" si="3"/>
        <v/>
      </c>
      <c r="B59" s="457" t="str">
        <f t="shared" si="7"/>
        <v/>
      </c>
      <c r="C59" s="456" t="str">
        <f t="shared" si="4"/>
        <v/>
      </c>
      <c r="D59" s="456" t="str">
        <f t="shared" si="0"/>
        <v/>
      </c>
      <c r="E59" s="456" t="str">
        <f t="shared" si="1"/>
        <v/>
      </c>
      <c r="F59" s="456" t="str">
        <f t="shared" si="2"/>
        <v/>
      </c>
      <c r="G59" s="456" t="str">
        <f t="shared" si="5"/>
        <v/>
      </c>
    </row>
    <row r="60" spans="1:13">
      <c r="A60" s="455" t="str">
        <f t="shared" si="3"/>
        <v/>
      </c>
      <c r="B60" s="457" t="str">
        <f t="shared" si="7"/>
        <v/>
      </c>
      <c r="C60" s="456" t="str">
        <f t="shared" si="4"/>
        <v/>
      </c>
      <c r="D60" s="456" t="str">
        <f t="shared" si="0"/>
        <v/>
      </c>
      <c r="E60" s="456" t="str">
        <f t="shared" si="1"/>
        <v/>
      </c>
      <c r="F60" s="456" t="str">
        <f t="shared" si="2"/>
        <v/>
      </c>
      <c r="G60" s="456" t="str">
        <f t="shared" si="5"/>
        <v/>
      </c>
    </row>
    <row r="61" spans="1:13">
      <c r="A61" s="455" t="str">
        <f t="shared" si="3"/>
        <v/>
      </c>
      <c r="B61" s="457" t="str">
        <f t="shared" si="7"/>
        <v/>
      </c>
      <c r="C61" s="456" t="str">
        <f t="shared" si="4"/>
        <v/>
      </c>
      <c r="D61" s="456" t="str">
        <f t="shared" si="0"/>
        <v/>
      </c>
      <c r="E61" s="456" t="str">
        <f t="shared" si="1"/>
        <v/>
      </c>
      <c r="F61" s="456" t="str">
        <f t="shared" si="2"/>
        <v/>
      </c>
      <c r="G61" s="456" t="str">
        <f t="shared" si="5"/>
        <v/>
      </c>
    </row>
    <row r="62" spans="1:13">
      <c r="A62" s="455" t="str">
        <f t="shared" si="3"/>
        <v/>
      </c>
      <c r="B62" s="457" t="str">
        <f t="shared" si="7"/>
        <v/>
      </c>
      <c r="C62" s="456" t="str">
        <f t="shared" si="4"/>
        <v/>
      </c>
      <c r="D62" s="456" t="str">
        <f t="shared" si="0"/>
        <v/>
      </c>
      <c r="E62" s="456" t="str">
        <f t="shared" si="1"/>
        <v/>
      </c>
      <c r="F62" s="456" t="str">
        <f t="shared" si="2"/>
        <v/>
      </c>
      <c r="G62" s="456" t="str">
        <f t="shared" si="5"/>
        <v/>
      </c>
    </row>
    <row r="63" spans="1:13">
      <c r="A63" s="455" t="str">
        <f t="shared" si="3"/>
        <v/>
      </c>
      <c r="B63" s="457" t="str">
        <f t="shared" si="7"/>
        <v/>
      </c>
      <c r="C63" s="456" t="str">
        <f t="shared" si="4"/>
        <v/>
      </c>
      <c r="D63" s="456" t="str">
        <f t="shared" si="0"/>
        <v/>
      </c>
      <c r="E63" s="456" t="str">
        <f t="shared" si="1"/>
        <v/>
      </c>
      <c r="F63" s="456" t="str">
        <f t="shared" si="2"/>
        <v/>
      </c>
      <c r="G63" s="456" t="str">
        <f t="shared" si="5"/>
        <v/>
      </c>
    </row>
    <row r="64" spans="1:13">
      <c r="A64" s="455" t="str">
        <f t="shared" si="3"/>
        <v/>
      </c>
      <c r="B64" s="457" t="str">
        <f t="shared" si="7"/>
        <v/>
      </c>
      <c r="C64" s="456" t="str">
        <f t="shared" si="4"/>
        <v/>
      </c>
      <c r="D64" s="456" t="str">
        <f t="shared" si="0"/>
        <v/>
      </c>
      <c r="E64" s="456" t="str">
        <f t="shared" si="1"/>
        <v/>
      </c>
      <c r="F64" s="456" t="str">
        <f t="shared" si="2"/>
        <v/>
      </c>
      <c r="G64" s="456" t="str">
        <f t="shared" si="5"/>
        <v/>
      </c>
    </row>
    <row r="65" spans="1:7">
      <c r="A65" s="455" t="str">
        <f t="shared" si="3"/>
        <v/>
      </c>
      <c r="B65" s="457" t="str">
        <f t="shared" si="7"/>
        <v/>
      </c>
      <c r="C65" s="456" t="str">
        <f t="shared" si="4"/>
        <v/>
      </c>
      <c r="D65" s="456" t="str">
        <f t="shared" si="0"/>
        <v/>
      </c>
      <c r="E65" s="456" t="str">
        <f t="shared" si="1"/>
        <v/>
      </c>
      <c r="F65" s="456" t="str">
        <f t="shared" si="2"/>
        <v/>
      </c>
      <c r="G65" s="456" t="str">
        <f t="shared" si="5"/>
        <v/>
      </c>
    </row>
    <row r="66" spans="1:7">
      <c r="A66" s="455" t="str">
        <f t="shared" si="3"/>
        <v/>
      </c>
      <c r="B66" s="457" t="str">
        <f t="shared" si="7"/>
        <v/>
      </c>
      <c r="C66" s="456" t="str">
        <f t="shared" si="4"/>
        <v/>
      </c>
      <c r="D66" s="456" t="str">
        <f t="shared" si="0"/>
        <v/>
      </c>
      <c r="E66" s="456" t="str">
        <f t="shared" si="1"/>
        <v/>
      </c>
      <c r="F66" s="456" t="str">
        <f t="shared" si="2"/>
        <v/>
      </c>
      <c r="G66" s="456" t="str">
        <f t="shared" si="5"/>
        <v/>
      </c>
    </row>
    <row r="67" spans="1:7">
      <c r="A67" s="455" t="str">
        <f t="shared" si="3"/>
        <v/>
      </c>
      <c r="B67" s="457" t="str">
        <f t="shared" si="7"/>
        <v/>
      </c>
      <c r="C67" s="456" t="str">
        <f t="shared" si="4"/>
        <v/>
      </c>
      <c r="D67" s="456" t="str">
        <f t="shared" si="0"/>
        <v/>
      </c>
      <c r="E67" s="456" t="str">
        <f t="shared" si="1"/>
        <v/>
      </c>
      <c r="F67" s="456" t="str">
        <f t="shared" si="2"/>
        <v/>
      </c>
      <c r="G67" s="456" t="str">
        <f t="shared" si="5"/>
        <v/>
      </c>
    </row>
    <row r="68" spans="1:7">
      <c r="A68" s="455" t="str">
        <f t="shared" si="3"/>
        <v/>
      </c>
      <c r="B68" s="457" t="str">
        <f t="shared" si="7"/>
        <v/>
      </c>
      <c r="C68" s="456" t="str">
        <f t="shared" si="4"/>
        <v/>
      </c>
      <c r="D68" s="456" t="str">
        <f t="shared" si="0"/>
        <v/>
      </c>
      <c r="E68" s="456" t="str">
        <f t="shared" si="1"/>
        <v/>
      </c>
      <c r="F68" s="456" t="str">
        <f t="shared" si="2"/>
        <v/>
      </c>
      <c r="G68" s="456" t="str">
        <f t="shared" si="5"/>
        <v/>
      </c>
    </row>
    <row r="69" spans="1:7">
      <c r="A69" s="455" t="str">
        <f t="shared" si="3"/>
        <v/>
      </c>
      <c r="B69" s="457" t="str">
        <f t="shared" si="7"/>
        <v/>
      </c>
      <c r="C69" s="456" t="str">
        <f t="shared" si="4"/>
        <v/>
      </c>
      <c r="D69" s="456" t="str">
        <f t="shared" si="0"/>
        <v/>
      </c>
      <c r="E69" s="456" t="str">
        <f t="shared" si="1"/>
        <v/>
      </c>
      <c r="F69" s="456" t="str">
        <f t="shared" si="2"/>
        <v/>
      </c>
      <c r="G69" s="456" t="str">
        <f t="shared" si="5"/>
        <v/>
      </c>
    </row>
    <row r="70" spans="1:7">
      <c r="A70" s="455" t="str">
        <f t="shared" si="3"/>
        <v/>
      </c>
      <c r="B70" s="457" t="str">
        <f t="shared" si="7"/>
        <v/>
      </c>
      <c r="C70" s="456" t="str">
        <f t="shared" si="4"/>
        <v/>
      </c>
      <c r="D70" s="456" t="str">
        <f t="shared" si="0"/>
        <v/>
      </c>
      <c r="E70" s="456" t="str">
        <f t="shared" si="1"/>
        <v/>
      </c>
      <c r="F70" s="456" t="str">
        <f t="shared" si="2"/>
        <v/>
      </c>
      <c r="G70" s="456" t="str">
        <f t="shared" si="5"/>
        <v/>
      </c>
    </row>
    <row r="71" spans="1:7">
      <c r="A71" s="455" t="str">
        <f t="shared" si="3"/>
        <v/>
      </c>
      <c r="B71" s="457" t="str">
        <f t="shared" si="7"/>
        <v/>
      </c>
      <c r="C71" s="456" t="str">
        <f t="shared" si="4"/>
        <v/>
      </c>
      <c r="D71" s="456" t="str">
        <f t="shared" si="0"/>
        <v/>
      </c>
      <c r="E71" s="456" t="str">
        <f t="shared" si="1"/>
        <v/>
      </c>
      <c r="F71" s="456" t="str">
        <f t="shared" si="2"/>
        <v/>
      </c>
      <c r="G71" s="456" t="str">
        <f t="shared" si="5"/>
        <v/>
      </c>
    </row>
    <row r="72" spans="1:7">
      <c r="A72" s="455" t="str">
        <f t="shared" si="3"/>
        <v/>
      </c>
      <c r="B72" s="457" t="str">
        <f t="shared" si="7"/>
        <v/>
      </c>
      <c r="C72" s="456" t="str">
        <f t="shared" si="4"/>
        <v/>
      </c>
      <c r="D72" s="456" t="str">
        <f t="shared" si="0"/>
        <v/>
      </c>
      <c r="E72" s="456" t="str">
        <f t="shared" si="1"/>
        <v/>
      </c>
      <c r="F72" s="456" t="str">
        <f t="shared" si="2"/>
        <v/>
      </c>
      <c r="G72" s="456" t="str">
        <f t="shared" si="5"/>
        <v/>
      </c>
    </row>
    <row r="73" spans="1:7">
      <c r="A73" s="455" t="str">
        <f t="shared" si="3"/>
        <v/>
      </c>
      <c r="B73" s="457" t="str">
        <f t="shared" si="7"/>
        <v/>
      </c>
      <c r="C73" s="456" t="str">
        <f t="shared" si="4"/>
        <v/>
      </c>
      <c r="D73" s="456" t="str">
        <f t="shared" si="0"/>
        <v/>
      </c>
      <c r="E73" s="456" t="str">
        <f t="shared" si="1"/>
        <v/>
      </c>
      <c r="F73" s="456" t="str">
        <f t="shared" si="2"/>
        <v/>
      </c>
      <c r="G73" s="456" t="str">
        <f t="shared" si="5"/>
        <v/>
      </c>
    </row>
    <row r="74" spans="1:7">
      <c r="A74" s="455" t="str">
        <f t="shared" si="3"/>
        <v/>
      </c>
      <c r="B74" s="457" t="str">
        <f t="shared" si="7"/>
        <v/>
      </c>
      <c r="C74" s="456" t="str">
        <f t="shared" si="4"/>
        <v/>
      </c>
      <c r="D74" s="456" t="str">
        <f t="shared" si="0"/>
        <v/>
      </c>
      <c r="E74" s="456" t="str">
        <f t="shared" si="1"/>
        <v/>
      </c>
      <c r="F74" s="456" t="str">
        <f t="shared" si="2"/>
        <v/>
      </c>
      <c r="G74" s="456" t="str">
        <f t="shared" si="5"/>
        <v/>
      </c>
    </row>
    <row r="75" spans="1:7">
      <c r="A75" s="455" t="str">
        <f t="shared" si="3"/>
        <v/>
      </c>
      <c r="B75" s="457" t="str">
        <f t="shared" si="7"/>
        <v/>
      </c>
      <c r="C75" s="456" t="str">
        <f t="shared" si="4"/>
        <v/>
      </c>
      <c r="D75" s="456" t="str">
        <f t="shared" si="0"/>
        <v/>
      </c>
      <c r="E75" s="456" t="str">
        <f t="shared" si="1"/>
        <v/>
      </c>
      <c r="F75" s="456" t="str">
        <f t="shared" si="2"/>
        <v/>
      </c>
      <c r="G75" s="456" t="str">
        <f t="shared" si="5"/>
        <v/>
      </c>
    </row>
    <row r="76" spans="1:7">
      <c r="A76" s="455" t="str">
        <f t="shared" si="3"/>
        <v/>
      </c>
      <c r="B76" s="457" t="str">
        <f t="shared" si="7"/>
        <v/>
      </c>
      <c r="C76" s="456" t="str">
        <f t="shared" si="4"/>
        <v/>
      </c>
      <c r="D76" s="456" t="str">
        <f t="shared" si="0"/>
        <v/>
      </c>
      <c r="E76" s="456" t="str">
        <f t="shared" si="1"/>
        <v/>
      </c>
      <c r="F76" s="456" t="str">
        <f t="shared" si="2"/>
        <v/>
      </c>
      <c r="G76" s="456" t="str">
        <f t="shared" si="5"/>
        <v/>
      </c>
    </row>
    <row r="77" spans="1:7">
      <c r="A77" s="455" t="str">
        <f t="shared" si="3"/>
        <v/>
      </c>
      <c r="B77" s="457" t="str">
        <f t="shared" si="7"/>
        <v/>
      </c>
      <c r="C77" s="456" t="str">
        <f t="shared" si="4"/>
        <v/>
      </c>
      <c r="D77" s="456" t="str">
        <f t="shared" si="0"/>
        <v/>
      </c>
      <c r="E77" s="456" t="str">
        <f t="shared" si="1"/>
        <v/>
      </c>
      <c r="F77" s="456" t="str">
        <f t="shared" si="2"/>
        <v/>
      </c>
      <c r="G77" s="456" t="str">
        <f t="shared" si="5"/>
        <v/>
      </c>
    </row>
    <row r="78" spans="1:7">
      <c r="A78" s="455" t="str">
        <f t="shared" si="3"/>
        <v/>
      </c>
      <c r="B78" s="457" t="str">
        <f t="shared" si="7"/>
        <v/>
      </c>
      <c r="C78" s="456" t="str">
        <f t="shared" si="4"/>
        <v/>
      </c>
      <c r="D78" s="456" t="str">
        <f t="shared" si="0"/>
        <v/>
      </c>
      <c r="E78" s="456" t="str">
        <f t="shared" si="1"/>
        <v/>
      </c>
      <c r="F78" s="456" t="str">
        <f t="shared" si="2"/>
        <v/>
      </c>
      <c r="G78" s="456" t="str">
        <f t="shared" si="5"/>
        <v/>
      </c>
    </row>
    <row r="79" spans="1:7">
      <c r="A79" s="455" t="str">
        <f t="shared" si="3"/>
        <v/>
      </c>
      <c r="B79" s="457" t="str">
        <f t="shared" si="7"/>
        <v/>
      </c>
      <c r="C79" s="456" t="str">
        <f t="shared" si="4"/>
        <v/>
      </c>
      <c r="D79" s="456" t="str">
        <f t="shared" si="0"/>
        <v/>
      </c>
      <c r="E79" s="456" t="str">
        <f t="shared" si="1"/>
        <v/>
      </c>
      <c r="F79" s="456" t="str">
        <f t="shared" si="2"/>
        <v/>
      </c>
      <c r="G79" s="456" t="str">
        <f t="shared" si="5"/>
        <v/>
      </c>
    </row>
    <row r="80" spans="1:7">
      <c r="A80" s="455" t="str">
        <f t="shared" si="3"/>
        <v/>
      </c>
      <c r="B80" s="457" t="str">
        <f t="shared" si="7"/>
        <v/>
      </c>
      <c r="C80" s="456" t="str">
        <f t="shared" si="4"/>
        <v/>
      </c>
      <c r="D80" s="456" t="str">
        <f t="shared" si="0"/>
        <v/>
      </c>
      <c r="E80" s="456" t="str">
        <f t="shared" si="1"/>
        <v/>
      </c>
      <c r="F80" s="456" t="str">
        <f t="shared" si="2"/>
        <v/>
      </c>
      <c r="G80" s="456" t="str">
        <f t="shared" si="5"/>
        <v/>
      </c>
    </row>
    <row r="81" spans="1:7">
      <c r="A81" s="455" t="str">
        <f t="shared" si="3"/>
        <v/>
      </c>
      <c r="B81" s="457" t="str">
        <f t="shared" si="7"/>
        <v/>
      </c>
      <c r="C81" s="456" t="str">
        <f t="shared" si="4"/>
        <v/>
      </c>
      <c r="D81" s="456" t="str">
        <f t="shared" si="0"/>
        <v/>
      </c>
      <c r="E81" s="456" t="str">
        <f t="shared" si="1"/>
        <v/>
      </c>
      <c r="F81" s="456" t="str">
        <f t="shared" si="2"/>
        <v/>
      </c>
      <c r="G81" s="456" t="str">
        <f t="shared" si="5"/>
        <v/>
      </c>
    </row>
    <row r="82" spans="1:7">
      <c r="A82" s="455" t="str">
        <f t="shared" si="3"/>
        <v/>
      </c>
      <c r="B82" s="457" t="str">
        <f t="shared" si="7"/>
        <v/>
      </c>
      <c r="C82" s="456" t="str">
        <f t="shared" si="4"/>
        <v/>
      </c>
      <c r="D82" s="456" t="str">
        <f t="shared" si="0"/>
        <v/>
      </c>
      <c r="E82" s="456" t="str">
        <f t="shared" si="1"/>
        <v/>
      </c>
      <c r="F82" s="456" t="str">
        <f t="shared" si="2"/>
        <v/>
      </c>
      <c r="G82" s="456" t="str">
        <f t="shared" si="5"/>
        <v/>
      </c>
    </row>
    <row r="83" spans="1:7">
      <c r="A83" s="455" t="str">
        <f t="shared" si="3"/>
        <v/>
      </c>
      <c r="B83" s="457" t="str">
        <f t="shared" si="7"/>
        <v/>
      </c>
      <c r="C83" s="456" t="str">
        <f t="shared" si="4"/>
        <v/>
      </c>
      <c r="D83" s="456" t="str">
        <f t="shared" si="0"/>
        <v/>
      </c>
      <c r="E83" s="456" t="str">
        <f t="shared" si="1"/>
        <v/>
      </c>
      <c r="F83" s="456" t="str">
        <f t="shared" si="2"/>
        <v/>
      </c>
      <c r="G83" s="456" t="str">
        <f t="shared" si="5"/>
        <v/>
      </c>
    </row>
    <row r="84" spans="1:7">
      <c r="A84" s="455" t="str">
        <f t="shared" si="3"/>
        <v/>
      </c>
      <c r="B84" s="457" t="str">
        <f t="shared" si="7"/>
        <v/>
      </c>
      <c r="C84" s="456" t="str">
        <f t="shared" si="4"/>
        <v/>
      </c>
      <c r="D84" s="456" t="str">
        <f t="shared" si="0"/>
        <v/>
      </c>
      <c r="E84" s="456" t="str">
        <f t="shared" si="1"/>
        <v/>
      </c>
      <c r="F84" s="456" t="str">
        <f t="shared" si="2"/>
        <v/>
      </c>
      <c r="G84" s="456" t="str">
        <f t="shared" si="5"/>
        <v/>
      </c>
    </row>
    <row r="85" spans="1:7">
      <c r="A85" s="455" t="str">
        <f t="shared" si="3"/>
        <v/>
      </c>
      <c r="B85" s="457" t="str">
        <f t="shared" si="7"/>
        <v/>
      </c>
      <c r="C85" s="456" t="str">
        <f t="shared" si="4"/>
        <v/>
      </c>
      <c r="D85" s="456" t="str">
        <f t="shared" si="0"/>
        <v/>
      </c>
      <c r="E85" s="456" t="str">
        <f t="shared" si="1"/>
        <v/>
      </c>
      <c r="F85" s="456" t="str">
        <f t="shared" si="2"/>
        <v/>
      </c>
      <c r="G85" s="456" t="str">
        <f t="shared" si="5"/>
        <v/>
      </c>
    </row>
    <row r="86" spans="1:7">
      <c r="A86" s="455" t="str">
        <f t="shared" si="3"/>
        <v/>
      </c>
      <c r="B86" s="457" t="str">
        <f t="shared" si="7"/>
        <v/>
      </c>
      <c r="C86" s="456" t="str">
        <f t="shared" si="4"/>
        <v/>
      </c>
      <c r="D86" s="456" t="str">
        <f t="shared" si="0"/>
        <v/>
      </c>
      <c r="E86" s="456" t="str">
        <f t="shared" si="1"/>
        <v/>
      </c>
      <c r="F86" s="456" t="str">
        <f t="shared" si="2"/>
        <v/>
      </c>
      <c r="G86" s="456" t="str">
        <f t="shared" si="5"/>
        <v/>
      </c>
    </row>
    <row r="87" spans="1:7">
      <c r="A87" s="455" t="str">
        <f t="shared" si="3"/>
        <v/>
      </c>
      <c r="B87" s="457" t="str">
        <f t="shared" si="7"/>
        <v/>
      </c>
      <c r="C87" s="456" t="str">
        <f t="shared" si="4"/>
        <v/>
      </c>
      <c r="D87" s="456" t="str">
        <f t="shared" si="0"/>
        <v/>
      </c>
      <c r="E87" s="456" t="str">
        <f t="shared" si="1"/>
        <v/>
      </c>
      <c r="F87" s="456" t="str">
        <f t="shared" si="2"/>
        <v/>
      </c>
      <c r="G87" s="456" t="str">
        <f t="shared" si="5"/>
        <v/>
      </c>
    </row>
    <row r="88" spans="1:7">
      <c r="A88" s="455" t="str">
        <f t="shared" si="3"/>
        <v/>
      </c>
      <c r="B88" s="457" t="str">
        <f t="shared" si="7"/>
        <v/>
      </c>
      <c r="C88" s="456" t="str">
        <f t="shared" si="4"/>
        <v/>
      </c>
      <c r="D88" s="456" t="str">
        <f t="shared" si="0"/>
        <v/>
      </c>
      <c r="E88" s="456" t="str">
        <f t="shared" si="1"/>
        <v/>
      </c>
      <c r="F88" s="456" t="str">
        <f t="shared" si="2"/>
        <v/>
      </c>
      <c r="G88" s="456" t="str">
        <f t="shared" si="5"/>
        <v/>
      </c>
    </row>
    <row r="89" spans="1:7">
      <c r="A89" s="455" t="str">
        <f t="shared" si="3"/>
        <v/>
      </c>
      <c r="B89" s="457" t="str">
        <f t="shared" si="7"/>
        <v/>
      </c>
      <c r="C89" s="456" t="str">
        <f t="shared" si="4"/>
        <v/>
      </c>
      <c r="D89" s="456" t="str">
        <f t="shared" si="0"/>
        <v/>
      </c>
      <c r="E89" s="456" t="str">
        <f t="shared" si="1"/>
        <v/>
      </c>
      <c r="F89" s="456" t="str">
        <f t="shared" si="2"/>
        <v/>
      </c>
      <c r="G89" s="456" t="str">
        <f t="shared" si="5"/>
        <v/>
      </c>
    </row>
    <row r="90" spans="1:7">
      <c r="A90" s="455" t="str">
        <f t="shared" si="3"/>
        <v/>
      </c>
      <c r="B90" s="457" t="str">
        <f t="shared" si="7"/>
        <v/>
      </c>
      <c r="C90" s="456" t="str">
        <f t="shared" si="4"/>
        <v/>
      </c>
      <c r="D90" s="456" t="str">
        <f t="shared" ref="D90:D106" si="8">Interessi</f>
        <v/>
      </c>
      <c r="E90" s="456" t="str">
        <f t="shared" ref="E90:E106" si="9">Montante</f>
        <v/>
      </c>
      <c r="F90" s="456" t="str">
        <f t="shared" ref="F90:F106" si="10">Bilancio.fin</f>
        <v/>
      </c>
      <c r="G90" s="456" t="str">
        <f t="shared" si="5"/>
        <v/>
      </c>
    </row>
    <row r="91" spans="1:7">
      <c r="A91" s="455" t="str">
        <f t="shared" ref="A91:A106" si="11">Num.rata</f>
        <v/>
      </c>
      <c r="B91" s="457" t="str">
        <f t="shared" si="7"/>
        <v/>
      </c>
      <c r="C91" s="456" t="str">
        <f t="shared" ref="C91:C106" si="12">Bilancio.iniz</f>
        <v/>
      </c>
      <c r="D91" s="456" t="str">
        <f t="shared" si="8"/>
        <v/>
      </c>
      <c r="E91" s="456" t="str">
        <f t="shared" si="9"/>
        <v/>
      </c>
      <c r="F91" s="456" t="str">
        <f t="shared" si="10"/>
        <v/>
      </c>
      <c r="G91" s="456" t="str">
        <f t="shared" ref="G91:G106" si="13">Interesse.cum</f>
        <v/>
      </c>
    </row>
    <row r="92" spans="1:7">
      <c r="A92" s="455" t="str">
        <f t="shared" si="11"/>
        <v/>
      </c>
      <c r="B92" s="457" t="str">
        <f t="shared" si="7"/>
        <v/>
      </c>
      <c r="C92" s="456" t="str">
        <f t="shared" si="12"/>
        <v/>
      </c>
      <c r="D92" s="456" t="str">
        <f t="shared" si="8"/>
        <v/>
      </c>
      <c r="E92" s="456" t="str">
        <f t="shared" si="9"/>
        <v/>
      </c>
      <c r="F92" s="456" t="str">
        <f t="shared" si="10"/>
        <v/>
      </c>
      <c r="G92" s="456" t="str">
        <f t="shared" si="13"/>
        <v/>
      </c>
    </row>
    <row r="93" spans="1:7">
      <c r="A93" s="455" t="str">
        <f t="shared" si="11"/>
        <v/>
      </c>
      <c r="B93" s="457" t="str">
        <f t="shared" si="7"/>
        <v/>
      </c>
      <c r="C93" s="456" t="str">
        <f t="shared" si="12"/>
        <v/>
      </c>
      <c r="D93" s="456" t="str">
        <f t="shared" si="8"/>
        <v/>
      </c>
      <c r="E93" s="456" t="str">
        <f t="shared" si="9"/>
        <v/>
      </c>
      <c r="F93" s="456" t="str">
        <f t="shared" si="10"/>
        <v/>
      </c>
      <c r="G93" s="456" t="str">
        <f t="shared" si="13"/>
        <v/>
      </c>
    </row>
    <row r="94" spans="1:7">
      <c r="A94" s="455" t="str">
        <f t="shared" si="11"/>
        <v/>
      </c>
      <c r="B94" s="457" t="str">
        <f t="shared" si="7"/>
        <v/>
      </c>
      <c r="C94" s="456" t="str">
        <f t="shared" si="12"/>
        <v/>
      </c>
      <c r="D94" s="456" t="str">
        <f t="shared" si="8"/>
        <v/>
      </c>
      <c r="E94" s="456" t="str">
        <f t="shared" si="9"/>
        <v/>
      </c>
      <c r="F94" s="456" t="str">
        <f t="shared" si="10"/>
        <v/>
      </c>
      <c r="G94" s="456" t="str">
        <f t="shared" si="13"/>
        <v/>
      </c>
    </row>
    <row r="95" spans="1:7">
      <c r="A95" s="455" t="str">
        <f t="shared" si="11"/>
        <v/>
      </c>
      <c r="B95" s="457" t="str">
        <f t="shared" si="7"/>
        <v/>
      </c>
      <c r="C95" s="456" t="str">
        <f t="shared" si="12"/>
        <v/>
      </c>
      <c r="D95" s="456" t="str">
        <f t="shared" si="8"/>
        <v/>
      </c>
      <c r="E95" s="456" t="str">
        <f t="shared" si="9"/>
        <v/>
      </c>
      <c r="F95" s="456" t="str">
        <f t="shared" si="10"/>
        <v/>
      </c>
      <c r="G95" s="456" t="str">
        <f t="shared" si="13"/>
        <v/>
      </c>
    </row>
    <row r="96" spans="1:7">
      <c r="A96" s="455" t="str">
        <f t="shared" si="11"/>
        <v/>
      </c>
      <c r="B96" s="457" t="str">
        <f t="shared" si="7"/>
        <v/>
      </c>
      <c r="C96" s="456" t="str">
        <f t="shared" si="12"/>
        <v/>
      </c>
      <c r="D96" s="456" t="str">
        <f t="shared" si="8"/>
        <v/>
      </c>
      <c r="E96" s="456" t="str">
        <f t="shared" si="9"/>
        <v/>
      </c>
      <c r="F96" s="456" t="str">
        <f t="shared" si="10"/>
        <v/>
      </c>
      <c r="G96" s="456" t="str">
        <f t="shared" si="13"/>
        <v/>
      </c>
    </row>
    <row r="97" spans="1:7">
      <c r="A97" s="455" t="str">
        <f t="shared" si="11"/>
        <v/>
      </c>
      <c r="B97" s="457" t="str">
        <f t="shared" si="7"/>
        <v/>
      </c>
      <c r="C97" s="456" t="str">
        <f t="shared" si="12"/>
        <v/>
      </c>
      <c r="D97" s="456" t="str">
        <f t="shared" si="8"/>
        <v/>
      </c>
      <c r="E97" s="456" t="str">
        <f t="shared" si="9"/>
        <v/>
      </c>
      <c r="F97" s="456" t="str">
        <f t="shared" si="10"/>
        <v/>
      </c>
      <c r="G97" s="456" t="str">
        <f t="shared" si="13"/>
        <v/>
      </c>
    </row>
    <row r="98" spans="1:7">
      <c r="A98" s="455" t="str">
        <f t="shared" si="11"/>
        <v/>
      </c>
      <c r="B98" s="457" t="str">
        <f t="shared" si="7"/>
        <v/>
      </c>
      <c r="C98" s="456" t="str">
        <f t="shared" si="12"/>
        <v/>
      </c>
      <c r="D98" s="456" t="str">
        <f t="shared" si="8"/>
        <v/>
      </c>
      <c r="E98" s="456" t="str">
        <f t="shared" si="9"/>
        <v/>
      </c>
      <c r="F98" s="456" t="str">
        <f t="shared" si="10"/>
        <v/>
      </c>
      <c r="G98" s="456" t="str">
        <f t="shared" si="13"/>
        <v/>
      </c>
    </row>
    <row r="99" spans="1:7">
      <c r="A99" s="455" t="str">
        <f t="shared" si="11"/>
        <v/>
      </c>
      <c r="B99" s="457" t="str">
        <f t="shared" si="7"/>
        <v/>
      </c>
      <c r="C99" s="456" t="str">
        <f t="shared" si="12"/>
        <v/>
      </c>
      <c r="D99" s="456" t="str">
        <f t="shared" si="8"/>
        <v/>
      </c>
      <c r="E99" s="456" t="str">
        <f t="shared" si="9"/>
        <v/>
      </c>
      <c r="F99" s="456" t="str">
        <f t="shared" si="10"/>
        <v/>
      </c>
      <c r="G99" s="456" t="str">
        <f t="shared" si="13"/>
        <v/>
      </c>
    </row>
    <row r="100" spans="1:7">
      <c r="A100" s="455" t="str">
        <f t="shared" si="11"/>
        <v/>
      </c>
      <c r="B100" s="457" t="str">
        <f t="shared" si="7"/>
        <v/>
      </c>
      <c r="C100" s="456" t="str">
        <f t="shared" si="12"/>
        <v/>
      </c>
      <c r="D100" s="456" t="str">
        <f t="shared" si="8"/>
        <v/>
      </c>
      <c r="E100" s="456" t="str">
        <f t="shared" si="9"/>
        <v/>
      </c>
      <c r="F100" s="456" t="str">
        <f t="shared" si="10"/>
        <v/>
      </c>
      <c r="G100" s="456" t="str">
        <f t="shared" si="13"/>
        <v/>
      </c>
    </row>
    <row r="101" spans="1:7">
      <c r="A101" s="455" t="str">
        <f t="shared" si="11"/>
        <v/>
      </c>
      <c r="B101" s="457" t="str">
        <f t="shared" si="7"/>
        <v/>
      </c>
      <c r="C101" s="456" t="str">
        <f t="shared" si="12"/>
        <v/>
      </c>
      <c r="D101" s="456" t="str">
        <f t="shared" si="8"/>
        <v/>
      </c>
      <c r="E101" s="456" t="str">
        <f t="shared" si="9"/>
        <v/>
      </c>
      <c r="F101" s="456" t="str">
        <f t="shared" si="10"/>
        <v/>
      </c>
      <c r="G101" s="456" t="str">
        <f t="shared" si="13"/>
        <v/>
      </c>
    </row>
    <row r="102" spans="1:7">
      <c r="A102" s="455" t="str">
        <f t="shared" si="11"/>
        <v/>
      </c>
      <c r="B102" s="457" t="str">
        <f t="shared" si="7"/>
        <v/>
      </c>
      <c r="C102" s="456" t="str">
        <f t="shared" si="12"/>
        <v/>
      </c>
      <c r="D102" s="456" t="str">
        <f t="shared" si="8"/>
        <v/>
      </c>
      <c r="E102" s="456" t="str">
        <f t="shared" si="9"/>
        <v/>
      </c>
      <c r="F102" s="456" t="str">
        <f t="shared" si="10"/>
        <v/>
      </c>
      <c r="G102" s="456" t="str">
        <f t="shared" si="13"/>
        <v/>
      </c>
    </row>
    <row r="103" spans="1:7">
      <c r="A103" s="455" t="str">
        <f t="shared" si="11"/>
        <v/>
      </c>
      <c r="B103" s="457" t="str">
        <f t="shared" si="7"/>
        <v/>
      </c>
      <c r="C103" s="456" t="str">
        <f t="shared" si="12"/>
        <v/>
      </c>
      <c r="D103" s="456" t="str">
        <f t="shared" si="8"/>
        <v/>
      </c>
      <c r="E103" s="456" t="str">
        <f t="shared" si="9"/>
        <v/>
      </c>
      <c r="F103" s="456" t="str">
        <f t="shared" si="10"/>
        <v/>
      </c>
      <c r="G103" s="456" t="str">
        <f t="shared" si="13"/>
        <v/>
      </c>
    </row>
    <row r="104" spans="1:7">
      <c r="A104" s="455" t="str">
        <f t="shared" si="11"/>
        <v/>
      </c>
      <c r="B104" s="457" t="str">
        <f t="shared" si="7"/>
        <v/>
      </c>
      <c r="C104" s="456" t="str">
        <f t="shared" si="12"/>
        <v/>
      </c>
      <c r="D104" s="456" t="str">
        <f t="shared" si="8"/>
        <v/>
      </c>
      <c r="E104" s="456" t="str">
        <f t="shared" si="9"/>
        <v/>
      </c>
      <c r="F104" s="456" t="str">
        <f t="shared" si="10"/>
        <v/>
      </c>
      <c r="G104" s="456" t="str">
        <f t="shared" si="13"/>
        <v/>
      </c>
    </row>
    <row r="105" spans="1:7">
      <c r="A105" s="455" t="str">
        <f t="shared" si="11"/>
        <v/>
      </c>
      <c r="B105" s="457" t="str">
        <f t="shared" si="7"/>
        <v/>
      </c>
      <c r="C105" s="456" t="str">
        <f t="shared" si="12"/>
        <v/>
      </c>
      <c r="D105" s="456" t="str">
        <f t="shared" si="8"/>
        <v/>
      </c>
      <c r="E105" s="456" t="str">
        <f t="shared" si="9"/>
        <v/>
      </c>
      <c r="F105" s="456" t="str">
        <f t="shared" si="10"/>
        <v/>
      </c>
      <c r="G105" s="456" t="str">
        <f t="shared" si="13"/>
        <v/>
      </c>
    </row>
    <row r="106" spans="1:7">
      <c r="A106" s="455" t="str">
        <f t="shared" si="11"/>
        <v/>
      </c>
      <c r="B106" s="457" t="str">
        <f>Mostra.data</f>
        <v/>
      </c>
      <c r="C106" s="456" t="str">
        <f t="shared" si="12"/>
        <v/>
      </c>
      <c r="D106" s="456" t="str">
        <f t="shared" si="8"/>
        <v/>
      </c>
      <c r="E106" s="456" t="str">
        <f t="shared" si="9"/>
        <v/>
      </c>
      <c r="F106" s="456" t="str">
        <f t="shared" si="10"/>
        <v/>
      </c>
      <c r="G106" s="456" t="str">
        <f t="shared" si="13"/>
        <v/>
      </c>
    </row>
  </sheetData>
  <pageMargins left="0.41" right="0.31" top="0.7" bottom="0.76" header="0.5" footer="0.5"/>
  <pageSetup scale="85"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32</vt:i4>
      </vt:variant>
    </vt:vector>
  </HeadingPairs>
  <TitlesOfParts>
    <vt:vector size="44" baseType="lpstr">
      <vt:lpstr>sit patr partenza</vt:lpstr>
      <vt:lpstr>Stato patrimoniale</vt:lpstr>
      <vt:lpstr>Conto economico</vt:lpstr>
      <vt:lpstr>Cash Flow</vt:lpstr>
      <vt:lpstr>Modello ricavi</vt:lpstr>
      <vt:lpstr>Piano Investimento</vt:lpstr>
      <vt:lpstr>Piano ammortamenti investimenti</vt:lpstr>
      <vt:lpstr>Piano fonti finanziarie</vt:lpstr>
      <vt:lpstr>mutuo bancario SIMULAZIONE</vt:lpstr>
      <vt:lpstr>mutuo Comune SIMULAZIONE</vt:lpstr>
      <vt:lpstr>personale</vt:lpstr>
      <vt:lpstr>Dettagli costi di struttura</vt:lpstr>
      <vt:lpstr>'mutuo Comune SIMULAZIONE'!Ammontare</vt:lpstr>
      <vt:lpstr>Ammontare</vt:lpstr>
      <vt:lpstr>'Cash Flow'!Area_stampa</vt:lpstr>
      <vt:lpstr>'mutuo bancario SIMULAZIONE'!Area_stampa</vt:lpstr>
      <vt:lpstr>'mutuo Comune SIMULAZIONE'!Area_stampa</vt:lpstr>
      <vt:lpstr>'sit patr partenza'!Area_stampa</vt:lpstr>
      <vt:lpstr>'mutuo Comune SIMULAZIONE'!Data_1rata</vt:lpstr>
      <vt:lpstr>Data_1rata</vt:lpstr>
      <vt:lpstr>'mutuo Comune SIMULAZIONE'!Num_1rata</vt:lpstr>
      <vt:lpstr>Num_1rata</vt:lpstr>
      <vt:lpstr>'mutuo Comune SIMULAZIONE'!Num_rate_annuali</vt:lpstr>
      <vt:lpstr>Num_rate_annuali</vt:lpstr>
      <vt:lpstr>'mutuo Comune SIMULAZIONE'!Periodo</vt:lpstr>
      <vt:lpstr>Periodo</vt:lpstr>
      <vt:lpstr>'mutuo Comune SIMULAZIONE'!Rata_calc</vt:lpstr>
      <vt:lpstr>Rata_calc</vt:lpstr>
      <vt:lpstr>'mutuo Comune SIMULAZIONE'!Rata_da_usare</vt:lpstr>
      <vt:lpstr>Rata_da_usare</vt:lpstr>
      <vt:lpstr>'mutuo Comune SIMULAZIONE'!Rata_immessa</vt:lpstr>
      <vt:lpstr>Rata_immessa</vt:lpstr>
      <vt:lpstr>'mutuo Comune SIMULAZIONE'!Tabella_data_iniz</vt:lpstr>
      <vt:lpstr>Tabella_data_iniz</vt:lpstr>
      <vt:lpstr>'mutuo Comune SIMULAZIONE'!Tabella_iniz_bil</vt:lpstr>
      <vt:lpstr>Tabella_iniz_bil</vt:lpstr>
      <vt:lpstr>'mutuo Comune SIMULAZIONE'!Tabella_int_prec</vt:lpstr>
      <vt:lpstr>Tabella_int_prec</vt:lpstr>
      <vt:lpstr>'mutuo Comune SIMULAZIONE'!Tabella_rata_iniz</vt:lpstr>
      <vt:lpstr>Tabella_rata_iniz</vt:lpstr>
      <vt:lpstr>'mutuo Comune SIMULAZIONE'!Tasso_int_annuo</vt:lpstr>
      <vt:lpstr>Tasso_int_annuo</vt:lpstr>
      <vt:lpstr>'mutuo Comune SIMULAZIONE'!Tasso_interessi_annuo</vt:lpstr>
      <vt:lpstr>Tasso_interessi_annuo</vt:lpstr>
    </vt:vector>
  </TitlesOfParts>
  <Company>IIT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csanfilippo</dc:creator>
  <cp:lastModifiedBy>Notte Patrizia</cp:lastModifiedBy>
  <cp:lastPrinted>2016-10-22T11:28:17Z</cp:lastPrinted>
  <dcterms:created xsi:type="dcterms:W3CDTF">2012-08-16T09:16:12Z</dcterms:created>
  <dcterms:modified xsi:type="dcterms:W3CDTF">2017-03-20T10:35:59Z</dcterms:modified>
</cp:coreProperties>
</file>