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8780" windowHeight="12975" firstSheet="1" activeTab="8"/>
  </bookViews>
  <sheets>
    <sheet name="Centro Est" sheetId="3" r:id="rId1"/>
    <sheet name="Centro Ovest" sheetId="4" r:id="rId2"/>
    <sheet name="Bas V Bisagno" sheetId="5" r:id="rId3"/>
    <sheet name="Val Bisagno" sheetId="6" r:id="rId4"/>
    <sheet name="Val Polcevera" sheetId="7" r:id="rId5"/>
    <sheet name="Medio Ponente" sheetId="8" r:id="rId6"/>
    <sheet name="Ponente" sheetId="9" r:id="rId7"/>
    <sheet name="Medio Levante" sheetId="10" r:id="rId8"/>
    <sheet name="Levante" sheetId="1" r:id="rId9"/>
    <sheet name="Fuori Genova" sheetId="2" r:id="rId10"/>
  </sheets>
  <calcPr calcId="125725"/>
</workbook>
</file>

<file path=xl/calcChain.xml><?xml version="1.0" encoding="utf-8"?>
<calcChain xmlns="http://schemas.openxmlformats.org/spreadsheetml/2006/main">
  <c r="A1" i="5"/>
  <c r="B1"/>
  <c r="C1"/>
  <c r="D1"/>
  <c r="E1"/>
  <c r="F1"/>
  <c r="A2"/>
  <c r="B2"/>
  <c r="C2"/>
  <c r="E2"/>
  <c r="F2"/>
  <c r="C3"/>
  <c r="E3"/>
  <c r="F3"/>
  <c r="C4"/>
  <c r="E4"/>
  <c r="F4"/>
  <c r="A5"/>
  <c r="B5"/>
  <c r="C5"/>
  <c r="E5"/>
  <c r="F5"/>
  <c r="C6"/>
  <c r="E6"/>
  <c r="F6"/>
  <c r="C7"/>
  <c r="E7"/>
  <c r="F7"/>
  <c r="A8"/>
  <c r="B8"/>
  <c r="C8"/>
  <c r="E8"/>
  <c r="F8"/>
  <c r="C9"/>
  <c r="E9"/>
  <c r="F9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C24"/>
  <c r="E24"/>
  <c r="F24"/>
  <c r="C25"/>
  <c r="E25"/>
  <c r="F25"/>
  <c r="A26"/>
  <c r="B26"/>
  <c r="C26"/>
  <c r="E26"/>
  <c r="F26"/>
  <c r="C27"/>
  <c r="E27"/>
  <c r="F27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C32"/>
  <c r="E32"/>
  <c r="F32"/>
  <c r="A33"/>
  <c r="B33"/>
  <c r="C33"/>
  <c r="E33"/>
  <c r="F33"/>
  <c r="A34"/>
  <c r="B34"/>
  <c r="C34"/>
  <c r="E34"/>
  <c r="F34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C47"/>
  <c r="E47"/>
  <c r="F47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C57"/>
  <c r="E57"/>
  <c r="F57"/>
  <c r="A58"/>
  <c r="B58"/>
  <c r="C58"/>
  <c r="E58"/>
  <c r="F58"/>
  <c r="C59"/>
  <c r="E59"/>
  <c r="F59"/>
  <c r="C60"/>
  <c r="E60"/>
  <c r="F60"/>
  <c r="C61"/>
  <c r="E61"/>
  <c r="F61"/>
  <c r="C62"/>
  <c r="E62"/>
  <c r="F62"/>
  <c r="C63"/>
  <c r="E63"/>
  <c r="F63"/>
  <c r="C64"/>
  <c r="E64"/>
  <c r="F64"/>
  <c r="C65"/>
  <c r="E65"/>
  <c r="F65"/>
  <c r="A66"/>
  <c r="B66"/>
  <c r="C66"/>
  <c r="E66"/>
  <c r="F66"/>
  <c r="C67"/>
  <c r="E67"/>
  <c r="F67"/>
  <c r="A68"/>
  <c r="B68"/>
  <c r="C68"/>
  <c r="E68"/>
  <c r="F68"/>
  <c r="C69"/>
  <c r="E69"/>
  <c r="F69"/>
  <c r="A70"/>
  <c r="B70"/>
  <c r="C70"/>
  <c r="E70"/>
  <c r="F70"/>
  <c r="A71"/>
  <c r="B71"/>
  <c r="C71"/>
  <c r="E71"/>
  <c r="F71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C78"/>
  <c r="E78"/>
  <c r="F78"/>
  <c r="C79"/>
  <c r="E79"/>
  <c r="F79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C87"/>
  <c r="E87"/>
  <c r="F87"/>
  <c r="C88"/>
  <c r="E88"/>
  <c r="F88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C106"/>
  <c r="E106"/>
  <c r="F106"/>
  <c r="C107"/>
  <c r="E107"/>
  <c r="F107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C113"/>
  <c r="E113"/>
  <c r="F113"/>
  <c r="C114"/>
  <c r="E114"/>
  <c r="F114"/>
  <c r="C115"/>
  <c r="E115"/>
  <c r="F115"/>
  <c r="C116"/>
  <c r="E116"/>
  <c r="F116"/>
  <c r="C117"/>
  <c r="E117"/>
  <c r="F117"/>
  <c r="C118"/>
  <c r="E118"/>
  <c r="F118"/>
  <c r="C119"/>
  <c r="E119"/>
  <c r="F119"/>
  <c r="C120"/>
  <c r="E120"/>
  <c r="F120"/>
  <c r="C121"/>
  <c r="E121"/>
  <c r="F121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C138"/>
  <c r="E138"/>
  <c r="F138"/>
  <c r="C139"/>
  <c r="E139"/>
  <c r="F139"/>
  <c r="A140"/>
  <c r="B140"/>
  <c r="C140"/>
  <c r="E140"/>
  <c r="F140"/>
  <c r="A141"/>
  <c r="B141"/>
  <c r="C141"/>
  <c r="E141"/>
  <c r="F141"/>
  <c r="C142"/>
  <c r="E142"/>
  <c r="F142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C167"/>
  <c r="E167"/>
  <c r="F167"/>
  <c r="A168"/>
  <c r="B168"/>
  <c r="C168"/>
  <c r="E168"/>
  <c r="F168"/>
  <c r="A169"/>
  <c r="B169"/>
  <c r="C169"/>
  <c r="E169"/>
  <c r="F169"/>
  <c r="C170"/>
  <c r="E170"/>
  <c r="F170"/>
  <c r="A171"/>
  <c r="B171"/>
  <c r="C171"/>
  <c r="E171"/>
  <c r="F171"/>
  <c r="C172"/>
  <c r="E172"/>
  <c r="F172"/>
  <c r="C173"/>
  <c r="E173"/>
  <c r="F173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C184"/>
  <c r="E184"/>
  <c r="F184"/>
  <c r="A185"/>
  <c r="B185"/>
  <c r="C185"/>
  <c r="E185"/>
  <c r="F185"/>
  <c r="A186"/>
  <c r="B186"/>
  <c r="C186"/>
  <c r="E186"/>
  <c r="F186"/>
  <c r="C187"/>
  <c r="E187"/>
  <c r="F187"/>
  <c r="C188"/>
  <c r="E188"/>
  <c r="F188"/>
  <c r="C189"/>
  <c r="E189"/>
  <c r="F189"/>
  <c r="C190"/>
  <c r="E190"/>
  <c r="F190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C199"/>
  <c r="E199"/>
  <c r="F199"/>
  <c r="C200"/>
  <c r="E200"/>
  <c r="F200"/>
  <c r="A201"/>
  <c r="B201"/>
  <c r="C201"/>
  <c r="E201"/>
  <c r="F201"/>
  <c r="C202"/>
  <c r="E202"/>
  <c r="F202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1" i="3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C42"/>
  <c r="E42"/>
  <c r="F42"/>
  <c r="A43"/>
  <c r="B43"/>
  <c r="C43"/>
  <c r="E43"/>
  <c r="F43"/>
  <c r="C44"/>
  <c r="E44"/>
  <c r="F44"/>
  <c r="C45"/>
  <c r="E45"/>
  <c r="F45"/>
  <c r="A46"/>
  <c r="B46"/>
  <c r="C46"/>
  <c r="E46"/>
  <c r="F46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C55"/>
  <c r="E55"/>
  <c r="F55"/>
  <c r="A56"/>
  <c r="B56"/>
  <c r="C56"/>
  <c r="E56"/>
  <c r="F56"/>
  <c r="C57"/>
  <c r="E57"/>
  <c r="F57"/>
  <c r="C58"/>
  <c r="E58"/>
  <c r="F58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C66"/>
  <c r="E66"/>
  <c r="F66"/>
  <c r="C67"/>
  <c r="E67"/>
  <c r="F67"/>
  <c r="A68"/>
  <c r="B68"/>
  <c r="C68"/>
  <c r="E68"/>
  <c r="F68"/>
  <c r="A69"/>
  <c r="B69"/>
  <c r="C69"/>
  <c r="E69"/>
  <c r="F69"/>
  <c r="C70"/>
  <c r="E70"/>
  <c r="F70"/>
  <c r="C71"/>
  <c r="E71"/>
  <c r="F71"/>
  <c r="C72"/>
  <c r="E72"/>
  <c r="F72"/>
  <c r="C73"/>
  <c r="E73"/>
  <c r="F73"/>
  <c r="C74"/>
  <c r="E74"/>
  <c r="F74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C135"/>
  <c r="E135"/>
  <c r="F135"/>
  <c r="A136"/>
  <c r="B136"/>
  <c r="C136"/>
  <c r="E136"/>
  <c r="F136"/>
  <c r="A137"/>
  <c r="B137"/>
  <c r="C137"/>
  <c r="E137"/>
  <c r="F137"/>
  <c r="C138"/>
  <c r="E138"/>
  <c r="F138"/>
  <c r="C139"/>
  <c r="E139"/>
  <c r="F139"/>
  <c r="C140"/>
  <c r="E140"/>
  <c r="F140"/>
  <c r="C141"/>
  <c r="E141"/>
  <c r="F141"/>
  <c r="C142"/>
  <c r="E142"/>
  <c r="F142"/>
  <c r="A143"/>
  <c r="B143"/>
  <c r="C143"/>
  <c r="E143"/>
  <c r="F143"/>
  <c r="C144"/>
  <c r="E144"/>
  <c r="F144"/>
  <c r="C145"/>
  <c r="E145"/>
  <c r="F145"/>
  <c r="A146"/>
  <c r="B146"/>
  <c r="C146"/>
  <c r="E146"/>
  <c r="F146"/>
  <c r="A147"/>
  <c r="B147"/>
  <c r="C147"/>
  <c r="E147"/>
  <c r="F147"/>
  <c r="C148"/>
  <c r="E148"/>
  <c r="F148"/>
  <c r="A149"/>
  <c r="B149"/>
  <c r="C149"/>
  <c r="E149"/>
  <c r="F149"/>
  <c r="C150"/>
  <c r="E150"/>
  <c r="F150"/>
  <c r="A151"/>
  <c r="B151"/>
  <c r="C151"/>
  <c r="E151"/>
  <c r="F151"/>
  <c r="A152"/>
  <c r="B152"/>
  <c r="C152"/>
  <c r="E152"/>
  <c r="F152"/>
  <c r="C153"/>
  <c r="E153"/>
  <c r="F153"/>
  <c r="A154"/>
  <c r="B154"/>
  <c r="C154"/>
  <c r="E154"/>
  <c r="F154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C164"/>
  <c r="E164"/>
  <c r="F164"/>
  <c r="C165"/>
  <c r="E165"/>
  <c r="F165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C171"/>
  <c r="E171"/>
  <c r="F171"/>
  <c r="A172"/>
  <c r="B172"/>
  <c r="C172"/>
  <c r="E172"/>
  <c r="F172"/>
  <c r="A173"/>
  <c r="B173"/>
  <c r="C173"/>
  <c r="E173"/>
  <c r="F173"/>
  <c r="C174"/>
  <c r="E174"/>
  <c r="F174"/>
  <c r="A175"/>
  <c r="B175"/>
  <c r="C175"/>
  <c r="E175"/>
  <c r="F175"/>
  <c r="A176"/>
  <c r="B176"/>
  <c r="C176"/>
  <c r="E176"/>
  <c r="F176"/>
  <c r="C177"/>
  <c r="E177"/>
  <c r="F177"/>
  <c r="A178"/>
  <c r="B178"/>
  <c r="C178"/>
  <c r="E178"/>
  <c r="F178"/>
  <c r="A179"/>
  <c r="B179"/>
  <c r="C179"/>
  <c r="E179"/>
  <c r="F179"/>
  <c r="C180"/>
  <c r="E180"/>
  <c r="F180"/>
  <c r="A181"/>
  <c r="B181"/>
  <c r="C181"/>
  <c r="E181"/>
  <c r="F181"/>
  <c r="C182"/>
  <c r="E182"/>
  <c r="F182"/>
  <c r="A183"/>
  <c r="B183"/>
  <c r="C183"/>
  <c r="E183"/>
  <c r="F183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C189"/>
  <c r="E189"/>
  <c r="F189"/>
  <c r="C190"/>
  <c r="E190"/>
  <c r="F190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C197"/>
  <c r="E197"/>
  <c r="F197"/>
  <c r="A198"/>
  <c r="B198"/>
  <c r="C198"/>
  <c r="E198"/>
  <c r="F198"/>
  <c r="A199"/>
  <c r="B199"/>
  <c r="C199"/>
  <c r="E199"/>
  <c r="F199"/>
  <c r="C200"/>
  <c r="E200"/>
  <c r="F200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C218"/>
  <c r="E218"/>
  <c r="F218"/>
  <c r="C219"/>
  <c r="E219"/>
  <c r="F219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C241"/>
  <c r="E241"/>
  <c r="F241"/>
  <c r="A242"/>
  <c r="B242"/>
  <c r="C242"/>
  <c r="E242"/>
  <c r="F242"/>
  <c r="C243"/>
  <c r="E243"/>
  <c r="F243"/>
  <c r="A244"/>
  <c r="B244"/>
  <c r="C244"/>
  <c r="E244"/>
  <c r="F244"/>
  <c r="C245"/>
  <c r="E245"/>
  <c r="F245"/>
  <c r="A246"/>
  <c r="B246"/>
  <c r="C246"/>
  <c r="E246"/>
  <c r="F246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C279"/>
  <c r="E279"/>
  <c r="F279"/>
  <c r="A280"/>
  <c r="B280"/>
  <c r="C280"/>
  <c r="E280"/>
  <c r="F280"/>
  <c r="C281"/>
  <c r="E281"/>
  <c r="F281"/>
  <c r="C282"/>
  <c r="E282"/>
  <c r="F282"/>
  <c r="C283"/>
  <c r="E283"/>
  <c r="F283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C288"/>
  <c r="E288"/>
  <c r="F288"/>
  <c r="A289"/>
  <c r="B289"/>
  <c r="C289"/>
  <c r="E289"/>
  <c r="F289"/>
  <c r="C290"/>
  <c r="E290"/>
  <c r="F290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C314"/>
  <c r="E314"/>
  <c r="F314"/>
  <c r="A315"/>
  <c r="B315"/>
  <c r="C315"/>
  <c r="E315"/>
  <c r="F315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C326"/>
  <c r="E326"/>
  <c r="F326"/>
  <c r="C327"/>
  <c r="E327"/>
  <c r="F327"/>
  <c r="C328"/>
  <c r="E328"/>
  <c r="F328"/>
  <c r="C329"/>
  <c r="E329"/>
  <c r="F329"/>
  <c r="C330"/>
  <c r="E330"/>
  <c r="F330"/>
  <c r="C331"/>
  <c r="E331"/>
  <c r="F331"/>
  <c r="C332"/>
  <c r="E332"/>
  <c r="F332"/>
  <c r="C333"/>
  <c r="E333"/>
  <c r="F333"/>
  <c r="C334"/>
  <c r="E334"/>
  <c r="F334"/>
  <c r="C335"/>
  <c r="E335"/>
  <c r="F335"/>
  <c r="C336"/>
  <c r="E336"/>
  <c r="F336"/>
  <c r="C337"/>
  <c r="E337"/>
  <c r="F337"/>
  <c r="C338"/>
  <c r="E338"/>
  <c r="F338"/>
  <c r="C339"/>
  <c r="E339"/>
  <c r="F339"/>
  <c r="C340"/>
  <c r="E340"/>
  <c r="F340"/>
  <c r="C341"/>
  <c r="E341"/>
  <c r="F341"/>
  <c r="C342"/>
  <c r="E342"/>
  <c r="F342"/>
  <c r="C343"/>
  <c r="E343"/>
  <c r="F343"/>
  <c r="C344"/>
  <c r="E344"/>
  <c r="F344"/>
  <c r="C345"/>
  <c r="E345"/>
  <c r="F345"/>
  <c r="C346"/>
  <c r="E346"/>
  <c r="F346"/>
  <c r="C347"/>
  <c r="E347"/>
  <c r="F347"/>
  <c r="C348"/>
  <c r="E348"/>
  <c r="F348"/>
  <c r="C349"/>
  <c r="E349"/>
  <c r="F349"/>
  <c r="C350"/>
  <c r="E350"/>
  <c r="F350"/>
  <c r="C351"/>
  <c r="E351"/>
  <c r="F351"/>
  <c r="C352"/>
  <c r="E352"/>
  <c r="F352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C358"/>
  <c r="E358"/>
  <c r="F358"/>
  <c r="C359"/>
  <c r="E359"/>
  <c r="F359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A367"/>
  <c r="B367"/>
  <c r="C367"/>
  <c r="E367"/>
  <c r="F367"/>
  <c r="A368"/>
  <c r="B368"/>
  <c r="C368"/>
  <c r="E368"/>
  <c r="F368"/>
  <c r="C369"/>
  <c r="E369"/>
  <c r="F369"/>
  <c r="C370"/>
  <c r="E370"/>
  <c r="F370"/>
  <c r="C371"/>
  <c r="E371"/>
  <c r="F371"/>
  <c r="C372"/>
  <c r="E372"/>
  <c r="F372"/>
  <c r="C373"/>
  <c r="E373"/>
  <c r="F373"/>
  <c r="C374"/>
  <c r="E374"/>
  <c r="F374"/>
  <c r="C375"/>
  <c r="E375"/>
  <c r="F375"/>
  <c r="C376"/>
  <c r="E376"/>
  <c r="F376"/>
  <c r="C377"/>
  <c r="E377"/>
  <c r="F377"/>
  <c r="C378"/>
  <c r="E378"/>
  <c r="F378"/>
  <c r="C379"/>
  <c r="E379"/>
  <c r="F379"/>
  <c r="C380"/>
  <c r="E380"/>
  <c r="F380"/>
  <c r="C381"/>
  <c r="E381"/>
  <c r="F381"/>
  <c r="C382"/>
  <c r="E382"/>
  <c r="F382"/>
  <c r="C383"/>
  <c r="E383"/>
  <c r="F383"/>
  <c r="C384"/>
  <c r="E384"/>
  <c r="F384"/>
  <c r="A385"/>
  <c r="B385"/>
  <c r="C385"/>
  <c r="E385"/>
  <c r="F385"/>
  <c r="A386"/>
  <c r="B386"/>
  <c r="C386"/>
  <c r="E386"/>
  <c r="F386"/>
  <c r="C387"/>
  <c r="E387"/>
  <c r="F387"/>
  <c r="C388"/>
  <c r="E388"/>
  <c r="F388"/>
  <c r="A389"/>
  <c r="B389"/>
  <c r="C389"/>
  <c r="E389"/>
  <c r="F389"/>
  <c r="A390"/>
  <c r="B390"/>
  <c r="C390"/>
  <c r="E390"/>
  <c r="F390"/>
  <c r="A391"/>
  <c r="B391"/>
  <c r="C391"/>
  <c r="E391"/>
  <c r="F391"/>
  <c r="A392"/>
  <c r="B392"/>
  <c r="C392"/>
  <c r="E392"/>
  <c r="F392"/>
  <c r="A393"/>
  <c r="B393"/>
  <c r="C393"/>
  <c r="E393"/>
  <c r="F393"/>
  <c r="A394"/>
  <c r="B394"/>
  <c r="C394"/>
  <c r="E394"/>
  <c r="F394"/>
  <c r="A395"/>
  <c r="B395"/>
  <c r="C395"/>
  <c r="E395"/>
  <c r="F395"/>
  <c r="A396"/>
  <c r="B396"/>
  <c r="C396"/>
  <c r="E396"/>
  <c r="F396"/>
  <c r="A397"/>
  <c r="B397"/>
  <c r="C397"/>
  <c r="E397"/>
  <c r="F397"/>
  <c r="A398"/>
  <c r="B398"/>
  <c r="C398"/>
  <c r="E398"/>
  <c r="F398"/>
  <c r="A399"/>
  <c r="B399"/>
  <c r="C399"/>
  <c r="E399"/>
  <c r="F399"/>
  <c r="C400"/>
  <c r="E400"/>
  <c r="F400"/>
  <c r="C401"/>
  <c r="E401"/>
  <c r="F401"/>
  <c r="C402"/>
  <c r="E402"/>
  <c r="F402"/>
  <c r="C403"/>
  <c r="E403"/>
  <c r="F403"/>
  <c r="C404"/>
  <c r="E404"/>
  <c r="F404"/>
  <c r="A405"/>
  <c r="B405"/>
  <c r="C405"/>
  <c r="E405"/>
  <c r="F405"/>
  <c r="A406"/>
  <c r="B406"/>
  <c r="C406"/>
  <c r="E406"/>
  <c r="F406"/>
  <c r="A407"/>
  <c r="B407"/>
  <c r="C407"/>
  <c r="E407"/>
  <c r="F407"/>
  <c r="A408"/>
  <c r="B408"/>
  <c r="C408"/>
  <c r="E408"/>
  <c r="F408"/>
  <c r="A409"/>
  <c r="B409"/>
  <c r="C409"/>
  <c r="E409"/>
  <c r="F409"/>
  <c r="A410"/>
  <c r="B410"/>
  <c r="C410"/>
  <c r="E410"/>
  <c r="F410"/>
  <c r="A411"/>
  <c r="B411"/>
  <c r="C411"/>
  <c r="E411"/>
  <c r="F411"/>
  <c r="A412"/>
  <c r="B412"/>
  <c r="C412"/>
  <c r="E412"/>
  <c r="F412"/>
  <c r="A413"/>
  <c r="B413"/>
  <c r="C413"/>
  <c r="E413"/>
  <c r="F413"/>
  <c r="C414"/>
  <c r="E414"/>
  <c r="F414"/>
  <c r="C415"/>
  <c r="E415"/>
  <c r="F415"/>
  <c r="A416"/>
  <c r="B416"/>
  <c r="C416"/>
  <c r="E416"/>
  <c r="F416"/>
  <c r="C417"/>
  <c r="E417"/>
  <c r="F417"/>
  <c r="C418"/>
  <c r="E418"/>
  <c r="F418"/>
  <c r="A419"/>
  <c r="B419"/>
  <c r="C419"/>
  <c r="E419"/>
  <c r="F419"/>
  <c r="C420"/>
  <c r="E420"/>
  <c r="F420"/>
  <c r="C421"/>
  <c r="E421"/>
  <c r="F421"/>
  <c r="A422"/>
  <c r="B422"/>
  <c r="C422"/>
  <c r="E422"/>
  <c r="F422"/>
  <c r="A423"/>
  <c r="B423"/>
  <c r="C423"/>
  <c r="E423"/>
  <c r="F423"/>
  <c r="A424"/>
  <c r="B424"/>
  <c r="C424"/>
  <c r="E424"/>
  <c r="F424"/>
  <c r="A425"/>
  <c r="B425"/>
  <c r="C425"/>
  <c r="E425"/>
  <c r="F425"/>
  <c r="A426"/>
  <c r="B426"/>
  <c r="C426"/>
  <c r="E426"/>
  <c r="F426"/>
  <c r="A427"/>
  <c r="B427"/>
  <c r="C427"/>
  <c r="E427"/>
  <c r="F427"/>
  <c r="A428"/>
  <c r="B428"/>
  <c r="C428"/>
  <c r="E428"/>
  <c r="F428"/>
  <c r="A429"/>
  <c r="B429"/>
  <c r="C429"/>
  <c r="E429"/>
  <c r="F429"/>
  <c r="A430"/>
  <c r="B430"/>
  <c r="C430"/>
  <c r="E430"/>
  <c r="F430"/>
  <c r="A431"/>
  <c r="B431"/>
  <c r="C431"/>
  <c r="E431"/>
  <c r="F431"/>
  <c r="A432"/>
  <c r="B432"/>
  <c r="C432"/>
  <c r="E432"/>
  <c r="F432"/>
  <c r="A433"/>
  <c r="B433"/>
  <c r="C433"/>
  <c r="E433"/>
  <c r="F433"/>
  <c r="A434"/>
  <c r="B434"/>
  <c r="C434"/>
  <c r="E434"/>
  <c r="F434"/>
  <c r="A435"/>
  <c r="B435"/>
  <c r="C435"/>
  <c r="E435"/>
  <c r="F435"/>
  <c r="A436"/>
  <c r="B436"/>
  <c r="C436"/>
  <c r="E436"/>
  <c r="F436"/>
  <c r="A437"/>
  <c r="B437"/>
  <c r="C437"/>
  <c r="E437"/>
  <c r="F437"/>
  <c r="A438"/>
  <c r="B438"/>
  <c r="C438"/>
  <c r="E438"/>
  <c r="F438"/>
  <c r="A439"/>
  <c r="B439"/>
  <c r="C439"/>
  <c r="E439"/>
  <c r="F439"/>
  <c r="A440"/>
  <c r="B440"/>
  <c r="C440"/>
  <c r="E440"/>
  <c r="F440"/>
  <c r="A441"/>
  <c r="B441"/>
  <c r="C441"/>
  <c r="E441"/>
  <c r="F441"/>
  <c r="C442"/>
  <c r="E442"/>
  <c r="F442"/>
  <c r="A443"/>
  <c r="B443"/>
  <c r="C443"/>
  <c r="E443"/>
  <c r="F443"/>
  <c r="A444"/>
  <c r="B444"/>
  <c r="C444"/>
  <c r="E444"/>
  <c r="F444"/>
  <c r="A445"/>
  <c r="B445"/>
  <c r="C445"/>
  <c r="E445"/>
  <c r="F445"/>
  <c r="A446"/>
  <c r="B446"/>
  <c r="C446"/>
  <c r="E446"/>
  <c r="F446"/>
  <c r="A447"/>
  <c r="B447"/>
  <c r="C447"/>
  <c r="E447"/>
  <c r="F447"/>
  <c r="A448"/>
  <c r="B448"/>
  <c r="C448"/>
  <c r="E448"/>
  <c r="F448"/>
  <c r="A449"/>
  <c r="B449"/>
  <c r="C449"/>
  <c r="E449"/>
  <c r="F449"/>
  <c r="A450"/>
  <c r="B450"/>
  <c r="C450"/>
  <c r="E450"/>
  <c r="F450"/>
  <c r="C451"/>
  <c r="E451"/>
  <c r="F451"/>
  <c r="C452"/>
  <c r="E452"/>
  <c r="F452"/>
  <c r="C453"/>
  <c r="E453"/>
  <c r="F453"/>
  <c r="C454"/>
  <c r="E454"/>
  <c r="F454"/>
  <c r="C455"/>
  <c r="E455"/>
  <c r="F455"/>
  <c r="C456"/>
  <c r="E456"/>
  <c r="F456"/>
  <c r="C457"/>
  <c r="E457"/>
  <c r="F457"/>
  <c r="C458"/>
  <c r="E458"/>
  <c r="F458"/>
  <c r="C459"/>
  <c r="E459"/>
  <c r="F459"/>
  <c r="C460"/>
  <c r="E460"/>
  <c r="F460"/>
  <c r="C461"/>
  <c r="E461"/>
  <c r="F461"/>
  <c r="C462"/>
  <c r="E462"/>
  <c r="F462"/>
  <c r="C463"/>
  <c r="E463"/>
  <c r="F463"/>
  <c r="C464"/>
  <c r="E464"/>
  <c r="F464"/>
  <c r="C465"/>
  <c r="E465"/>
  <c r="F465"/>
  <c r="C466"/>
  <c r="E466"/>
  <c r="F466"/>
  <c r="C467"/>
  <c r="E467"/>
  <c r="F467"/>
  <c r="C468"/>
  <c r="E468"/>
  <c r="F468"/>
  <c r="C469"/>
  <c r="E469"/>
  <c r="F469"/>
  <c r="C470"/>
  <c r="E470"/>
  <c r="F470"/>
  <c r="C471"/>
  <c r="E471"/>
  <c r="F471"/>
  <c r="C472"/>
  <c r="E472"/>
  <c r="F472"/>
  <c r="C473"/>
  <c r="E473"/>
  <c r="F473"/>
  <c r="C474"/>
  <c r="E474"/>
  <c r="F474"/>
  <c r="C475"/>
  <c r="E475"/>
  <c r="F475"/>
  <c r="A476"/>
  <c r="B476"/>
  <c r="C476"/>
  <c r="E476"/>
  <c r="F476"/>
  <c r="A477"/>
  <c r="B477"/>
  <c r="C477"/>
  <c r="E477"/>
  <c r="F477"/>
  <c r="A478"/>
  <c r="B478"/>
  <c r="C478"/>
  <c r="E478"/>
  <c r="F478"/>
  <c r="A479"/>
  <c r="B479"/>
  <c r="C479"/>
  <c r="E479"/>
  <c r="F479"/>
  <c r="A480"/>
  <c r="B480"/>
  <c r="C480"/>
  <c r="E480"/>
  <c r="F480"/>
  <c r="A481"/>
  <c r="B481"/>
  <c r="C481"/>
  <c r="E481"/>
  <c r="F481"/>
  <c r="A482"/>
  <c r="B482"/>
  <c r="C482"/>
  <c r="E482"/>
  <c r="F482"/>
  <c r="A483"/>
  <c r="B483"/>
  <c r="C483"/>
  <c r="E483"/>
  <c r="F483"/>
  <c r="A484"/>
  <c r="B484"/>
  <c r="C484"/>
  <c r="E484"/>
  <c r="F484"/>
  <c r="A485"/>
  <c r="B485"/>
  <c r="C485"/>
  <c r="E485"/>
  <c r="F485"/>
  <c r="A486"/>
  <c r="B486"/>
  <c r="C486"/>
  <c r="E486"/>
  <c r="F486"/>
  <c r="C487"/>
  <c r="E487"/>
  <c r="F487"/>
  <c r="A488"/>
  <c r="B488"/>
  <c r="C488"/>
  <c r="E488"/>
  <c r="F488"/>
  <c r="A489"/>
  <c r="B489"/>
  <c r="C489"/>
  <c r="E489"/>
  <c r="F489"/>
  <c r="A490"/>
  <c r="B490"/>
  <c r="C490"/>
  <c r="E490"/>
  <c r="F490"/>
  <c r="A491"/>
  <c r="B491"/>
  <c r="C491"/>
  <c r="E491"/>
  <c r="F491"/>
  <c r="A492"/>
  <c r="B492"/>
  <c r="C492"/>
  <c r="E492"/>
  <c r="F492"/>
  <c r="A493"/>
  <c r="B493"/>
  <c r="C493"/>
  <c r="E493"/>
  <c r="F493"/>
  <c r="A494"/>
  <c r="B494"/>
  <c r="C494"/>
  <c r="E494"/>
  <c r="F494"/>
  <c r="A495"/>
  <c r="B495"/>
  <c r="C495"/>
  <c r="E495"/>
  <c r="F495"/>
  <c r="A496"/>
  <c r="B496"/>
  <c r="C496"/>
  <c r="E496"/>
  <c r="F496"/>
  <c r="C497"/>
  <c r="E497"/>
  <c r="F497"/>
  <c r="A498"/>
  <c r="B498"/>
  <c r="C498"/>
  <c r="E498"/>
  <c r="F498"/>
  <c r="A499"/>
  <c r="B499"/>
  <c r="C499"/>
  <c r="E499"/>
  <c r="F499"/>
  <c r="C500"/>
  <c r="E500"/>
  <c r="F500"/>
  <c r="C501"/>
  <c r="E501"/>
  <c r="F501"/>
  <c r="A502"/>
  <c r="B502"/>
  <c r="C502"/>
  <c r="E502"/>
  <c r="F502"/>
  <c r="C503"/>
  <c r="E503"/>
  <c r="F503"/>
  <c r="C504"/>
  <c r="E504"/>
  <c r="F504"/>
  <c r="A505"/>
  <c r="B505"/>
  <c r="C505"/>
  <c r="E505"/>
  <c r="F505"/>
  <c r="A506"/>
  <c r="B506"/>
  <c r="C506"/>
  <c r="E506"/>
  <c r="F506"/>
  <c r="C507"/>
  <c r="E507"/>
  <c r="F507"/>
  <c r="A508"/>
  <c r="B508"/>
  <c r="C508"/>
  <c r="E508"/>
  <c r="F508"/>
  <c r="A509"/>
  <c r="B509"/>
  <c r="C509"/>
  <c r="E509"/>
  <c r="F509"/>
  <c r="A510"/>
  <c r="B510"/>
  <c r="C510"/>
  <c r="E510"/>
  <c r="F510"/>
  <c r="C511"/>
  <c r="E511"/>
  <c r="F511"/>
  <c r="A512"/>
  <c r="B512"/>
  <c r="C512"/>
  <c r="E512"/>
  <c r="F512"/>
  <c r="A513"/>
  <c r="B513"/>
  <c r="C513"/>
  <c r="E513"/>
  <c r="F513"/>
  <c r="C514"/>
  <c r="E514"/>
  <c r="F514"/>
  <c r="C515"/>
  <c r="E515"/>
  <c r="F515"/>
  <c r="A516"/>
  <c r="B516"/>
  <c r="C516"/>
  <c r="E516"/>
  <c r="F516"/>
  <c r="A517"/>
  <c r="B517"/>
  <c r="C517"/>
  <c r="E517"/>
  <c r="F517"/>
  <c r="A518"/>
  <c r="B518"/>
  <c r="C518"/>
  <c r="E518"/>
  <c r="F518"/>
  <c r="A519"/>
  <c r="B519"/>
  <c r="C519"/>
  <c r="E519"/>
  <c r="F519"/>
  <c r="C520"/>
  <c r="E520"/>
  <c r="F520"/>
  <c r="C521"/>
  <c r="E521"/>
  <c r="F521"/>
  <c r="C522"/>
  <c r="E522"/>
  <c r="F522"/>
  <c r="C523"/>
  <c r="E523"/>
  <c r="F523"/>
  <c r="A524"/>
  <c r="B524"/>
  <c r="C524"/>
  <c r="E524"/>
  <c r="F524"/>
  <c r="C525"/>
  <c r="E525"/>
  <c r="F525"/>
  <c r="C526"/>
  <c r="E526"/>
  <c r="F526"/>
  <c r="C527"/>
  <c r="E527"/>
  <c r="F527"/>
  <c r="C528"/>
  <c r="E528"/>
  <c r="F528"/>
  <c r="A529"/>
  <c r="B529"/>
  <c r="C529"/>
  <c r="E529"/>
  <c r="F529"/>
  <c r="A530"/>
  <c r="B530"/>
  <c r="C530"/>
  <c r="E530"/>
  <c r="F530"/>
  <c r="C531"/>
  <c r="E531"/>
  <c r="F531"/>
  <c r="C532"/>
  <c r="E532"/>
  <c r="F532"/>
  <c r="A533"/>
  <c r="B533"/>
  <c r="C533"/>
  <c r="E533"/>
  <c r="F533"/>
  <c r="C534"/>
  <c r="E534"/>
  <c r="F534"/>
  <c r="C535"/>
  <c r="E535"/>
  <c r="F535"/>
  <c r="A536"/>
  <c r="B536"/>
  <c r="C536"/>
  <c r="E536"/>
  <c r="F536"/>
  <c r="C537"/>
  <c r="E537"/>
  <c r="F537"/>
  <c r="C538"/>
  <c r="E538"/>
  <c r="F538"/>
  <c r="A539"/>
  <c r="B539"/>
  <c r="C539"/>
  <c r="E539"/>
  <c r="F539"/>
  <c r="C540"/>
  <c r="E540"/>
  <c r="F540"/>
  <c r="C541"/>
  <c r="E541"/>
  <c r="F541"/>
  <c r="A542"/>
  <c r="B542"/>
  <c r="C542"/>
  <c r="E542"/>
  <c r="F542"/>
  <c r="C543"/>
  <c r="E543"/>
  <c r="F543"/>
  <c r="C544"/>
  <c r="E544"/>
  <c r="F544"/>
  <c r="A545"/>
  <c r="B545"/>
  <c r="C545"/>
  <c r="E545"/>
  <c r="F545"/>
  <c r="A546"/>
  <c r="B546"/>
  <c r="C546"/>
  <c r="E546"/>
  <c r="F546"/>
  <c r="A547"/>
  <c r="B547"/>
  <c r="C547"/>
  <c r="E547"/>
  <c r="F547"/>
  <c r="A548"/>
  <c r="B548"/>
  <c r="C548"/>
  <c r="E548"/>
  <c r="F548"/>
  <c r="A549"/>
  <c r="B549"/>
  <c r="C549"/>
  <c r="E549"/>
  <c r="F549"/>
  <c r="A550"/>
  <c r="B550"/>
  <c r="C550"/>
  <c r="E550"/>
  <c r="F550"/>
  <c r="A551"/>
  <c r="B551"/>
  <c r="C551"/>
  <c r="E551"/>
  <c r="F551"/>
  <c r="A552"/>
  <c r="B552"/>
  <c r="C552"/>
  <c r="E552"/>
  <c r="F552"/>
  <c r="A553"/>
  <c r="B553"/>
  <c r="C553"/>
  <c r="E553"/>
  <c r="F553"/>
  <c r="A554"/>
  <c r="B554"/>
  <c r="C554"/>
  <c r="E554"/>
  <c r="F554"/>
  <c r="C555"/>
  <c r="E555"/>
  <c r="F555"/>
  <c r="A556"/>
  <c r="B556"/>
  <c r="C556"/>
  <c r="E556"/>
  <c r="F556"/>
  <c r="C557"/>
  <c r="E557"/>
  <c r="F557"/>
  <c r="C558"/>
  <c r="E558"/>
  <c r="F558"/>
  <c r="C559"/>
  <c r="E559"/>
  <c r="F559"/>
  <c r="C560"/>
  <c r="E560"/>
  <c r="F560"/>
  <c r="C561"/>
  <c r="E561"/>
  <c r="F561"/>
  <c r="C562"/>
  <c r="E562"/>
  <c r="F562"/>
  <c r="C563"/>
  <c r="E563"/>
  <c r="F563"/>
  <c r="C564"/>
  <c r="E564"/>
  <c r="F564"/>
  <c r="A565"/>
  <c r="B565"/>
  <c r="C565"/>
  <c r="E565"/>
  <c r="F565"/>
  <c r="A566"/>
  <c r="B566"/>
  <c r="C566"/>
  <c r="E566"/>
  <c r="F566"/>
  <c r="C567"/>
  <c r="E567"/>
  <c r="F567"/>
  <c r="C568"/>
  <c r="E568"/>
  <c r="F568"/>
  <c r="C569"/>
  <c r="E569"/>
  <c r="F569"/>
  <c r="A570"/>
  <c r="B570"/>
  <c r="C570"/>
  <c r="E570"/>
  <c r="F570"/>
  <c r="C571"/>
  <c r="E571"/>
  <c r="F571"/>
  <c r="A572"/>
  <c r="B572"/>
  <c r="C572"/>
  <c r="E572"/>
  <c r="F572"/>
  <c r="C573"/>
  <c r="E573"/>
  <c r="F573"/>
  <c r="A574"/>
  <c r="B574"/>
  <c r="C574"/>
  <c r="E574"/>
  <c r="F574"/>
  <c r="A575"/>
  <c r="B575"/>
  <c r="C575"/>
  <c r="E575"/>
  <c r="F575"/>
  <c r="A576"/>
  <c r="B576"/>
  <c r="C576"/>
  <c r="E576"/>
  <c r="F576"/>
  <c r="C577"/>
  <c r="E577"/>
  <c r="F577"/>
  <c r="C578"/>
  <c r="E578"/>
  <c r="F578"/>
  <c r="A579"/>
  <c r="B579"/>
  <c r="C579"/>
  <c r="E579"/>
  <c r="F579"/>
  <c r="A580"/>
  <c r="B580"/>
  <c r="C580"/>
  <c r="E580"/>
  <c r="F580"/>
  <c r="A581"/>
  <c r="B581"/>
  <c r="C581"/>
  <c r="E581"/>
  <c r="F581"/>
  <c r="C582"/>
  <c r="E582"/>
  <c r="F582"/>
  <c r="A583"/>
  <c r="B583"/>
  <c r="C583"/>
  <c r="E583"/>
  <c r="F583"/>
  <c r="A584"/>
  <c r="B584"/>
  <c r="C584"/>
  <c r="E584"/>
  <c r="F584"/>
  <c r="A585"/>
  <c r="B585"/>
  <c r="C585"/>
  <c r="E585"/>
  <c r="F585"/>
  <c r="A586"/>
  <c r="B586"/>
  <c r="C586"/>
  <c r="E586"/>
  <c r="F586"/>
  <c r="A587"/>
  <c r="B587"/>
  <c r="C587"/>
  <c r="E587"/>
  <c r="F587"/>
  <c r="A588"/>
  <c r="B588"/>
  <c r="C588"/>
  <c r="E588"/>
  <c r="F588"/>
  <c r="A589"/>
  <c r="B589"/>
  <c r="C589"/>
  <c r="E589"/>
  <c r="F589"/>
  <c r="A590"/>
  <c r="B590"/>
  <c r="C590"/>
  <c r="E590"/>
  <c r="F590"/>
  <c r="A591"/>
  <c r="B591"/>
  <c r="C591"/>
  <c r="E591"/>
  <c r="F591"/>
  <c r="A592"/>
  <c r="B592"/>
  <c r="C592"/>
  <c r="E592"/>
  <c r="F592"/>
  <c r="A593"/>
  <c r="B593"/>
  <c r="C593"/>
  <c r="E593"/>
  <c r="F593"/>
  <c r="A594"/>
  <c r="B594"/>
  <c r="C594"/>
  <c r="E594"/>
  <c r="F594"/>
  <c r="A595"/>
  <c r="B595"/>
  <c r="C595"/>
  <c r="E595"/>
  <c r="F595"/>
  <c r="C596"/>
  <c r="E596"/>
  <c r="F596"/>
  <c r="A597"/>
  <c r="B597"/>
  <c r="C597"/>
  <c r="E597"/>
  <c r="F597"/>
  <c r="A598"/>
  <c r="B598"/>
  <c r="C598"/>
  <c r="E598"/>
  <c r="F598"/>
  <c r="A599"/>
  <c r="B599"/>
  <c r="C599"/>
  <c r="E599"/>
  <c r="F599"/>
  <c r="C600"/>
  <c r="E600"/>
  <c r="F600"/>
  <c r="C601"/>
  <c r="E601"/>
  <c r="F601"/>
  <c r="C602"/>
  <c r="E602"/>
  <c r="F602"/>
  <c r="A603"/>
  <c r="B603"/>
  <c r="C603"/>
  <c r="E603"/>
  <c r="F603"/>
  <c r="A604"/>
  <c r="B604"/>
  <c r="C604"/>
  <c r="E604"/>
  <c r="F604"/>
  <c r="A605"/>
  <c r="B605"/>
  <c r="C605"/>
  <c r="E605"/>
  <c r="F605"/>
  <c r="A606"/>
  <c r="B606"/>
  <c r="C606"/>
  <c r="E606"/>
  <c r="F606"/>
  <c r="A607"/>
  <c r="B607"/>
  <c r="C607"/>
  <c r="E607"/>
  <c r="F607"/>
  <c r="A608"/>
  <c r="B608"/>
  <c r="C608"/>
  <c r="E608"/>
  <c r="F608"/>
  <c r="A609"/>
  <c r="B609"/>
  <c r="C609"/>
  <c r="E609"/>
  <c r="F609"/>
  <c r="C610"/>
  <c r="E610"/>
  <c r="F610"/>
  <c r="A611"/>
  <c r="B611"/>
  <c r="C611"/>
  <c r="E611"/>
  <c r="F611"/>
  <c r="C612"/>
  <c r="E612"/>
  <c r="F612"/>
  <c r="A613"/>
  <c r="B613"/>
  <c r="C613"/>
  <c r="E613"/>
  <c r="F613"/>
  <c r="A614"/>
  <c r="B614"/>
  <c r="C614"/>
  <c r="E614"/>
  <c r="F614"/>
  <c r="A615"/>
  <c r="B615"/>
  <c r="C615"/>
  <c r="E615"/>
  <c r="F615"/>
  <c r="C616"/>
  <c r="E616"/>
  <c r="F616"/>
  <c r="A617"/>
  <c r="B617"/>
  <c r="C617"/>
  <c r="E617"/>
  <c r="F617"/>
  <c r="C618"/>
  <c r="E618"/>
  <c r="F618"/>
  <c r="A619"/>
  <c r="B619"/>
  <c r="C619"/>
  <c r="E619"/>
  <c r="F619"/>
  <c r="A620"/>
  <c r="B620"/>
  <c r="C620"/>
  <c r="E620"/>
  <c r="F620"/>
  <c r="C621"/>
  <c r="E621"/>
  <c r="F621"/>
  <c r="C622"/>
  <c r="E622"/>
  <c r="F622"/>
  <c r="C623"/>
  <c r="E623"/>
  <c r="F623"/>
  <c r="C624"/>
  <c r="E624"/>
  <c r="F624"/>
  <c r="A625"/>
  <c r="B625"/>
  <c r="C625"/>
  <c r="E625"/>
  <c r="F625"/>
  <c r="A626"/>
  <c r="B626"/>
  <c r="C626"/>
  <c r="E626"/>
  <c r="F626"/>
  <c r="C627"/>
  <c r="E627"/>
  <c r="F627"/>
  <c r="C628"/>
  <c r="E628"/>
  <c r="F628"/>
  <c r="C629"/>
  <c r="E629"/>
  <c r="F629"/>
  <c r="C630"/>
  <c r="E630"/>
  <c r="F630"/>
  <c r="C631"/>
  <c r="E631"/>
  <c r="F631"/>
  <c r="C632"/>
  <c r="E632"/>
  <c r="F632"/>
  <c r="C633"/>
  <c r="E633"/>
  <c r="F633"/>
  <c r="C634"/>
  <c r="E634"/>
  <c r="F634"/>
  <c r="A635"/>
  <c r="B635"/>
  <c r="C635"/>
  <c r="E635"/>
  <c r="F635"/>
  <c r="A636"/>
  <c r="B636"/>
  <c r="C636"/>
  <c r="E636"/>
  <c r="F636"/>
  <c r="A637"/>
  <c r="B637"/>
  <c r="C637"/>
  <c r="E637"/>
  <c r="F637"/>
  <c r="A638"/>
  <c r="B638"/>
  <c r="C638"/>
  <c r="E638"/>
  <c r="F638"/>
  <c r="A639"/>
  <c r="B639"/>
  <c r="C639"/>
  <c r="E639"/>
  <c r="F639"/>
  <c r="A640"/>
  <c r="B640"/>
  <c r="C640"/>
  <c r="E640"/>
  <c r="F640"/>
  <c r="A641"/>
  <c r="B641"/>
  <c r="C641"/>
  <c r="E641"/>
  <c r="F641"/>
  <c r="A642"/>
  <c r="B642"/>
  <c r="C642"/>
  <c r="E642"/>
  <c r="F642"/>
  <c r="A643"/>
  <c r="B643"/>
  <c r="C643"/>
  <c r="E643"/>
  <c r="F643"/>
  <c r="A644"/>
  <c r="B644"/>
  <c r="C644"/>
  <c r="E644"/>
  <c r="F644"/>
  <c r="A645"/>
  <c r="B645"/>
  <c r="C645"/>
  <c r="E645"/>
  <c r="F645"/>
  <c r="A646"/>
  <c r="B646"/>
  <c r="C646"/>
  <c r="E646"/>
  <c r="F646"/>
  <c r="A647"/>
  <c r="B647"/>
  <c r="C647"/>
  <c r="E647"/>
  <c r="F647"/>
  <c r="A648"/>
  <c r="B648"/>
  <c r="C648"/>
  <c r="E648"/>
  <c r="F648"/>
  <c r="A649"/>
  <c r="B649"/>
  <c r="C649"/>
  <c r="E649"/>
  <c r="F649"/>
  <c r="A650"/>
  <c r="B650"/>
  <c r="C650"/>
  <c r="E650"/>
  <c r="F650"/>
  <c r="A651"/>
  <c r="B651"/>
  <c r="C651"/>
  <c r="E651"/>
  <c r="F651"/>
  <c r="A652"/>
  <c r="B652"/>
  <c r="C652"/>
  <c r="E652"/>
  <c r="F652"/>
  <c r="A653"/>
  <c r="B653"/>
  <c r="C653"/>
  <c r="E653"/>
  <c r="F653"/>
  <c r="A654"/>
  <c r="B654"/>
  <c r="C654"/>
  <c r="E654"/>
  <c r="F654"/>
  <c r="A655"/>
  <c r="B655"/>
  <c r="C655"/>
  <c r="E655"/>
  <c r="F655"/>
  <c r="A656"/>
  <c r="B656"/>
  <c r="C656"/>
  <c r="E656"/>
  <c r="F656"/>
  <c r="A657"/>
  <c r="B657"/>
  <c r="C657"/>
  <c r="E657"/>
  <c r="F657"/>
  <c r="A658"/>
  <c r="B658"/>
  <c r="C658"/>
  <c r="E658"/>
  <c r="F658"/>
  <c r="A659"/>
  <c r="B659"/>
  <c r="C659"/>
  <c r="E659"/>
  <c r="F659"/>
  <c r="A660"/>
  <c r="B660"/>
  <c r="C660"/>
  <c r="E660"/>
  <c r="F660"/>
  <c r="A661"/>
  <c r="B661"/>
  <c r="C661"/>
  <c r="E661"/>
  <c r="F661"/>
  <c r="A662"/>
  <c r="B662"/>
  <c r="C662"/>
  <c r="E662"/>
  <c r="F662"/>
  <c r="A663"/>
  <c r="B663"/>
  <c r="C663"/>
  <c r="E663"/>
  <c r="F663"/>
  <c r="A664"/>
  <c r="B664"/>
  <c r="C664"/>
  <c r="E664"/>
  <c r="F664"/>
  <c r="A665"/>
  <c r="B665"/>
  <c r="C665"/>
  <c r="E665"/>
  <c r="F665"/>
  <c r="A666"/>
  <c r="B666"/>
  <c r="C666"/>
  <c r="E666"/>
  <c r="F666"/>
  <c r="A667"/>
  <c r="B667"/>
  <c r="C667"/>
  <c r="E667"/>
  <c r="F667"/>
  <c r="A668"/>
  <c r="B668"/>
  <c r="C668"/>
  <c r="E668"/>
  <c r="F668"/>
  <c r="A669"/>
  <c r="B669"/>
  <c r="C669"/>
  <c r="E669"/>
  <c r="F669"/>
  <c r="A670"/>
  <c r="B670"/>
  <c r="C670"/>
  <c r="E670"/>
  <c r="F670"/>
  <c r="A671"/>
  <c r="B671"/>
  <c r="C671"/>
  <c r="E671"/>
  <c r="F671"/>
  <c r="A672"/>
  <c r="B672"/>
  <c r="C672"/>
  <c r="E672"/>
  <c r="F672"/>
  <c r="A673"/>
  <c r="B673"/>
  <c r="C673"/>
  <c r="E673"/>
  <c r="F673"/>
  <c r="A674"/>
  <c r="B674"/>
  <c r="C674"/>
  <c r="E674"/>
  <c r="F674"/>
  <c r="C675"/>
  <c r="E675"/>
  <c r="F675"/>
  <c r="A676"/>
  <c r="B676"/>
  <c r="C676"/>
  <c r="E676"/>
  <c r="F676"/>
  <c r="A677"/>
  <c r="B677"/>
  <c r="C677"/>
  <c r="E677"/>
  <c r="F677"/>
  <c r="A678"/>
  <c r="B678"/>
  <c r="C678"/>
  <c r="E678"/>
  <c r="F678"/>
  <c r="A679"/>
  <c r="B679"/>
  <c r="C679"/>
  <c r="E679"/>
  <c r="F679"/>
  <c r="A680"/>
  <c r="B680"/>
  <c r="C680"/>
  <c r="E680"/>
  <c r="F680"/>
  <c r="A681"/>
  <c r="B681"/>
  <c r="C681"/>
  <c r="E681"/>
  <c r="F681"/>
  <c r="A682"/>
  <c r="B682"/>
  <c r="C682"/>
  <c r="E682"/>
  <c r="F682"/>
  <c r="A683"/>
  <c r="B683"/>
  <c r="C683"/>
  <c r="E683"/>
  <c r="F683"/>
  <c r="A684"/>
  <c r="B684"/>
  <c r="C684"/>
  <c r="E684"/>
  <c r="F684"/>
  <c r="A685"/>
  <c r="B685"/>
  <c r="C685"/>
  <c r="E685"/>
  <c r="F685"/>
  <c r="A686"/>
  <c r="B686"/>
  <c r="C686"/>
  <c r="E686"/>
  <c r="F686"/>
  <c r="A687"/>
  <c r="B687"/>
  <c r="C687"/>
  <c r="E687"/>
  <c r="F687"/>
  <c r="A688"/>
  <c r="B688"/>
  <c r="C688"/>
  <c r="E688"/>
  <c r="F688"/>
  <c r="A689"/>
  <c r="B689"/>
  <c r="C689"/>
  <c r="E689"/>
  <c r="F689"/>
  <c r="A690"/>
  <c r="B690"/>
  <c r="C690"/>
  <c r="E690"/>
  <c r="F690"/>
  <c r="A691"/>
  <c r="B691"/>
  <c r="C691"/>
  <c r="E691"/>
  <c r="F691"/>
  <c r="A692"/>
  <c r="B692"/>
  <c r="C692"/>
  <c r="E692"/>
  <c r="F692"/>
  <c r="A693"/>
  <c r="B693"/>
  <c r="C693"/>
  <c r="E693"/>
  <c r="F693"/>
  <c r="A694"/>
  <c r="B694"/>
  <c r="C694"/>
  <c r="E694"/>
  <c r="F694"/>
  <c r="A695"/>
  <c r="B695"/>
  <c r="C695"/>
  <c r="E695"/>
  <c r="F695"/>
  <c r="A696"/>
  <c r="B696"/>
  <c r="C696"/>
  <c r="E696"/>
  <c r="F696"/>
  <c r="A697"/>
  <c r="B697"/>
  <c r="C697"/>
  <c r="E697"/>
  <c r="F697"/>
  <c r="A698"/>
  <c r="B698"/>
  <c r="C698"/>
  <c r="E698"/>
  <c r="F698"/>
  <c r="A699"/>
  <c r="B699"/>
  <c r="C699"/>
  <c r="E699"/>
  <c r="F699"/>
  <c r="A700"/>
  <c r="B700"/>
  <c r="C700"/>
  <c r="E700"/>
  <c r="F700"/>
  <c r="A701"/>
  <c r="B701"/>
  <c r="C701"/>
  <c r="E701"/>
  <c r="F701"/>
  <c r="A702"/>
  <c r="B702"/>
  <c r="C702"/>
  <c r="E702"/>
  <c r="F702"/>
  <c r="C703"/>
  <c r="E703"/>
  <c r="F703"/>
  <c r="C704"/>
  <c r="E704"/>
  <c r="F704"/>
  <c r="C705"/>
  <c r="E705"/>
  <c r="F705"/>
  <c r="C706"/>
  <c r="E706"/>
  <c r="F706"/>
  <c r="C707"/>
  <c r="E707"/>
  <c r="F707"/>
  <c r="A708"/>
  <c r="B708"/>
  <c r="C708"/>
  <c r="E708"/>
  <c r="F708"/>
  <c r="C709"/>
  <c r="E709"/>
  <c r="F709"/>
  <c r="C710"/>
  <c r="E710"/>
  <c r="F710"/>
  <c r="C711"/>
  <c r="E711"/>
  <c r="F711"/>
  <c r="C712"/>
  <c r="E712"/>
  <c r="F712"/>
  <c r="C713"/>
  <c r="E713"/>
  <c r="F713"/>
  <c r="C714"/>
  <c r="E714"/>
  <c r="F714"/>
  <c r="A715"/>
  <c r="B715"/>
  <c r="C715"/>
  <c r="E715"/>
  <c r="F715"/>
  <c r="C716"/>
  <c r="E716"/>
  <c r="F716"/>
  <c r="C717"/>
  <c r="E717"/>
  <c r="F717"/>
  <c r="C718"/>
  <c r="E718"/>
  <c r="F718"/>
  <c r="C719"/>
  <c r="E719"/>
  <c r="F719"/>
  <c r="C720"/>
  <c r="E720"/>
  <c r="F720"/>
  <c r="C721"/>
  <c r="E721"/>
  <c r="F721"/>
  <c r="C722"/>
  <c r="E722"/>
  <c r="F722"/>
  <c r="C723"/>
  <c r="E723"/>
  <c r="F723"/>
  <c r="C724"/>
  <c r="E724"/>
  <c r="F724"/>
  <c r="C725"/>
  <c r="E725"/>
  <c r="F725"/>
  <c r="A726"/>
  <c r="B726"/>
  <c r="C726"/>
  <c r="E726"/>
  <c r="F726"/>
  <c r="A727"/>
  <c r="B727"/>
  <c r="C727"/>
  <c r="E727"/>
  <c r="F727"/>
  <c r="A728"/>
  <c r="B728"/>
  <c r="C728"/>
  <c r="E728"/>
  <c r="F728"/>
  <c r="C729"/>
  <c r="E729"/>
  <c r="F729"/>
  <c r="C730"/>
  <c r="E730"/>
  <c r="F730"/>
  <c r="C731"/>
  <c r="E731"/>
  <c r="F731"/>
  <c r="C732"/>
  <c r="E732"/>
  <c r="F732"/>
  <c r="A733"/>
  <c r="B733"/>
  <c r="C733"/>
  <c r="E733"/>
  <c r="F733"/>
  <c r="C734"/>
  <c r="E734"/>
  <c r="F734"/>
  <c r="C735"/>
  <c r="E735"/>
  <c r="F735"/>
  <c r="C736"/>
  <c r="E736"/>
  <c r="F736"/>
  <c r="C737"/>
  <c r="E737"/>
  <c r="F737"/>
  <c r="A738"/>
  <c r="B738"/>
  <c r="C738"/>
  <c r="E738"/>
  <c r="F738"/>
  <c r="A739"/>
  <c r="B739"/>
  <c r="C739"/>
  <c r="E739"/>
  <c r="F739"/>
  <c r="C740"/>
  <c r="E740"/>
  <c r="F740"/>
  <c r="C741"/>
  <c r="E741"/>
  <c r="F741"/>
  <c r="C742"/>
  <c r="E742"/>
  <c r="F742"/>
  <c r="C743"/>
  <c r="E743"/>
  <c r="F743"/>
  <c r="A744"/>
  <c r="B744"/>
  <c r="C744"/>
  <c r="E744"/>
  <c r="F744"/>
  <c r="C745"/>
  <c r="E745"/>
  <c r="F745"/>
  <c r="C746"/>
  <c r="E746"/>
  <c r="F746"/>
  <c r="C747"/>
  <c r="E747"/>
  <c r="F747"/>
  <c r="C748"/>
  <c r="E748"/>
  <c r="F748"/>
  <c r="A749"/>
  <c r="B749"/>
  <c r="C749"/>
  <c r="E749"/>
  <c r="F749"/>
  <c r="C750"/>
  <c r="E750"/>
  <c r="F750"/>
  <c r="C751"/>
  <c r="E751"/>
  <c r="F751"/>
  <c r="C752"/>
  <c r="E752"/>
  <c r="F752"/>
  <c r="C753"/>
  <c r="E753"/>
  <c r="F753"/>
  <c r="A754"/>
  <c r="B754"/>
  <c r="C754"/>
  <c r="E754"/>
  <c r="F754"/>
  <c r="C755"/>
  <c r="E755"/>
  <c r="F755"/>
  <c r="C756"/>
  <c r="E756"/>
  <c r="F756"/>
  <c r="C757"/>
  <c r="E757"/>
  <c r="F757"/>
  <c r="C758"/>
  <c r="E758"/>
  <c r="F758"/>
  <c r="A759"/>
  <c r="B759"/>
  <c r="C759"/>
  <c r="E759"/>
  <c r="F759"/>
  <c r="A760"/>
  <c r="B760"/>
  <c r="C760"/>
  <c r="E760"/>
  <c r="F760"/>
  <c r="A761"/>
  <c r="B761"/>
  <c r="C761"/>
  <c r="E761"/>
  <c r="F761"/>
  <c r="A762"/>
  <c r="B762"/>
  <c r="C762"/>
  <c r="E762"/>
  <c r="F762"/>
  <c r="A763"/>
  <c r="B763"/>
  <c r="C763"/>
  <c r="E763"/>
  <c r="F763"/>
  <c r="A764"/>
  <c r="B764"/>
  <c r="C764"/>
  <c r="E764"/>
  <c r="F764"/>
  <c r="A765"/>
  <c r="B765"/>
  <c r="C765"/>
  <c r="E765"/>
  <c r="F765"/>
  <c r="A766"/>
  <c r="B766"/>
  <c r="C766"/>
  <c r="E766"/>
  <c r="F766"/>
  <c r="A767"/>
  <c r="B767"/>
  <c r="C767"/>
  <c r="E767"/>
  <c r="F767"/>
  <c r="A768"/>
  <c r="B768"/>
  <c r="C768"/>
  <c r="E768"/>
  <c r="F768"/>
  <c r="A769"/>
  <c r="B769"/>
  <c r="C769"/>
  <c r="E769"/>
  <c r="F769"/>
  <c r="A770"/>
  <c r="B770"/>
  <c r="C770"/>
  <c r="E770"/>
  <c r="F770"/>
  <c r="C771"/>
  <c r="E771"/>
  <c r="F771"/>
  <c r="A772"/>
  <c r="B772"/>
  <c r="C772"/>
  <c r="E772"/>
  <c r="F772"/>
  <c r="A773"/>
  <c r="B773"/>
  <c r="C773"/>
  <c r="E773"/>
  <c r="F773"/>
  <c r="A774"/>
  <c r="B774"/>
  <c r="C774"/>
  <c r="E774"/>
  <c r="F774"/>
  <c r="A775"/>
  <c r="B775"/>
  <c r="C775"/>
  <c r="E775"/>
  <c r="F775"/>
  <c r="A776"/>
  <c r="B776"/>
  <c r="C776"/>
  <c r="E776"/>
  <c r="F776"/>
  <c r="A777"/>
  <c r="B777"/>
  <c r="C777"/>
  <c r="E777"/>
  <c r="F777"/>
  <c r="A778"/>
  <c r="B778"/>
  <c r="C778"/>
  <c r="E778"/>
  <c r="F778"/>
  <c r="A779"/>
  <c r="B779"/>
  <c r="C779"/>
  <c r="E779"/>
  <c r="F779"/>
  <c r="A780"/>
  <c r="B780"/>
  <c r="C780"/>
  <c r="E780"/>
  <c r="F780"/>
  <c r="A781"/>
  <c r="B781"/>
  <c r="C781"/>
  <c r="E781"/>
  <c r="F781"/>
  <c r="A782"/>
  <c r="B782"/>
  <c r="C782"/>
  <c r="E782"/>
  <c r="F782"/>
  <c r="A783"/>
  <c r="B783"/>
  <c r="C783"/>
  <c r="E783"/>
  <c r="F783"/>
  <c r="A784"/>
  <c r="B784"/>
  <c r="C784"/>
  <c r="E784"/>
  <c r="F784"/>
  <c r="A785"/>
  <c r="B785"/>
  <c r="C785"/>
  <c r="E785"/>
  <c r="F785"/>
  <c r="A786"/>
  <c r="B786"/>
  <c r="C786"/>
  <c r="E786"/>
  <c r="F786"/>
  <c r="A787"/>
  <c r="B787"/>
  <c r="C787"/>
  <c r="E787"/>
  <c r="F787"/>
  <c r="A788"/>
  <c r="B788"/>
  <c r="C788"/>
  <c r="E788"/>
  <c r="F788"/>
  <c r="A789"/>
  <c r="B789"/>
  <c r="C789"/>
  <c r="E789"/>
  <c r="F789"/>
  <c r="A790"/>
  <c r="B790"/>
  <c r="C790"/>
  <c r="E790"/>
  <c r="F790"/>
  <c r="A791"/>
  <c r="B791"/>
  <c r="C791"/>
  <c r="E791"/>
  <c r="F791"/>
  <c r="C792"/>
  <c r="E792"/>
  <c r="F792"/>
  <c r="C793"/>
  <c r="E793"/>
  <c r="F793"/>
  <c r="C794"/>
  <c r="E794"/>
  <c r="F794"/>
  <c r="A795"/>
  <c r="B795"/>
  <c r="C795"/>
  <c r="E795"/>
  <c r="F795"/>
  <c r="C796"/>
  <c r="E796"/>
  <c r="F796"/>
  <c r="A797"/>
  <c r="B797"/>
  <c r="C797"/>
  <c r="E797"/>
  <c r="F797"/>
  <c r="C798"/>
  <c r="E798"/>
  <c r="F798"/>
  <c r="A799"/>
  <c r="B799"/>
  <c r="C799"/>
  <c r="E799"/>
  <c r="F799"/>
  <c r="C800"/>
  <c r="E800"/>
  <c r="F800"/>
  <c r="A801"/>
  <c r="B801"/>
  <c r="C801"/>
  <c r="E801"/>
  <c r="F801"/>
  <c r="A802"/>
  <c r="B802"/>
  <c r="C802"/>
  <c r="E802"/>
  <c r="F802"/>
  <c r="A803"/>
  <c r="B803"/>
  <c r="C803"/>
  <c r="E803"/>
  <c r="F803"/>
  <c r="A804"/>
  <c r="B804"/>
  <c r="C804"/>
  <c r="E804"/>
  <c r="F804"/>
  <c r="A805"/>
  <c r="B805"/>
  <c r="C805"/>
  <c r="E805"/>
  <c r="F805"/>
  <c r="C806"/>
  <c r="E806"/>
  <c r="F806"/>
  <c r="C807"/>
  <c r="E807"/>
  <c r="F807"/>
  <c r="A808"/>
  <c r="B808"/>
  <c r="C808"/>
  <c r="E808"/>
  <c r="F808"/>
  <c r="A809"/>
  <c r="B809"/>
  <c r="C809"/>
  <c r="E809"/>
  <c r="F809"/>
  <c r="A810"/>
  <c r="B810"/>
  <c r="C810"/>
  <c r="E810"/>
  <c r="F810"/>
  <c r="A811"/>
  <c r="B811"/>
  <c r="C811"/>
  <c r="E811"/>
  <c r="F811"/>
  <c r="A812"/>
  <c r="B812"/>
  <c r="C812"/>
  <c r="E812"/>
  <c r="F812"/>
  <c r="A813"/>
  <c r="B813"/>
  <c r="C813"/>
  <c r="E813"/>
  <c r="F813"/>
  <c r="A814"/>
  <c r="B814"/>
  <c r="C814"/>
  <c r="E814"/>
  <c r="F814"/>
  <c r="A815"/>
  <c r="B815"/>
  <c r="C815"/>
  <c r="E815"/>
  <c r="F815"/>
  <c r="A816"/>
  <c r="B816"/>
  <c r="C816"/>
  <c r="E816"/>
  <c r="F816"/>
  <c r="A817"/>
  <c r="B817"/>
  <c r="C817"/>
  <c r="E817"/>
  <c r="F817"/>
  <c r="A818"/>
  <c r="B818"/>
  <c r="C818"/>
  <c r="E818"/>
  <c r="F818"/>
  <c r="C819"/>
  <c r="E819"/>
  <c r="F819"/>
  <c r="C820"/>
  <c r="E820"/>
  <c r="F820"/>
  <c r="A821"/>
  <c r="B821"/>
  <c r="C821"/>
  <c r="E821"/>
  <c r="F821"/>
  <c r="A822"/>
  <c r="B822"/>
  <c r="C822"/>
  <c r="E822"/>
  <c r="F822"/>
  <c r="A823"/>
  <c r="B823"/>
  <c r="C823"/>
  <c r="E823"/>
  <c r="F823"/>
  <c r="A824"/>
  <c r="B824"/>
  <c r="C824"/>
  <c r="E824"/>
  <c r="F824"/>
  <c r="A825"/>
  <c r="B825"/>
  <c r="C825"/>
  <c r="E825"/>
  <c r="F825"/>
  <c r="C826"/>
  <c r="E826"/>
  <c r="F826"/>
  <c r="A827"/>
  <c r="B827"/>
  <c r="C827"/>
  <c r="E827"/>
  <c r="F827"/>
  <c r="A828"/>
  <c r="B828"/>
  <c r="C828"/>
  <c r="E828"/>
  <c r="F828"/>
  <c r="A829"/>
  <c r="B829"/>
  <c r="C829"/>
  <c r="E829"/>
  <c r="F829"/>
  <c r="A830"/>
  <c r="B830"/>
  <c r="C830"/>
  <c r="E830"/>
  <c r="F830"/>
  <c r="C831"/>
  <c r="E831"/>
  <c r="F831"/>
  <c r="C832"/>
  <c r="E832"/>
  <c r="F832"/>
  <c r="C833"/>
  <c r="E833"/>
  <c r="F833"/>
  <c r="A834"/>
  <c r="B834"/>
  <c r="C834"/>
  <c r="E834"/>
  <c r="F834"/>
  <c r="A835"/>
  <c r="B835"/>
  <c r="C835"/>
  <c r="E835"/>
  <c r="F835"/>
  <c r="A836"/>
  <c r="B836"/>
  <c r="C836"/>
  <c r="E836"/>
  <c r="F836"/>
  <c r="A837"/>
  <c r="B837"/>
  <c r="C837"/>
  <c r="E837"/>
  <c r="F837"/>
  <c r="A838"/>
  <c r="B838"/>
  <c r="C838"/>
  <c r="E838"/>
  <c r="F838"/>
  <c r="A839"/>
  <c r="B839"/>
  <c r="C839"/>
  <c r="E839"/>
  <c r="F839"/>
  <c r="A840"/>
  <c r="B840"/>
  <c r="C840"/>
  <c r="E840"/>
  <c r="F840"/>
  <c r="A841"/>
  <c r="B841"/>
  <c r="C841"/>
  <c r="E841"/>
  <c r="F841"/>
  <c r="C842"/>
  <c r="E842"/>
  <c r="F842"/>
  <c r="C843"/>
  <c r="E843"/>
  <c r="F843"/>
  <c r="A844"/>
  <c r="B844"/>
  <c r="C844"/>
  <c r="E844"/>
  <c r="F844"/>
  <c r="A845"/>
  <c r="B845"/>
  <c r="C845"/>
  <c r="E845"/>
  <c r="F845"/>
  <c r="A846"/>
  <c r="B846"/>
  <c r="C846"/>
  <c r="E846"/>
  <c r="F846"/>
  <c r="A847"/>
  <c r="B847"/>
  <c r="C847"/>
  <c r="E847"/>
  <c r="F847"/>
  <c r="A848"/>
  <c r="B848"/>
  <c r="C848"/>
  <c r="E848"/>
  <c r="F848"/>
  <c r="A849"/>
  <c r="B849"/>
  <c r="C849"/>
  <c r="E849"/>
  <c r="F849"/>
  <c r="A850"/>
  <c r="B850"/>
  <c r="C850"/>
  <c r="E850"/>
  <c r="F850"/>
  <c r="A851"/>
  <c r="B851"/>
  <c r="C851"/>
  <c r="E851"/>
  <c r="F851"/>
  <c r="A852"/>
  <c r="B852"/>
  <c r="C852"/>
  <c r="E852"/>
  <c r="F852"/>
  <c r="A853"/>
  <c r="B853"/>
  <c r="C853"/>
  <c r="E853"/>
  <c r="F853"/>
  <c r="A854"/>
  <c r="B854"/>
  <c r="C854"/>
  <c r="E854"/>
  <c r="F854"/>
  <c r="A855"/>
  <c r="B855"/>
  <c r="C855"/>
  <c r="E855"/>
  <c r="F855"/>
  <c r="A856"/>
  <c r="B856"/>
  <c r="C856"/>
  <c r="E856"/>
  <c r="F856"/>
  <c r="A857"/>
  <c r="B857"/>
  <c r="C857"/>
  <c r="E857"/>
  <c r="F857"/>
  <c r="A858"/>
  <c r="B858"/>
  <c r="C858"/>
  <c r="E858"/>
  <c r="F858"/>
  <c r="A859"/>
  <c r="B859"/>
  <c r="C859"/>
  <c r="E859"/>
  <c r="F859"/>
  <c r="A860"/>
  <c r="B860"/>
  <c r="C860"/>
  <c r="E860"/>
  <c r="F860"/>
  <c r="A861"/>
  <c r="B861"/>
  <c r="C861"/>
  <c r="E861"/>
  <c r="F861"/>
  <c r="A862"/>
  <c r="B862"/>
  <c r="C862"/>
  <c r="E862"/>
  <c r="F862"/>
  <c r="A863"/>
  <c r="B863"/>
  <c r="C863"/>
  <c r="E863"/>
  <c r="F863"/>
  <c r="A864"/>
  <c r="B864"/>
  <c r="C864"/>
  <c r="E864"/>
  <c r="F864"/>
  <c r="A865"/>
  <c r="B865"/>
  <c r="C865"/>
  <c r="E865"/>
  <c r="F865"/>
  <c r="A866"/>
  <c r="B866"/>
  <c r="C866"/>
  <c r="E866"/>
  <c r="F866"/>
  <c r="A867"/>
  <c r="B867"/>
  <c r="C867"/>
  <c r="E867"/>
  <c r="F867"/>
  <c r="A868"/>
  <c r="B868"/>
  <c r="C868"/>
  <c r="E868"/>
  <c r="F868"/>
  <c r="A869"/>
  <c r="B869"/>
  <c r="C869"/>
  <c r="E869"/>
  <c r="F869"/>
  <c r="A870"/>
  <c r="B870"/>
  <c r="C870"/>
  <c r="E870"/>
  <c r="F870"/>
  <c r="A871"/>
  <c r="B871"/>
  <c r="C871"/>
  <c r="E871"/>
  <c r="F871"/>
  <c r="A872"/>
  <c r="B872"/>
  <c r="C872"/>
  <c r="E872"/>
  <c r="F872"/>
  <c r="A873"/>
  <c r="B873"/>
  <c r="C873"/>
  <c r="E873"/>
  <c r="F873"/>
  <c r="A874"/>
  <c r="B874"/>
  <c r="C874"/>
  <c r="E874"/>
  <c r="F874"/>
  <c r="A875"/>
  <c r="B875"/>
  <c r="C875"/>
  <c r="E875"/>
  <c r="F875"/>
  <c r="A876"/>
  <c r="B876"/>
  <c r="C876"/>
  <c r="E876"/>
  <c r="F876"/>
  <c r="A877"/>
  <c r="B877"/>
  <c r="C877"/>
  <c r="E877"/>
  <c r="F877"/>
  <c r="A878"/>
  <c r="B878"/>
  <c r="C878"/>
  <c r="E878"/>
  <c r="F878"/>
  <c r="A879"/>
  <c r="B879"/>
  <c r="C879"/>
  <c r="E879"/>
  <c r="F879"/>
  <c r="A880"/>
  <c r="B880"/>
  <c r="C880"/>
  <c r="E880"/>
  <c r="F880"/>
  <c r="A881"/>
  <c r="B881"/>
  <c r="C881"/>
  <c r="E881"/>
  <c r="F881"/>
  <c r="A882"/>
  <c r="B882"/>
  <c r="C882"/>
  <c r="E882"/>
  <c r="F882"/>
  <c r="A883"/>
  <c r="B883"/>
  <c r="C883"/>
  <c r="E883"/>
  <c r="F883"/>
  <c r="A884"/>
  <c r="B884"/>
  <c r="C884"/>
  <c r="E884"/>
  <c r="F884"/>
  <c r="A885"/>
  <c r="B885"/>
  <c r="C885"/>
  <c r="E885"/>
  <c r="F885"/>
  <c r="A886"/>
  <c r="B886"/>
  <c r="C886"/>
  <c r="E886"/>
  <c r="F886"/>
  <c r="C887"/>
  <c r="E887"/>
  <c r="F887"/>
  <c r="C888"/>
  <c r="E888"/>
  <c r="F888"/>
  <c r="A889"/>
  <c r="B889"/>
  <c r="C889"/>
  <c r="E889"/>
  <c r="F889"/>
  <c r="A890"/>
  <c r="B890"/>
  <c r="C890"/>
  <c r="E890"/>
  <c r="F890"/>
  <c r="A891"/>
  <c r="B891"/>
  <c r="C891"/>
  <c r="E891"/>
  <c r="F891"/>
  <c r="A892"/>
  <c r="B892"/>
  <c r="C892"/>
  <c r="E892"/>
  <c r="F892"/>
  <c r="A893"/>
  <c r="B893"/>
  <c r="C893"/>
  <c r="E893"/>
  <c r="F893"/>
  <c r="A894"/>
  <c r="B894"/>
  <c r="C894"/>
  <c r="E894"/>
  <c r="F894"/>
  <c r="A895"/>
  <c r="B895"/>
  <c r="C895"/>
  <c r="E895"/>
  <c r="F895"/>
  <c r="A896"/>
  <c r="B896"/>
  <c r="C896"/>
  <c r="E896"/>
  <c r="F896"/>
  <c r="A897"/>
  <c r="B897"/>
  <c r="C897"/>
  <c r="E897"/>
  <c r="F897"/>
  <c r="A898"/>
  <c r="B898"/>
  <c r="C898"/>
  <c r="E898"/>
  <c r="F898"/>
  <c r="A899"/>
  <c r="B899"/>
  <c r="C899"/>
  <c r="E899"/>
  <c r="F899"/>
  <c r="A900"/>
  <c r="B900"/>
  <c r="C900"/>
  <c r="E900"/>
  <c r="F900"/>
  <c r="A901"/>
  <c r="B901"/>
  <c r="C901"/>
  <c r="E901"/>
  <c r="F901"/>
  <c r="A902"/>
  <c r="B902"/>
  <c r="C902"/>
  <c r="E902"/>
  <c r="F902"/>
  <c r="A903"/>
  <c r="B903"/>
  <c r="C903"/>
  <c r="E903"/>
  <c r="F903"/>
  <c r="A904"/>
  <c r="B904"/>
  <c r="C904"/>
  <c r="E904"/>
  <c r="F904"/>
  <c r="A905"/>
  <c r="B905"/>
  <c r="C905"/>
  <c r="E905"/>
  <c r="F905"/>
  <c r="A906"/>
  <c r="B906"/>
  <c r="C906"/>
  <c r="E906"/>
  <c r="F906"/>
  <c r="A907"/>
  <c r="B907"/>
  <c r="C907"/>
  <c r="E907"/>
  <c r="F907"/>
  <c r="A908"/>
  <c r="B908"/>
  <c r="C908"/>
  <c r="E908"/>
  <c r="F908"/>
  <c r="A909"/>
  <c r="B909"/>
  <c r="C909"/>
  <c r="E909"/>
  <c r="F909"/>
  <c r="A910"/>
  <c r="B910"/>
  <c r="C910"/>
  <c r="E910"/>
  <c r="F910"/>
  <c r="A911"/>
  <c r="B911"/>
  <c r="C911"/>
  <c r="E911"/>
  <c r="F911"/>
  <c r="A912"/>
  <c r="B912"/>
  <c r="C912"/>
  <c r="E912"/>
  <c r="F912"/>
  <c r="A913"/>
  <c r="B913"/>
  <c r="C913"/>
  <c r="E913"/>
  <c r="F913"/>
  <c r="A914"/>
  <c r="B914"/>
  <c r="C914"/>
  <c r="E914"/>
  <c r="F914"/>
  <c r="A915"/>
  <c r="B915"/>
  <c r="C915"/>
  <c r="E915"/>
  <c r="F915"/>
  <c r="A916"/>
  <c r="B916"/>
  <c r="C916"/>
  <c r="E916"/>
  <c r="F916"/>
  <c r="A917"/>
  <c r="B917"/>
  <c r="C917"/>
  <c r="E917"/>
  <c r="F917"/>
  <c r="A918"/>
  <c r="B918"/>
  <c r="C918"/>
  <c r="E918"/>
  <c r="F918"/>
  <c r="A919"/>
  <c r="B919"/>
  <c r="C919"/>
  <c r="E919"/>
  <c r="F919"/>
  <c r="A920"/>
  <c r="B920"/>
  <c r="C920"/>
  <c r="E920"/>
  <c r="F920"/>
  <c r="A921"/>
  <c r="B921"/>
  <c r="C921"/>
  <c r="E921"/>
  <c r="F921"/>
  <c r="A922"/>
  <c r="B922"/>
  <c r="C922"/>
  <c r="E922"/>
  <c r="F922"/>
  <c r="A923"/>
  <c r="B923"/>
  <c r="C923"/>
  <c r="E923"/>
  <c r="F923"/>
  <c r="A924"/>
  <c r="B924"/>
  <c r="C924"/>
  <c r="E924"/>
  <c r="F924"/>
  <c r="A925"/>
  <c r="B925"/>
  <c r="C925"/>
  <c r="E925"/>
  <c r="F925"/>
  <c r="A926"/>
  <c r="B926"/>
  <c r="C926"/>
  <c r="E926"/>
  <c r="F926"/>
  <c r="A927"/>
  <c r="B927"/>
  <c r="C927"/>
  <c r="E927"/>
  <c r="F927"/>
  <c r="A928"/>
  <c r="B928"/>
  <c r="C928"/>
  <c r="E928"/>
  <c r="F928"/>
  <c r="A929"/>
  <c r="B929"/>
  <c r="C929"/>
  <c r="E929"/>
  <c r="F929"/>
  <c r="A930"/>
  <c r="B930"/>
  <c r="C930"/>
  <c r="E930"/>
  <c r="F930"/>
  <c r="A931"/>
  <c r="B931"/>
  <c r="C931"/>
  <c r="E931"/>
  <c r="F931"/>
  <c r="A932"/>
  <c r="B932"/>
  <c r="C932"/>
  <c r="E932"/>
  <c r="F932"/>
  <c r="A933"/>
  <c r="B933"/>
  <c r="C933"/>
  <c r="E933"/>
  <c r="F933"/>
  <c r="A934"/>
  <c r="B934"/>
  <c r="C934"/>
  <c r="E934"/>
  <c r="F934"/>
  <c r="A935"/>
  <c r="B935"/>
  <c r="C935"/>
  <c r="E935"/>
  <c r="F935"/>
  <c r="A936"/>
  <c r="B936"/>
  <c r="C936"/>
  <c r="E936"/>
  <c r="F936"/>
  <c r="A937"/>
  <c r="B937"/>
  <c r="C937"/>
  <c r="E937"/>
  <c r="F937"/>
  <c r="A938"/>
  <c r="B938"/>
  <c r="C938"/>
  <c r="E938"/>
  <c r="F938"/>
  <c r="A939"/>
  <c r="B939"/>
  <c r="C939"/>
  <c r="E939"/>
  <c r="F939"/>
  <c r="A940"/>
  <c r="B940"/>
  <c r="C940"/>
  <c r="E940"/>
  <c r="F940"/>
  <c r="A941"/>
  <c r="B941"/>
  <c r="C941"/>
  <c r="E941"/>
  <c r="F941"/>
  <c r="A942"/>
  <c r="B942"/>
  <c r="C942"/>
  <c r="E942"/>
  <c r="F942"/>
  <c r="A943"/>
  <c r="B943"/>
  <c r="C943"/>
  <c r="E943"/>
  <c r="F943"/>
  <c r="A944"/>
  <c r="B944"/>
  <c r="C944"/>
  <c r="E944"/>
  <c r="F944"/>
  <c r="A945"/>
  <c r="B945"/>
  <c r="C945"/>
  <c r="E945"/>
  <c r="F945"/>
  <c r="A946"/>
  <c r="B946"/>
  <c r="C946"/>
  <c r="E946"/>
  <c r="F946"/>
  <c r="A947"/>
  <c r="B947"/>
  <c r="C947"/>
  <c r="E947"/>
  <c r="F947"/>
  <c r="A948"/>
  <c r="B948"/>
  <c r="C948"/>
  <c r="E948"/>
  <c r="F948"/>
  <c r="A949"/>
  <c r="B949"/>
  <c r="C949"/>
  <c r="E949"/>
  <c r="F949"/>
  <c r="A950"/>
  <c r="B950"/>
  <c r="C950"/>
  <c r="E950"/>
  <c r="F950"/>
  <c r="A951"/>
  <c r="B951"/>
  <c r="C951"/>
  <c r="E951"/>
  <c r="F951"/>
  <c r="A952"/>
  <c r="B952"/>
  <c r="C952"/>
  <c r="E952"/>
  <c r="F952"/>
  <c r="A953"/>
  <c r="B953"/>
  <c r="C953"/>
  <c r="E953"/>
  <c r="F953"/>
  <c r="A954"/>
  <c r="B954"/>
  <c r="C954"/>
  <c r="E954"/>
  <c r="F954"/>
  <c r="A955"/>
  <c r="B955"/>
  <c r="C955"/>
  <c r="E955"/>
  <c r="F955"/>
  <c r="A956"/>
  <c r="B956"/>
  <c r="C956"/>
  <c r="E956"/>
  <c r="F956"/>
  <c r="A957"/>
  <c r="B957"/>
  <c r="C957"/>
  <c r="E957"/>
  <c r="F957"/>
  <c r="A958"/>
  <c r="B958"/>
  <c r="C958"/>
  <c r="E958"/>
  <c r="F958"/>
  <c r="A959"/>
  <c r="B959"/>
  <c r="C959"/>
  <c r="E959"/>
  <c r="F959"/>
  <c r="A960"/>
  <c r="B960"/>
  <c r="C960"/>
  <c r="E960"/>
  <c r="F960"/>
  <c r="A961"/>
  <c r="B961"/>
  <c r="C961"/>
  <c r="E961"/>
  <c r="F961"/>
  <c r="A962"/>
  <c r="B962"/>
  <c r="C962"/>
  <c r="E962"/>
  <c r="F962"/>
  <c r="A963"/>
  <c r="B963"/>
  <c r="C963"/>
  <c r="E963"/>
  <c r="F963"/>
  <c r="A964"/>
  <c r="B964"/>
  <c r="C964"/>
  <c r="E964"/>
  <c r="F964"/>
  <c r="A965"/>
  <c r="B965"/>
  <c r="C965"/>
  <c r="E965"/>
  <c r="F965"/>
  <c r="A966"/>
  <c r="B966"/>
  <c r="C966"/>
  <c r="E966"/>
  <c r="F966"/>
  <c r="A967"/>
  <c r="B967"/>
  <c r="C967"/>
  <c r="E967"/>
  <c r="F967"/>
  <c r="A968"/>
  <c r="B968"/>
  <c r="C968"/>
  <c r="E968"/>
  <c r="F968"/>
  <c r="A969"/>
  <c r="B969"/>
  <c r="C969"/>
  <c r="E969"/>
  <c r="F969"/>
  <c r="A970"/>
  <c r="B970"/>
  <c r="C970"/>
  <c r="E970"/>
  <c r="F970"/>
  <c r="A971"/>
  <c r="B971"/>
  <c r="C971"/>
  <c r="E971"/>
  <c r="F971"/>
  <c r="A972"/>
  <c r="B972"/>
  <c r="C972"/>
  <c r="E972"/>
  <c r="F972"/>
  <c r="A973"/>
  <c r="B973"/>
  <c r="C973"/>
  <c r="E973"/>
  <c r="F973"/>
  <c r="A974"/>
  <c r="B974"/>
  <c r="C974"/>
  <c r="E974"/>
  <c r="F974"/>
  <c r="A975"/>
  <c r="B975"/>
  <c r="C975"/>
  <c r="E975"/>
  <c r="F975"/>
  <c r="A976"/>
  <c r="B976"/>
  <c r="C976"/>
  <c r="E976"/>
  <c r="F976"/>
  <c r="A977"/>
  <c r="B977"/>
  <c r="C977"/>
  <c r="E977"/>
  <c r="F977"/>
  <c r="A978"/>
  <c r="B978"/>
  <c r="C978"/>
  <c r="E978"/>
  <c r="F978"/>
  <c r="A979"/>
  <c r="B979"/>
  <c r="C979"/>
  <c r="E979"/>
  <c r="F979"/>
  <c r="A980"/>
  <c r="B980"/>
  <c r="C980"/>
  <c r="E980"/>
  <c r="F980"/>
  <c r="A981"/>
  <c r="B981"/>
  <c r="C981"/>
  <c r="E981"/>
  <c r="F981"/>
  <c r="A982"/>
  <c r="B982"/>
  <c r="C982"/>
  <c r="E982"/>
  <c r="F982"/>
  <c r="A983"/>
  <c r="B983"/>
  <c r="C983"/>
  <c r="E983"/>
  <c r="F983"/>
  <c r="A984"/>
  <c r="B984"/>
  <c r="C984"/>
  <c r="E984"/>
  <c r="F984"/>
  <c r="A985"/>
  <c r="B985"/>
  <c r="C985"/>
  <c r="E985"/>
  <c r="F985"/>
  <c r="A986"/>
  <c r="B986"/>
  <c r="C986"/>
  <c r="E986"/>
  <c r="F986"/>
  <c r="A987"/>
  <c r="B987"/>
  <c r="C987"/>
  <c r="E987"/>
  <c r="F987"/>
  <c r="A988"/>
  <c r="B988"/>
  <c r="C988"/>
  <c r="E988"/>
  <c r="F988"/>
  <c r="A989"/>
  <c r="B989"/>
  <c r="C989"/>
  <c r="E989"/>
  <c r="F989"/>
  <c r="A990"/>
  <c r="B990"/>
  <c r="C990"/>
  <c r="E990"/>
  <c r="F990"/>
  <c r="A991"/>
  <c r="B991"/>
  <c r="C991"/>
  <c r="E991"/>
  <c r="F991"/>
  <c r="A992"/>
  <c r="B992"/>
  <c r="C992"/>
  <c r="E992"/>
  <c r="F992"/>
  <c r="A993"/>
  <c r="B993"/>
  <c r="C993"/>
  <c r="E993"/>
  <c r="F993"/>
  <c r="A994"/>
  <c r="B994"/>
  <c r="C994"/>
  <c r="E994"/>
  <c r="F994"/>
  <c r="A995"/>
  <c r="B995"/>
  <c r="C995"/>
  <c r="E995"/>
  <c r="F995"/>
  <c r="A996"/>
  <c r="B996"/>
  <c r="C996"/>
  <c r="E996"/>
  <c r="F996"/>
  <c r="A997"/>
  <c r="B997"/>
  <c r="C997"/>
  <c r="E997"/>
  <c r="F997"/>
  <c r="A998"/>
  <c r="B998"/>
  <c r="C998"/>
  <c r="E998"/>
  <c r="F998"/>
  <c r="A999"/>
  <c r="B999"/>
  <c r="C999"/>
  <c r="E999"/>
  <c r="F999"/>
  <c r="A1000"/>
  <c r="B1000"/>
  <c r="C1000"/>
  <c r="E1000"/>
  <c r="F1000"/>
  <c r="A1001"/>
  <c r="B1001"/>
  <c r="C1001"/>
  <c r="E1001"/>
  <c r="F1001"/>
  <c r="A1002"/>
  <c r="B1002"/>
  <c r="C1002"/>
  <c r="E1002"/>
  <c r="F1002"/>
  <c r="A1003"/>
  <c r="B1003"/>
  <c r="C1003"/>
  <c r="E1003"/>
  <c r="F1003"/>
  <c r="A1004"/>
  <c r="B1004"/>
  <c r="C1004"/>
  <c r="E1004"/>
  <c r="F1004"/>
  <c r="A1005"/>
  <c r="B1005"/>
  <c r="C1005"/>
  <c r="E1005"/>
  <c r="F1005"/>
  <c r="A1006"/>
  <c r="B1006"/>
  <c r="C1006"/>
  <c r="E1006"/>
  <c r="F1006"/>
  <c r="A1007"/>
  <c r="B1007"/>
  <c r="C1007"/>
  <c r="E1007"/>
  <c r="F1007"/>
  <c r="A1008"/>
  <c r="B1008"/>
  <c r="C1008"/>
  <c r="E1008"/>
  <c r="F1008"/>
  <c r="C1009"/>
  <c r="E1009"/>
  <c r="F1009"/>
  <c r="A1010"/>
  <c r="B1010"/>
  <c r="C1010"/>
  <c r="E1010"/>
  <c r="F1010"/>
  <c r="C1011"/>
  <c r="E1011"/>
  <c r="F1011"/>
  <c r="C1012"/>
  <c r="E1012"/>
  <c r="F1012"/>
  <c r="A1013"/>
  <c r="B1013"/>
  <c r="C1013"/>
  <c r="E1013"/>
  <c r="F1013"/>
  <c r="C1014"/>
  <c r="E1014"/>
  <c r="F1014"/>
  <c r="A1015"/>
  <c r="B1015"/>
  <c r="C1015"/>
  <c r="E1015"/>
  <c r="F1015"/>
  <c r="C1016"/>
  <c r="E1016"/>
  <c r="F1016"/>
  <c r="A1017"/>
  <c r="B1017"/>
  <c r="C1017"/>
  <c r="E1017"/>
  <c r="F1017"/>
  <c r="C1018"/>
  <c r="E1018"/>
  <c r="F1018"/>
  <c r="C1019"/>
  <c r="E1019"/>
  <c r="F1019"/>
  <c r="C1020"/>
  <c r="E1020"/>
  <c r="F1020"/>
  <c r="A1021"/>
  <c r="B1021"/>
  <c r="C1021"/>
  <c r="E1021"/>
  <c r="F1021"/>
  <c r="C1022"/>
  <c r="E1022"/>
  <c r="F1022"/>
  <c r="A1023"/>
  <c r="B1023"/>
  <c r="C1023"/>
  <c r="E1023"/>
  <c r="F1023"/>
  <c r="C1024"/>
  <c r="E1024"/>
  <c r="F1024"/>
  <c r="A1025"/>
  <c r="B1025"/>
  <c r="C1025"/>
  <c r="E1025"/>
  <c r="F1025"/>
  <c r="C1026"/>
  <c r="E1026"/>
  <c r="F1026"/>
  <c r="A1027"/>
  <c r="B1027"/>
  <c r="C1027"/>
  <c r="E1027"/>
  <c r="F1027"/>
  <c r="A1028"/>
  <c r="B1028"/>
  <c r="C1028"/>
  <c r="E1028"/>
  <c r="F1028"/>
  <c r="C1029"/>
  <c r="E1029"/>
  <c r="F1029"/>
  <c r="C1030"/>
  <c r="E1030"/>
  <c r="F1030"/>
  <c r="A1031"/>
  <c r="B1031"/>
  <c r="C1031"/>
  <c r="E1031"/>
  <c r="F1031"/>
  <c r="C1032"/>
  <c r="E1032"/>
  <c r="F1032"/>
  <c r="A1033"/>
  <c r="B1033"/>
  <c r="C1033"/>
  <c r="E1033"/>
  <c r="F1033"/>
  <c r="A1034"/>
  <c r="B1034"/>
  <c r="C1034"/>
  <c r="E1034"/>
  <c r="F1034"/>
  <c r="A1035"/>
  <c r="B1035"/>
  <c r="C1035"/>
  <c r="E1035"/>
  <c r="F1035"/>
  <c r="C1036"/>
  <c r="E1036"/>
  <c r="F1036"/>
  <c r="A1037"/>
  <c r="B1037"/>
  <c r="C1037"/>
  <c r="E1037"/>
  <c r="F1037"/>
  <c r="A1038"/>
  <c r="B1038"/>
  <c r="C1038"/>
  <c r="E1038"/>
  <c r="F1038"/>
  <c r="A1039"/>
  <c r="B1039"/>
  <c r="C1039"/>
  <c r="E1039"/>
  <c r="F1039"/>
  <c r="A1040"/>
  <c r="B1040"/>
  <c r="C1040"/>
  <c r="E1040"/>
  <c r="F1040"/>
  <c r="A1041"/>
  <c r="B1041"/>
  <c r="C1041"/>
  <c r="E1041"/>
  <c r="F1041"/>
  <c r="A1042"/>
  <c r="B1042"/>
  <c r="C1042"/>
  <c r="E1042"/>
  <c r="F1042"/>
  <c r="A1043"/>
  <c r="B1043"/>
  <c r="C1043"/>
  <c r="E1043"/>
  <c r="F1043"/>
  <c r="A1044"/>
  <c r="B1044"/>
  <c r="C1044"/>
  <c r="E1044"/>
  <c r="F1044"/>
  <c r="A1045"/>
  <c r="B1045"/>
  <c r="C1045"/>
  <c r="E1045"/>
  <c r="F1045"/>
  <c r="A1046"/>
  <c r="B1046"/>
  <c r="C1046"/>
  <c r="E1046"/>
  <c r="F1046"/>
  <c r="A1047"/>
  <c r="B1047"/>
  <c r="C1047"/>
  <c r="E1047"/>
  <c r="F1047"/>
  <c r="A1048"/>
  <c r="B1048"/>
  <c r="C1048"/>
  <c r="E1048"/>
  <c r="F1048"/>
  <c r="A1049"/>
  <c r="B1049"/>
  <c r="C1049"/>
  <c r="E1049"/>
  <c r="F1049"/>
  <c r="A1050"/>
  <c r="B1050"/>
  <c r="C1050"/>
  <c r="E1050"/>
  <c r="F1050"/>
  <c r="A1051"/>
  <c r="B1051"/>
  <c r="C1051"/>
  <c r="E1051"/>
  <c r="F1051"/>
  <c r="A1052"/>
  <c r="B1052"/>
  <c r="C1052"/>
  <c r="E1052"/>
  <c r="F1052"/>
  <c r="A1053"/>
  <c r="B1053"/>
  <c r="C1053"/>
  <c r="E1053"/>
  <c r="F1053"/>
  <c r="A1054"/>
  <c r="B1054"/>
  <c r="C1054"/>
  <c r="E1054"/>
  <c r="F1054"/>
  <c r="A1055"/>
  <c r="B1055"/>
  <c r="C1055"/>
  <c r="E1055"/>
  <c r="F1055"/>
  <c r="A1056"/>
  <c r="B1056"/>
  <c r="C1056"/>
  <c r="E1056"/>
  <c r="F1056"/>
  <c r="A1057"/>
  <c r="B1057"/>
  <c r="C1057"/>
  <c r="E1057"/>
  <c r="F1057"/>
  <c r="A1058"/>
  <c r="B1058"/>
  <c r="C1058"/>
  <c r="E1058"/>
  <c r="F1058"/>
  <c r="A1059"/>
  <c r="B1059"/>
  <c r="C1059"/>
  <c r="E1059"/>
  <c r="F1059"/>
  <c r="A1060"/>
  <c r="B1060"/>
  <c r="C1060"/>
  <c r="E1060"/>
  <c r="F1060"/>
  <c r="C1061"/>
  <c r="E1061"/>
  <c r="F1061"/>
  <c r="C1062"/>
  <c r="E1062"/>
  <c r="F1062"/>
  <c r="C1063"/>
  <c r="E1063"/>
  <c r="F1063"/>
  <c r="C1064"/>
  <c r="E1064"/>
  <c r="F1064"/>
  <c r="C1065"/>
  <c r="E1065"/>
  <c r="F1065"/>
  <c r="C1066"/>
  <c r="E1066"/>
  <c r="F1066"/>
  <c r="C1067"/>
  <c r="E1067"/>
  <c r="F1067"/>
  <c r="C1068"/>
  <c r="E1068"/>
  <c r="F1068"/>
  <c r="C1069"/>
  <c r="E1069"/>
  <c r="F1069"/>
  <c r="C1070"/>
  <c r="E1070"/>
  <c r="F1070"/>
  <c r="C1071"/>
  <c r="E1071"/>
  <c r="F1071"/>
  <c r="C1072"/>
  <c r="E1072"/>
  <c r="F1072"/>
  <c r="C1073"/>
  <c r="E1073"/>
  <c r="F1073"/>
  <c r="C1074"/>
  <c r="E1074"/>
  <c r="F1074"/>
  <c r="A1075"/>
  <c r="B1075"/>
  <c r="C1075"/>
  <c r="E1075"/>
  <c r="F1075"/>
  <c r="A1076"/>
  <c r="B1076"/>
  <c r="C1076"/>
  <c r="E1076"/>
  <c r="F1076"/>
  <c r="A1077"/>
  <c r="B1077"/>
  <c r="C1077"/>
  <c r="E1077"/>
  <c r="F1077"/>
  <c r="A1078"/>
  <c r="B1078"/>
  <c r="C1078"/>
  <c r="E1078"/>
  <c r="F1078"/>
  <c r="A1079"/>
  <c r="B1079"/>
  <c r="C1079"/>
  <c r="E1079"/>
  <c r="F1079"/>
  <c r="C1080"/>
  <c r="E1080"/>
  <c r="F1080"/>
  <c r="C1081"/>
  <c r="E1081"/>
  <c r="F1081"/>
  <c r="A1082"/>
  <c r="B1082"/>
  <c r="C1082"/>
  <c r="E1082"/>
  <c r="F1082"/>
  <c r="C1083"/>
  <c r="E1083"/>
  <c r="F1083"/>
  <c r="C1084"/>
  <c r="E1084"/>
  <c r="F1084"/>
  <c r="A1085"/>
  <c r="B1085"/>
  <c r="C1085"/>
  <c r="E1085"/>
  <c r="F1085"/>
  <c r="A1086"/>
  <c r="B1086"/>
  <c r="C1086"/>
  <c r="E1086"/>
  <c r="F1086"/>
  <c r="A1087"/>
  <c r="B1087"/>
  <c r="C1087"/>
  <c r="E1087"/>
  <c r="F1087"/>
  <c r="C1088"/>
  <c r="E1088"/>
  <c r="F1088"/>
  <c r="A1089"/>
  <c r="B1089"/>
  <c r="C1089"/>
  <c r="E1089"/>
  <c r="F1089"/>
  <c r="A1090"/>
  <c r="B1090"/>
  <c r="C1090"/>
  <c r="E1090"/>
  <c r="F1090"/>
  <c r="A1091"/>
  <c r="B1091"/>
  <c r="C1091"/>
  <c r="E1091"/>
  <c r="F1091"/>
  <c r="A1092"/>
  <c r="B1092"/>
  <c r="C1092"/>
  <c r="E1092"/>
  <c r="F1092"/>
  <c r="A1093"/>
  <c r="B1093"/>
  <c r="C1093"/>
  <c r="E1093"/>
  <c r="F1093"/>
  <c r="A1094"/>
  <c r="B1094"/>
  <c r="C1094"/>
  <c r="E1094"/>
  <c r="F1094"/>
  <c r="A1095"/>
  <c r="B1095"/>
  <c r="C1095"/>
  <c r="E1095"/>
  <c r="F1095"/>
  <c r="A1096"/>
  <c r="B1096"/>
  <c r="C1096"/>
  <c r="E1096"/>
  <c r="F1096"/>
  <c r="A1097"/>
  <c r="B1097"/>
  <c r="C1097"/>
  <c r="E1097"/>
  <c r="F1097"/>
  <c r="A1098"/>
  <c r="B1098"/>
  <c r="C1098"/>
  <c r="E1098"/>
  <c r="F1098"/>
  <c r="A1099"/>
  <c r="B1099"/>
  <c r="C1099"/>
  <c r="E1099"/>
  <c r="F1099"/>
  <c r="A1100"/>
  <c r="B1100"/>
  <c r="C1100"/>
  <c r="E1100"/>
  <c r="F1100"/>
  <c r="A1101"/>
  <c r="B1101"/>
  <c r="C1101"/>
  <c r="E1101"/>
  <c r="F1101"/>
  <c r="A1102"/>
  <c r="B1102"/>
  <c r="C1102"/>
  <c r="E1102"/>
  <c r="F1102"/>
  <c r="A1103"/>
  <c r="B1103"/>
  <c r="C1103"/>
  <c r="E1103"/>
  <c r="F1103"/>
  <c r="A1104"/>
  <c r="B1104"/>
  <c r="C1104"/>
  <c r="E1104"/>
  <c r="F1104"/>
  <c r="A1105"/>
  <c r="B1105"/>
  <c r="C1105"/>
  <c r="E1105"/>
  <c r="F1105"/>
  <c r="A1106"/>
  <c r="B1106"/>
  <c r="C1106"/>
  <c r="E1106"/>
  <c r="F1106"/>
  <c r="A1107"/>
  <c r="B1107"/>
  <c r="C1107"/>
  <c r="E1107"/>
  <c r="F1107"/>
  <c r="A1108"/>
  <c r="B1108"/>
  <c r="C1108"/>
  <c r="E1108"/>
  <c r="F1108"/>
  <c r="A1109"/>
  <c r="B1109"/>
  <c r="C1109"/>
  <c r="E1109"/>
  <c r="F1109"/>
  <c r="A1110"/>
  <c r="B1110"/>
  <c r="C1110"/>
  <c r="E1110"/>
  <c r="F1110"/>
  <c r="A1111"/>
  <c r="B1111"/>
  <c r="C1111"/>
  <c r="E1111"/>
  <c r="F1111"/>
  <c r="A1112"/>
  <c r="B1112"/>
  <c r="C1112"/>
  <c r="E1112"/>
  <c r="F1112"/>
  <c r="A1113"/>
  <c r="B1113"/>
  <c r="C1113"/>
  <c r="E1113"/>
  <c r="F1113"/>
  <c r="A1114"/>
  <c r="B1114"/>
  <c r="C1114"/>
  <c r="E1114"/>
  <c r="F1114"/>
  <c r="A1115"/>
  <c r="B1115"/>
  <c r="C1115"/>
  <c r="E1115"/>
  <c r="F1115"/>
  <c r="A1116"/>
  <c r="B1116"/>
  <c r="C1116"/>
  <c r="E1116"/>
  <c r="F1116"/>
  <c r="A1117"/>
  <c r="B1117"/>
  <c r="C1117"/>
  <c r="E1117"/>
  <c r="F1117"/>
  <c r="A1118"/>
  <c r="B1118"/>
  <c r="C1118"/>
  <c r="E1118"/>
  <c r="F1118"/>
  <c r="A1119"/>
  <c r="B1119"/>
  <c r="C1119"/>
  <c r="E1119"/>
  <c r="F1119"/>
  <c r="A1120"/>
  <c r="B1120"/>
  <c r="C1120"/>
  <c r="E1120"/>
  <c r="F1120"/>
  <c r="A1121"/>
  <c r="B1121"/>
  <c r="C1121"/>
  <c r="E1121"/>
  <c r="F1121"/>
  <c r="A1122"/>
  <c r="B1122"/>
  <c r="C1122"/>
  <c r="E1122"/>
  <c r="F1122"/>
  <c r="A1123"/>
  <c r="B1123"/>
  <c r="C1123"/>
  <c r="E1123"/>
  <c r="F1123"/>
  <c r="A1124"/>
  <c r="B1124"/>
  <c r="C1124"/>
  <c r="E1124"/>
  <c r="F1124"/>
  <c r="A1125"/>
  <c r="B1125"/>
  <c r="C1125"/>
  <c r="E1125"/>
  <c r="F1125"/>
  <c r="A1126"/>
  <c r="B1126"/>
  <c r="C1126"/>
  <c r="E1126"/>
  <c r="F1126"/>
  <c r="A1127"/>
  <c r="B1127"/>
  <c r="C1127"/>
  <c r="E1127"/>
  <c r="F1127"/>
  <c r="A1128"/>
  <c r="B1128"/>
  <c r="C1128"/>
  <c r="E1128"/>
  <c r="F1128"/>
  <c r="A1129"/>
  <c r="B1129"/>
  <c r="C1129"/>
  <c r="E1129"/>
  <c r="F1129"/>
  <c r="A1130"/>
  <c r="B1130"/>
  <c r="C1130"/>
  <c r="E1130"/>
  <c r="F1130"/>
  <c r="A1131"/>
  <c r="B1131"/>
  <c r="C1131"/>
  <c r="E1131"/>
  <c r="F1131"/>
  <c r="A1132"/>
  <c r="B1132"/>
  <c r="C1132"/>
  <c r="E1132"/>
  <c r="F1132"/>
  <c r="A1133"/>
  <c r="B1133"/>
  <c r="C1133"/>
  <c r="E1133"/>
  <c r="F1133"/>
  <c r="A1134"/>
  <c r="B1134"/>
  <c r="C1134"/>
  <c r="E1134"/>
  <c r="F1134"/>
  <c r="A1135"/>
  <c r="B1135"/>
  <c r="C1135"/>
  <c r="E1135"/>
  <c r="F1135"/>
  <c r="A1136"/>
  <c r="B1136"/>
  <c r="C1136"/>
  <c r="E1136"/>
  <c r="F1136"/>
  <c r="A1137"/>
  <c r="B1137"/>
  <c r="C1137"/>
  <c r="E1137"/>
  <c r="F1137"/>
  <c r="A1138"/>
  <c r="B1138"/>
  <c r="C1138"/>
  <c r="E1138"/>
  <c r="F1138"/>
  <c r="A1139"/>
  <c r="B1139"/>
  <c r="C1139"/>
  <c r="E1139"/>
  <c r="F1139"/>
  <c r="A1140"/>
  <c r="B1140"/>
  <c r="C1140"/>
  <c r="E1140"/>
  <c r="F1140"/>
  <c r="A1141"/>
  <c r="B1141"/>
  <c r="C1141"/>
  <c r="E1141"/>
  <c r="F1141"/>
  <c r="A1142"/>
  <c r="B1142"/>
  <c r="C1142"/>
  <c r="E1142"/>
  <c r="F1142"/>
  <c r="A1143"/>
  <c r="B1143"/>
  <c r="C1143"/>
  <c r="E1143"/>
  <c r="F1143"/>
  <c r="A1144"/>
  <c r="B1144"/>
  <c r="C1144"/>
  <c r="E1144"/>
  <c r="F1144"/>
  <c r="A1145"/>
  <c r="B1145"/>
  <c r="C1145"/>
  <c r="E1145"/>
  <c r="F1145"/>
  <c r="A1146"/>
  <c r="B1146"/>
  <c r="C1146"/>
  <c r="E1146"/>
  <c r="F1146"/>
  <c r="A1147"/>
  <c r="B1147"/>
  <c r="C1147"/>
  <c r="E1147"/>
  <c r="F1147"/>
  <c r="A1148"/>
  <c r="B1148"/>
  <c r="C1148"/>
  <c r="E1148"/>
  <c r="F1148"/>
  <c r="A1149"/>
  <c r="B1149"/>
  <c r="C1149"/>
  <c r="E1149"/>
  <c r="F1149"/>
  <c r="A1150"/>
  <c r="B1150"/>
  <c r="C1150"/>
  <c r="E1150"/>
  <c r="F1150"/>
  <c r="A1151"/>
  <c r="B1151"/>
  <c r="C1151"/>
  <c r="E1151"/>
  <c r="F1151"/>
  <c r="A1152"/>
  <c r="B1152"/>
  <c r="C1152"/>
  <c r="E1152"/>
  <c r="F1152"/>
  <c r="A1153"/>
  <c r="B1153"/>
  <c r="C1153"/>
  <c r="E1153"/>
  <c r="F1153"/>
  <c r="A1154"/>
  <c r="B1154"/>
  <c r="C1154"/>
  <c r="E1154"/>
  <c r="F1154"/>
  <c r="A1155"/>
  <c r="B1155"/>
  <c r="C1155"/>
  <c r="E1155"/>
  <c r="F1155"/>
  <c r="A1156"/>
  <c r="B1156"/>
  <c r="C1156"/>
  <c r="E1156"/>
  <c r="F1156"/>
  <c r="A1157"/>
  <c r="B1157"/>
  <c r="C1157"/>
  <c r="E1157"/>
  <c r="F1157"/>
  <c r="A1158"/>
  <c r="B1158"/>
  <c r="C1158"/>
  <c r="E1158"/>
  <c r="F1158"/>
  <c r="A1159"/>
  <c r="B1159"/>
  <c r="C1159"/>
  <c r="E1159"/>
  <c r="F1159"/>
  <c r="A1160"/>
  <c r="B1160"/>
  <c r="C1160"/>
  <c r="E1160"/>
  <c r="F1160"/>
  <c r="A1161"/>
  <c r="B1161"/>
  <c r="C1161"/>
  <c r="E1161"/>
  <c r="F1161"/>
  <c r="A1162"/>
  <c r="B1162"/>
  <c r="C1162"/>
  <c r="E1162"/>
  <c r="F1162"/>
  <c r="A1163"/>
  <c r="B1163"/>
  <c r="C1163"/>
  <c r="E1163"/>
  <c r="F1163"/>
  <c r="A1164"/>
  <c r="B1164"/>
  <c r="C1164"/>
  <c r="E1164"/>
  <c r="F1164"/>
  <c r="A1165"/>
  <c r="B1165"/>
  <c r="C1165"/>
  <c r="E1165"/>
  <c r="F1165"/>
  <c r="A1166"/>
  <c r="B1166"/>
  <c r="C1166"/>
  <c r="E1166"/>
  <c r="F1166"/>
  <c r="A1167"/>
  <c r="B1167"/>
  <c r="C1167"/>
  <c r="E1167"/>
  <c r="F1167"/>
  <c r="A1168"/>
  <c r="B1168"/>
  <c r="C1168"/>
  <c r="E1168"/>
  <c r="F1168"/>
  <c r="A1169"/>
  <c r="B1169"/>
  <c r="C1169"/>
  <c r="E1169"/>
  <c r="F1169"/>
  <c r="A1170"/>
  <c r="B1170"/>
  <c r="C1170"/>
  <c r="E1170"/>
  <c r="F1170"/>
  <c r="A1171"/>
  <c r="B1171"/>
  <c r="C1171"/>
  <c r="E1171"/>
  <c r="F1171"/>
  <c r="C1172"/>
  <c r="E1172"/>
  <c r="F1172"/>
  <c r="C1173"/>
  <c r="E1173"/>
  <c r="F1173"/>
  <c r="C1174"/>
  <c r="E1174"/>
  <c r="F1174"/>
  <c r="C1175"/>
  <c r="E1175"/>
  <c r="F1175"/>
  <c r="C1176"/>
  <c r="E1176"/>
  <c r="F1176"/>
  <c r="C1177"/>
  <c r="E1177"/>
  <c r="F1177"/>
  <c r="C1178"/>
  <c r="E1178"/>
  <c r="F1178"/>
  <c r="C1179"/>
  <c r="E1179"/>
  <c r="F1179"/>
  <c r="C1180"/>
  <c r="E1180"/>
  <c r="F1180"/>
  <c r="C1181"/>
  <c r="E1181"/>
  <c r="F1181"/>
  <c r="C1182"/>
  <c r="E1182"/>
  <c r="F1182"/>
  <c r="C1183"/>
  <c r="E1183"/>
  <c r="F1183"/>
  <c r="C1184"/>
  <c r="E1184"/>
  <c r="F1184"/>
  <c r="C1185"/>
  <c r="E1185"/>
  <c r="F1185"/>
  <c r="C1186"/>
  <c r="E1186"/>
  <c r="F1186"/>
  <c r="C1187"/>
  <c r="E1187"/>
  <c r="F1187"/>
  <c r="C1188"/>
  <c r="E1188"/>
  <c r="F1188"/>
  <c r="C1189"/>
  <c r="E1189"/>
  <c r="F1189"/>
  <c r="A1190"/>
  <c r="B1190"/>
  <c r="C1190"/>
  <c r="E1190"/>
  <c r="F1190"/>
  <c r="C1191"/>
  <c r="E1191"/>
  <c r="F1191"/>
  <c r="C1192"/>
  <c r="E1192"/>
  <c r="F1192"/>
  <c r="C1193"/>
  <c r="E1193"/>
  <c r="F1193"/>
  <c r="C1194"/>
  <c r="E1194"/>
  <c r="F1194"/>
  <c r="C1195"/>
  <c r="E1195"/>
  <c r="F1195"/>
  <c r="C1196"/>
  <c r="E1196"/>
  <c r="F1196"/>
  <c r="C1197"/>
  <c r="E1197"/>
  <c r="F1197"/>
  <c r="C1198"/>
  <c r="E1198"/>
  <c r="F1198"/>
  <c r="C1199"/>
  <c r="E1199"/>
  <c r="F1199"/>
  <c r="C1200"/>
  <c r="E1200"/>
  <c r="F1200"/>
  <c r="C1201"/>
  <c r="E1201"/>
  <c r="F1201"/>
  <c r="C1202"/>
  <c r="E1202"/>
  <c r="F1202"/>
  <c r="C1203"/>
  <c r="E1203"/>
  <c r="F1203"/>
  <c r="C1204"/>
  <c r="E1204"/>
  <c r="F1204"/>
  <c r="C1205"/>
  <c r="E1205"/>
  <c r="F1205"/>
  <c r="C1206"/>
  <c r="E1206"/>
  <c r="F1206"/>
  <c r="C1207"/>
  <c r="E1207"/>
  <c r="F1207"/>
  <c r="C1208"/>
  <c r="E1208"/>
  <c r="F1208"/>
  <c r="A1209"/>
  <c r="B1209"/>
  <c r="C1209"/>
  <c r="E1209"/>
  <c r="F1209"/>
  <c r="C1210"/>
  <c r="E1210"/>
  <c r="F1210"/>
  <c r="C1211"/>
  <c r="E1211"/>
  <c r="F1211"/>
  <c r="C1212"/>
  <c r="E1212"/>
  <c r="F1212"/>
  <c r="C1213"/>
  <c r="E1213"/>
  <c r="F1213"/>
  <c r="C1214"/>
  <c r="E1214"/>
  <c r="F1214"/>
  <c r="C1215"/>
  <c r="E1215"/>
  <c r="F1215"/>
  <c r="C1216"/>
  <c r="E1216"/>
  <c r="F1216"/>
  <c r="C1217"/>
  <c r="E1217"/>
  <c r="F1217"/>
  <c r="C1218"/>
  <c r="E1218"/>
  <c r="F1218"/>
  <c r="C1219"/>
  <c r="E1219"/>
  <c r="F1219"/>
  <c r="C1220"/>
  <c r="E1220"/>
  <c r="F1220"/>
  <c r="C1221"/>
  <c r="E1221"/>
  <c r="F1221"/>
  <c r="C1222"/>
  <c r="E1222"/>
  <c r="F1222"/>
  <c r="C1223"/>
  <c r="E1223"/>
  <c r="F1223"/>
  <c r="C1224"/>
  <c r="E1224"/>
  <c r="F1224"/>
  <c r="C1225"/>
  <c r="E1225"/>
  <c r="F1225"/>
  <c r="C1226"/>
  <c r="E1226"/>
  <c r="F1226"/>
  <c r="C1227"/>
  <c r="E1227"/>
  <c r="F1227"/>
  <c r="A1228"/>
  <c r="B1228"/>
  <c r="C1228"/>
  <c r="E1228"/>
  <c r="F1228"/>
  <c r="C1229"/>
  <c r="E1229"/>
  <c r="F1229"/>
  <c r="C1230"/>
  <c r="E1230"/>
  <c r="F1230"/>
  <c r="C1231"/>
  <c r="E1231"/>
  <c r="F1231"/>
  <c r="C1232"/>
  <c r="E1232"/>
  <c r="F1232"/>
  <c r="C1233"/>
  <c r="E1233"/>
  <c r="F1233"/>
  <c r="C1234"/>
  <c r="E1234"/>
  <c r="F1234"/>
  <c r="C1235"/>
  <c r="E1235"/>
  <c r="F1235"/>
  <c r="C1236"/>
  <c r="E1236"/>
  <c r="F1236"/>
  <c r="C1237"/>
  <c r="E1237"/>
  <c r="F1237"/>
  <c r="C1238"/>
  <c r="E1238"/>
  <c r="F1238"/>
  <c r="C1239"/>
  <c r="E1239"/>
  <c r="F1239"/>
  <c r="C1240"/>
  <c r="E1240"/>
  <c r="F1240"/>
  <c r="C1241"/>
  <c r="E1241"/>
  <c r="F1241"/>
  <c r="C1242"/>
  <c r="E1242"/>
  <c r="F1242"/>
  <c r="C1243"/>
  <c r="E1243"/>
  <c r="F1243"/>
  <c r="C1244"/>
  <c r="E1244"/>
  <c r="F1244"/>
  <c r="C1245"/>
  <c r="E1245"/>
  <c r="F1245"/>
  <c r="C1246"/>
  <c r="E1246"/>
  <c r="F1246"/>
  <c r="A1247"/>
  <c r="B1247"/>
  <c r="C1247"/>
  <c r="E1247"/>
  <c r="F1247"/>
  <c r="C1248"/>
  <c r="E1248"/>
  <c r="F1248"/>
  <c r="C1249"/>
  <c r="E1249"/>
  <c r="F1249"/>
  <c r="C1250"/>
  <c r="E1250"/>
  <c r="F1250"/>
  <c r="C1251"/>
  <c r="E1251"/>
  <c r="F1251"/>
  <c r="C1252"/>
  <c r="E1252"/>
  <c r="F1252"/>
  <c r="C1253"/>
  <c r="E1253"/>
  <c r="F1253"/>
  <c r="C1254"/>
  <c r="E1254"/>
  <c r="F1254"/>
  <c r="C1255"/>
  <c r="E1255"/>
  <c r="F1255"/>
  <c r="C1256"/>
  <c r="E1256"/>
  <c r="F1256"/>
  <c r="C1257"/>
  <c r="E1257"/>
  <c r="F1257"/>
  <c r="C1258"/>
  <c r="E1258"/>
  <c r="F1258"/>
  <c r="C1259"/>
  <c r="E1259"/>
  <c r="F1259"/>
  <c r="C1260"/>
  <c r="E1260"/>
  <c r="F1260"/>
  <c r="C1261"/>
  <c r="E1261"/>
  <c r="F1261"/>
  <c r="C1262"/>
  <c r="E1262"/>
  <c r="F1262"/>
  <c r="C1263"/>
  <c r="E1263"/>
  <c r="F1263"/>
  <c r="C1264"/>
  <c r="E1264"/>
  <c r="F1264"/>
  <c r="C1265"/>
  <c r="E1265"/>
  <c r="F1265"/>
  <c r="A1266"/>
  <c r="B1266"/>
  <c r="C1266"/>
  <c r="E1266"/>
  <c r="F1266"/>
  <c r="A1267"/>
  <c r="B1267"/>
  <c r="C1267"/>
  <c r="E1267"/>
  <c r="F1267"/>
  <c r="A1268"/>
  <c r="B1268"/>
  <c r="C1268"/>
  <c r="E1268"/>
  <c r="F1268"/>
  <c r="A1269"/>
  <c r="B1269"/>
  <c r="C1269"/>
  <c r="E1269"/>
  <c r="F1269"/>
  <c r="A1270"/>
  <c r="B1270"/>
  <c r="C1270"/>
  <c r="E1270"/>
  <c r="F1270"/>
  <c r="A1271"/>
  <c r="B1271"/>
  <c r="C1271"/>
  <c r="E1271"/>
  <c r="F1271"/>
  <c r="A1272"/>
  <c r="B1272"/>
  <c r="C1272"/>
  <c r="E1272"/>
  <c r="F1272"/>
  <c r="A1273"/>
  <c r="B1273"/>
  <c r="C1273"/>
  <c r="E1273"/>
  <c r="F1273"/>
  <c r="A1274"/>
  <c r="B1274"/>
  <c r="C1274"/>
  <c r="E1274"/>
  <c r="F1274"/>
  <c r="A1275"/>
  <c r="B1275"/>
  <c r="C1275"/>
  <c r="E1275"/>
  <c r="F1275"/>
  <c r="A1276"/>
  <c r="B1276"/>
  <c r="C1276"/>
  <c r="E1276"/>
  <c r="F1276"/>
  <c r="A1277"/>
  <c r="B1277"/>
  <c r="C1277"/>
  <c r="E1277"/>
  <c r="F1277"/>
  <c r="A1278"/>
  <c r="B1278"/>
  <c r="C1278"/>
  <c r="E1278"/>
  <c r="F1278"/>
  <c r="A1279"/>
  <c r="B1279"/>
  <c r="C1279"/>
  <c r="E1279"/>
  <c r="F1279"/>
  <c r="A1280"/>
  <c r="B1280"/>
  <c r="C1280"/>
  <c r="E1280"/>
  <c r="F1280"/>
  <c r="A1281"/>
  <c r="B1281"/>
  <c r="C1281"/>
  <c r="E1281"/>
  <c r="F1281"/>
  <c r="A1282"/>
  <c r="B1282"/>
  <c r="C1282"/>
  <c r="E1282"/>
  <c r="F1282"/>
  <c r="A1283"/>
  <c r="B1283"/>
  <c r="C1283"/>
  <c r="E1283"/>
  <c r="F1283"/>
  <c r="A1284"/>
  <c r="B1284"/>
  <c r="C1284"/>
  <c r="E1284"/>
  <c r="F1284"/>
  <c r="A1285"/>
  <c r="B1285"/>
  <c r="C1285"/>
  <c r="E1285"/>
  <c r="F1285"/>
  <c r="A1286"/>
  <c r="B1286"/>
  <c r="C1286"/>
  <c r="E1286"/>
  <c r="F1286"/>
  <c r="A1287"/>
  <c r="B1287"/>
  <c r="C1287"/>
  <c r="E1287"/>
  <c r="F1287"/>
  <c r="A1288"/>
  <c r="B1288"/>
  <c r="C1288"/>
  <c r="E1288"/>
  <c r="F1288"/>
  <c r="A1289"/>
  <c r="B1289"/>
  <c r="C1289"/>
  <c r="E1289"/>
  <c r="F1289"/>
  <c r="A1290"/>
  <c r="B1290"/>
  <c r="C1290"/>
  <c r="E1290"/>
  <c r="F1290"/>
  <c r="A1291"/>
  <c r="B1291"/>
  <c r="C1291"/>
  <c r="E1291"/>
  <c r="F1291"/>
  <c r="A1292"/>
  <c r="B1292"/>
  <c r="C1292"/>
  <c r="E1292"/>
  <c r="F1292"/>
  <c r="A1293"/>
  <c r="B1293"/>
  <c r="C1293"/>
  <c r="E1293"/>
  <c r="F1293"/>
  <c r="A1294"/>
  <c r="B1294"/>
  <c r="C1294"/>
  <c r="E1294"/>
  <c r="F1294"/>
  <c r="A1295"/>
  <c r="B1295"/>
  <c r="C1295"/>
  <c r="E1295"/>
  <c r="F1295"/>
  <c r="A1296"/>
  <c r="B1296"/>
  <c r="C1296"/>
  <c r="E1296"/>
  <c r="F1296"/>
  <c r="A1297"/>
  <c r="B1297"/>
  <c r="C1297"/>
  <c r="E1297"/>
  <c r="F1297"/>
  <c r="A1298"/>
  <c r="B1298"/>
  <c r="C1298"/>
  <c r="E1298"/>
  <c r="F1298"/>
  <c r="A1299"/>
  <c r="B1299"/>
  <c r="C1299"/>
  <c r="E1299"/>
  <c r="F1299"/>
  <c r="A1300"/>
  <c r="B1300"/>
  <c r="C1300"/>
  <c r="E1300"/>
  <c r="F1300"/>
  <c r="A1301"/>
  <c r="B1301"/>
  <c r="C1301"/>
  <c r="E1301"/>
  <c r="F1301"/>
  <c r="A1302"/>
  <c r="B1302"/>
  <c r="C1302"/>
  <c r="E1302"/>
  <c r="F1302"/>
  <c r="A1303"/>
  <c r="B1303"/>
  <c r="C1303"/>
  <c r="E1303"/>
  <c r="F1303"/>
  <c r="A1304"/>
  <c r="B1304"/>
  <c r="C1304"/>
  <c r="E1304"/>
  <c r="F1304"/>
  <c r="A1305"/>
  <c r="B1305"/>
  <c r="C1305"/>
  <c r="E1305"/>
  <c r="F1305"/>
  <c r="A1306"/>
  <c r="B1306"/>
  <c r="C1306"/>
  <c r="E1306"/>
  <c r="F1306"/>
  <c r="A1307"/>
  <c r="B1307"/>
  <c r="C1307"/>
  <c r="E1307"/>
  <c r="F1307"/>
  <c r="A1308"/>
  <c r="B1308"/>
  <c r="C1308"/>
  <c r="E1308"/>
  <c r="F1308"/>
  <c r="A1309"/>
  <c r="B1309"/>
  <c r="C1309"/>
  <c r="E1309"/>
  <c r="F1309"/>
  <c r="A1310"/>
  <c r="B1310"/>
  <c r="C1310"/>
  <c r="E1310"/>
  <c r="F1310"/>
  <c r="A1311"/>
  <c r="B1311"/>
  <c r="C1311"/>
  <c r="E1311"/>
  <c r="F1311"/>
  <c r="A1312"/>
  <c r="B1312"/>
  <c r="C1312"/>
  <c r="E1312"/>
  <c r="F1312"/>
  <c r="A1313"/>
  <c r="B1313"/>
  <c r="C1313"/>
  <c r="E1313"/>
  <c r="F1313"/>
  <c r="A1314"/>
  <c r="B1314"/>
  <c r="C1314"/>
  <c r="E1314"/>
  <c r="F1314"/>
  <c r="A1315"/>
  <c r="B1315"/>
  <c r="C1315"/>
  <c r="E1315"/>
  <c r="F1315"/>
  <c r="A1316"/>
  <c r="B1316"/>
  <c r="C1316"/>
  <c r="E1316"/>
  <c r="F1316"/>
  <c r="A1317"/>
  <c r="B1317"/>
  <c r="C1317"/>
  <c r="E1317"/>
  <c r="F1317"/>
  <c r="A1318"/>
  <c r="B1318"/>
  <c r="C1318"/>
  <c r="E1318"/>
  <c r="F1318"/>
  <c r="A1319"/>
  <c r="B1319"/>
  <c r="C1319"/>
  <c r="E1319"/>
  <c r="F1319"/>
  <c r="A1320"/>
  <c r="B1320"/>
  <c r="C1320"/>
  <c r="E1320"/>
  <c r="F1320"/>
  <c r="A1321"/>
  <c r="B1321"/>
  <c r="C1321"/>
  <c r="E1321"/>
  <c r="F1321"/>
  <c r="A1322"/>
  <c r="B1322"/>
  <c r="C1322"/>
  <c r="E1322"/>
  <c r="F1322"/>
  <c r="A1323"/>
  <c r="B1323"/>
  <c r="C1323"/>
  <c r="E1323"/>
  <c r="F1323"/>
  <c r="A1324"/>
  <c r="B1324"/>
  <c r="C1324"/>
  <c r="E1324"/>
  <c r="F1324"/>
  <c r="A1325"/>
  <c r="B1325"/>
  <c r="C1325"/>
  <c r="E1325"/>
  <c r="F1325"/>
  <c r="A1326"/>
  <c r="B1326"/>
  <c r="C1326"/>
  <c r="E1326"/>
  <c r="F1326"/>
  <c r="A1327"/>
  <c r="B1327"/>
  <c r="C1327"/>
  <c r="E1327"/>
  <c r="F1327"/>
  <c r="A1328"/>
  <c r="B1328"/>
  <c r="C1328"/>
  <c r="E1328"/>
  <c r="F1328"/>
  <c r="A1329"/>
  <c r="B1329"/>
  <c r="C1329"/>
  <c r="E1329"/>
  <c r="F1329"/>
  <c r="A1330"/>
  <c r="B1330"/>
  <c r="C1330"/>
  <c r="E1330"/>
  <c r="F1330"/>
  <c r="A1331"/>
  <c r="B1331"/>
  <c r="C1331"/>
  <c r="E1331"/>
  <c r="F1331"/>
  <c r="A1332"/>
  <c r="B1332"/>
  <c r="C1332"/>
  <c r="E1332"/>
  <c r="F1332"/>
  <c r="A1333"/>
  <c r="B1333"/>
  <c r="C1333"/>
  <c r="E1333"/>
  <c r="F1333"/>
  <c r="A1334"/>
  <c r="B1334"/>
  <c r="C1334"/>
  <c r="E1334"/>
  <c r="F1334"/>
  <c r="A1335"/>
  <c r="B1335"/>
  <c r="C1335"/>
  <c r="E1335"/>
  <c r="F1335"/>
  <c r="A1336"/>
  <c r="B1336"/>
  <c r="C1336"/>
  <c r="E1336"/>
  <c r="F1336"/>
  <c r="A1337"/>
  <c r="B1337"/>
  <c r="C1337"/>
  <c r="E1337"/>
  <c r="F1337"/>
  <c r="A1338"/>
  <c r="B1338"/>
  <c r="C1338"/>
  <c r="E1338"/>
  <c r="F1338"/>
  <c r="A1339"/>
  <c r="B1339"/>
  <c r="C1339"/>
  <c r="E1339"/>
  <c r="F1339"/>
  <c r="A1340"/>
  <c r="B1340"/>
  <c r="C1340"/>
  <c r="E1340"/>
  <c r="F1340"/>
  <c r="A1341"/>
  <c r="B1341"/>
  <c r="C1341"/>
  <c r="E1341"/>
  <c r="F1341"/>
  <c r="A1342"/>
  <c r="B1342"/>
  <c r="C1342"/>
  <c r="E1342"/>
  <c r="F1342"/>
  <c r="A1343"/>
  <c r="B1343"/>
  <c r="C1343"/>
  <c r="E1343"/>
  <c r="F1343"/>
  <c r="A1344"/>
  <c r="B1344"/>
  <c r="C1344"/>
  <c r="E1344"/>
  <c r="F1344"/>
  <c r="A1345"/>
  <c r="B1345"/>
  <c r="C1345"/>
  <c r="E1345"/>
  <c r="F1345"/>
  <c r="A1346"/>
  <c r="B1346"/>
  <c r="C1346"/>
  <c r="E1346"/>
  <c r="F1346"/>
  <c r="A1347"/>
  <c r="B1347"/>
  <c r="C1347"/>
  <c r="E1347"/>
  <c r="F1347"/>
  <c r="A1348"/>
  <c r="B1348"/>
  <c r="C1348"/>
  <c r="E1348"/>
  <c r="F1348"/>
  <c r="A1349"/>
  <c r="B1349"/>
  <c r="C1349"/>
  <c r="E1349"/>
  <c r="F1349"/>
  <c r="A1350"/>
  <c r="B1350"/>
  <c r="C1350"/>
  <c r="E1350"/>
  <c r="F1350"/>
  <c r="A1351"/>
  <c r="B1351"/>
  <c r="C1351"/>
  <c r="E1351"/>
  <c r="F1351"/>
  <c r="A1352"/>
  <c r="B1352"/>
  <c r="C1352"/>
  <c r="E1352"/>
  <c r="F1352"/>
  <c r="A1353"/>
  <c r="B1353"/>
  <c r="C1353"/>
  <c r="E1353"/>
  <c r="F1353"/>
  <c r="A1354"/>
  <c r="B1354"/>
  <c r="C1354"/>
  <c r="E1354"/>
  <c r="F1354"/>
  <c r="A1355"/>
  <c r="B1355"/>
  <c r="C1355"/>
  <c r="E1355"/>
  <c r="F1355"/>
  <c r="A1356"/>
  <c r="B1356"/>
  <c r="C1356"/>
  <c r="E1356"/>
  <c r="F1356"/>
  <c r="A1357"/>
  <c r="B1357"/>
  <c r="C1357"/>
  <c r="E1357"/>
  <c r="F1357"/>
  <c r="A1358"/>
  <c r="B1358"/>
  <c r="C1358"/>
  <c r="E1358"/>
  <c r="F1358"/>
  <c r="A1359"/>
  <c r="B1359"/>
  <c r="C1359"/>
  <c r="E1359"/>
  <c r="F1359"/>
  <c r="A1360"/>
  <c r="B1360"/>
  <c r="C1360"/>
  <c r="E1360"/>
  <c r="F1360"/>
  <c r="A1361"/>
  <c r="B1361"/>
  <c r="C1361"/>
  <c r="E1361"/>
  <c r="F1361"/>
  <c r="A1362"/>
  <c r="B1362"/>
  <c r="C1362"/>
  <c r="E1362"/>
  <c r="F1362"/>
  <c r="A1363"/>
  <c r="B1363"/>
  <c r="C1363"/>
  <c r="E1363"/>
  <c r="F1363"/>
  <c r="A1364"/>
  <c r="B1364"/>
  <c r="C1364"/>
  <c r="E1364"/>
  <c r="F1364"/>
  <c r="A1365"/>
  <c r="B1365"/>
  <c r="C1365"/>
  <c r="E1365"/>
  <c r="F1365"/>
  <c r="A1366"/>
  <c r="B1366"/>
  <c r="C1366"/>
  <c r="E1366"/>
  <c r="F1366"/>
  <c r="A1367"/>
  <c r="B1367"/>
  <c r="C1367"/>
  <c r="E1367"/>
  <c r="F1367"/>
  <c r="A1368"/>
  <c r="B1368"/>
  <c r="C1368"/>
  <c r="E1368"/>
  <c r="F1368"/>
  <c r="A1369"/>
  <c r="B1369"/>
  <c r="C1369"/>
  <c r="E1369"/>
  <c r="F1369"/>
  <c r="A1370"/>
  <c r="B1370"/>
  <c r="C1370"/>
  <c r="E1370"/>
  <c r="F1370"/>
  <c r="A1371"/>
  <c r="B1371"/>
  <c r="C1371"/>
  <c r="E1371"/>
  <c r="F1371"/>
  <c r="A1372"/>
  <c r="B1372"/>
  <c r="C1372"/>
  <c r="E1372"/>
  <c r="F1372"/>
  <c r="A1373"/>
  <c r="B1373"/>
  <c r="C1373"/>
  <c r="E1373"/>
  <c r="F1373"/>
  <c r="A1374"/>
  <c r="B1374"/>
  <c r="C1374"/>
  <c r="E1374"/>
  <c r="F1374"/>
  <c r="A1375"/>
  <c r="B1375"/>
  <c r="C1375"/>
  <c r="E1375"/>
  <c r="F1375"/>
  <c r="A1376"/>
  <c r="B1376"/>
  <c r="C1376"/>
  <c r="E1376"/>
  <c r="F1376"/>
  <c r="A1377"/>
  <c r="B1377"/>
  <c r="C1377"/>
  <c r="E1377"/>
  <c r="F1377"/>
  <c r="A1378"/>
  <c r="B1378"/>
  <c r="C1378"/>
  <c r="E1378"/>
  <c r="F1378"/>
  <c r="A1379"/>
  <c r="B1379"/>
  <c r="C1379"/>
  <c r="E1379"/>
  <c r="F1379"/>
  <c r="A1380"/>
  <c r="B1380"/>
  <c r="C1380"/>
  <c r="E1380"/>
  <c r="F1380"/>
  <c r="A1381"/>
  <c r="B1381"/>
  <c r="C1381"/>
  <c r="E1381"/>
  <c r="F1381"/>
  <c r="A1382"/>
  <c r="B1382"/>
  <c r="C1382"/>
  <c r="E1382"/>
  <c r="F1382"/>
  <c r="A1383"/>
  <c r="B1383"/>
  <c r="C1383"/>
  <c r="E1383"/>
  <c r="F1383"/>
  <c r="A1384"/>
  <c r="B1384"/>
  <c r="C1384"/>
  <c r="E1384"/>
  <c r="F1384"/>
  <c r="A1385"/>
  <c r="B1385"/>
  <c r="C1385"/>
  <c r="E1385"/>
  <c r="F1385"/>
  <c r="A1386"/>
  <c r="B1386"/>
  <c r="C1386"/>
  <c r="E1386"/>
  <c r="F1386"/>
  <c r="A1387"/>
  <c r="B1387"/>
  <c r="C1387"/>
  <c r="E1387"/>
  <c r="F1387"/>
  <c r="A1388"/>
  <c r="B1388"/>
  <c r="C1388"/>
  <c r="E1388"/>
  <c r="F1388"/>
  <c r="A1389"/>
  <c r="B1389"/>
  <c r="C1389"/>
  <c r="E1389"/>
  <c r="F1389"/>
  <c r="A1390"/>
  <c r="B1390"/>
  <c r="C1390"/>
  <c r="E1390"/>
  <c r="F1390"/>
  <c r="A1391"/>
  <c r="B1391"/>
  <c r="C1391"/>
  <c r="E1391"/>
  <c r="F1391"/>
  <c r="A1392"/>
  <c r="B1392"/>
  <c r="C1392"/>
  <c r="E1392"/>
  <c r="F1392"/>
  <c r="A1393"/>
  <c r="B1393"/>
  <c r="C1393"/>
  <c r="E1393"/>
  <c r="F1393"/>
  <c r="A1394"/>
  <c r="B1394"/>
  <c r="C1394"/>
  <c r="E1394"/>
  <c r="F1394"/>
  <c r="A1395"/>
  <c r="B1395"/>
  <c r="C1395"/>
  <c r="E1395"/>
  <c r="F1395"/>
  <c r="A1396"/>
  <c r="B1396"/>
  <c r="C1396"/>
  <c r="E1396"/>
  <c r="F1396"/>
  <c r="A1397"/>
  <c r="B1397"/>
  <c r="C1397"/>
  <c r="E1397"/>
  <c r="F1397"/>
  <c r="A1398"/>
  <c r="B1398"/>
  <c r="C1398"/>
  <c r="E1398"/>
  <c r="F1398"/>
  <c r="A1399"/>
  <c r="B1399"/>
  <c r="C1399"/>
  <c r="E1399"/>
  <c r="F1399"/>
  <c r="A1400"/>
  <c r="B1400"/>
  <c r="C1400"/>
  <c r="E1400"/>
  <c r="F1400"/>
  <c r="A1401"/>
  <c r="B1401"/>
  <c r="C1401"/>
  <c r="E1401"/>
  <c r="F1401"/>
  <c r="A1402"/>
  <c r="B1402"/>
  <c r="C1402"/>
  <c r="E1402"/>
  <c r="F1402"/>
  <c r="A1403"/>
  <c r="B1403"/>
  <c r="C1403"/>
  <c r="E1403"/>
  <c r="F1403"/>
  <c r="A1404"/>
  <c r="B1404"/>
  <c r="C1404"/>
  <c r="E1404"/>
  <c r="F1404"/>
  <c r="A1405"/>
  <c r="B1405"/>
  <c r="C1405"/>
  <c r="E1405"/>
  <c r="F1405"/>
  <c r="A1406"/>
  <c r="B1406"/>
  <c r="C1406"/>
  <c r="E1406"/>
  <c r="F1406"/>
  <c r="A1407"/>
  <c r="B1407"/>
  <c r="C1407"/>
  <c r="E1407"/>
  <c r="F1407"/>
  <c r="A1408"/>
  <c r="B1408"/>
  <c r="C1408"/>
  <c r="E1408"/>
  <c r="F1408"/>
  <c r="A1409"/>
  <c r="B1409"/>
  <c r="C1409"/>
  <c r="E1409"/>
  <c r="F1409"/>
  <c r="A1410"/>
  <c r="B1410"/>
  <c r="C1410"/>
  <c r="E1410"/>
  <c r="F1410"/>
  <c r="A1411"/>
  <c r="B1411"/>
  <c r="C1411"/>
  <c r="E1411"/>
  <c r="F1411"/>
  <c r="A1412"/>
  <c r="B1412"/>
  <c r="C1412"/>
  <c r="E1412"/>
  <c r="F1412"/>
  <c r="A1413"/>
  <c r="B1413"/>
  <c r="C1413"/>
  <c r="E1413"/>
  <c r="F1413"/>
  <c r="A1414"/>
  <c r="B1414"/>
  <c r="C1414"/>
  <c r="E1414"/>
  <c r="F1414"/>
  <c r="A1415"/>
  <c r="B1415"/>
  <c r="C1415"/>
  <c r="E1415"/>
  <c r="F1415"/>
  <c r="A1416"/>
  <c r="B1416"/>
  <c r="C1416"/>
  <c r="E1416"/>
  <c r="F1416"/>
  <c r="A1417"/>
  <c r="B1417"/>
  <c r="C1417"/>
  <c r="E1417"/>
  <c r="F1417"/>
  <c r="A1418"/>
  <c r="B1418"/>
  <c r="C1418"/>
  <c r="E1418"/>
  <c r="F1418"/>
  <c r="A1419"/>
  <c r="B1419"/>
  <c r="C1419"/>
  <c r="E1419"/>
  <c r="F1419"/>
  <c r="A1420"/>
  <c r="B1420"/>
  <c r="C1420"/>
  <c r="E1420"/>
  <c r="F1420"/>
  <c r="A1421"/>
  <c r="B1421"/>
  <c r="C1421"/>
  <c r="E1421"/>
  <c r="F1421"/>
  <c r="A1422"/>
  <c r="B1422"/>
  <c r="C1422"/>
  <c r="E1422"/>
  <c r="F1422"/>
  <c r="A1423"/>
  <c r="B1423"/>
  <c r="C1423"/>
  <c r="E1423"/>
  <c r="F1423"/>
  <c r="A1424"/>
  <c r="B1424"/>
  <c r="C1424"/>
  <c r="E1424"/>
  <c r="F1424"/>
  <c r="A1425"/>
  <c r="B1425"/>
  <c r="C1425"/>
  <c r="E1425"/>
  <c r="F1425"/>
  <c r="A1426"/>
  <c r="B1426"/>
  <c r="C1426"/>
  <c r="E1426"/>
  <c r="F1426"/>
  <c r="A1427"/>
  <c r="B1427"/>
  <c r="C1427"/>
  <c r="E1427"/>
  <c r="F1427"/>
  <c r="A1428"/>
  <c r="B1428"/>
  <c r="C1428"/>
  <c r="E1428"/>
  <c r="F1428"/>
  <c r="A1429"/>
  <c r="B1429"/>
  <c r="C1429"/>
  <c r="E1429"/>
  <c r="F1429"/>
  <c r="A1430"/>
  <c r="B1430"/>
  <c r="C1430"/>
  <c r="E1430"/>
  <c r="F1430"/>
  <c r="A1431"/>
  <c r="B1431"/>
  <c r="C1431"/>
  <c r="E1431"/>
  <c r="F1431"/>
  <c r="A1432"/>
  <c r="B1432"/>
  <c r="C1432"/>
  <c r="E1432"/>
  <c r="F1432"/>
  <c r="A1433"/>
  <c r="B1433"/>
  <c r="C1433"/>
  <c r="E1433"/>
  <c r="F1433"/>
  <c r="A1434"/>
  <c r="B1434"/>
  <c r="C1434"/>
  <c r="E1434"/>
  <c r="F1434"/>
  <c r="A1435"/>
  <c r="B1435"/>
  <c r="C1435"/>
  <c r="E1435"/>
  <c r="F1435"/>
  <c r="A1436"/>
  <c r="B1436"/>
  <c r="C1436"/>
  <c r="E1436"/>
  <c r="F1436"/>
  <c r="A1437"/>
  <c r="B1437"/>
  <c r="C1437"/>
  <c r="E1437"/>
  <c r="F1437"/>
  <c r="A1438"/>
  <c r="B1438"/>
  <c r="C1438"/>
  <c r="E1438"/>
  <c r="F1438"/>
  <c r="A1439"/>
  <c r="B1439"/>
  <c r="C1439"/>
  <c r="E1439"/>
  <c r="F1439"/>
  <c r="A1440"/>
  <c r="B1440"/>
  <c r="C1440"/>
  <c r="E1440"/>
  <c r="F1440"/>
  <c r="A1441"/>
  <c r="B1441"/>
  <c r="C1441"/>
  <c r="E1441"/>
  <c r="F1441"/>
  <c r="A1442"/>
  <c r="B1442"/>
  <c r="C1442"/>
  <c r="E1442"/>
  <c r="F1442"/>
  <c r="A1443"/>
  <c r="B1443"/>
  <c r="C1443"/>
  <c r="E1443"/>
  <c r="F1443"/>
  <c r="A1444"/>
  <c r="B1444"/>
  <c r="C1444"/>
  <c r="E1444"/>
  <c r="F1444"/>
  <c r="A1445"/>
  <c r="B1445"/>
  <c r="C1445"/>
  <c r="E1445"/>
  <c r="F1445"/>
  <c r="A1446"/>
  <c r="B1446"/>
  <c r="C1446"/>
  <c r="E1446"/>
  <c r="F1446"/>
  <c r="A1447"/>
  <c r="B1447"/>
  <c r="C1447"/>
  <c r="E1447"/>
  <c r="F1447"/>
  <c r="A1448"/>
  <c r="B1448"/>
  <c r="C1448"/>
  <c r="E1448"/>
  <c r="F1448"/>
  <c r="A1449"/>
  <c r="B1449"/>
  <c r="C1449"/>
  <c r="E1449"/>
  <c r="F1449"/>
  <c r="A1450"/>
  <c r="B1450"/>
  <c r="C1450"/>
  <c r="E1450"/>
  <c r="F1450"/>
  <c r="A1451"/>
  <c r="B1451"/>
  <c r="C1451"/>
  <c r="E1451"/>
  <c r="F1451"/>
  <c r="A1452"/>
  <c r="B1452"/>
  <c r="C1452"/>
  <c r="E1452"/>
  <c r="F1452"/>
  <c r="A1453"/>
  <c r="B1453"/>
  <c r="C1453"/>
  <c r="E1453"/>
  <c r="F1453"/>
  <c r="A1454"/>
  <c r="B1454"/>
  <c r="C1454"/>
  <c r="E1454"/>
  <c r="F1454"/>
  <c r="A1455"/>
  <c r="B1455"/>
  <c r="C1455"/>
  <c r="E1455"/>
  <c r="F1455"/>
  <c r="A1456"/>
  <c r="B1456"/>
  <c r="C1456"/>
  <c r="E1456"/>
  <c r="F1456"/>
  <c r="A1457"/>
  <c r="B1457"/>
  <c r="C1457"/>
  <c r="E1457"/>
  <c r="F1457"/>
  <c r="A1458"/>
  <c r="B1458"/>
  <c r="C1458"/>
  <c r="E1458"/>
  <c r="F1458"/>
  <c r="A1459"/>
  <c r="B1459"/>
  <c r="C1459"/>
  <c r="E1459"/>
  <c r="F1459"/>
  <c r="A1460"/>
  <c r="B1460"/>
  <c r="C1460"/>
  <c r="E1460"/>
  <c r="F1460"/>
  <c r="A1461"/>
  <c r="B1461"/>
  <c r="C1461"/>
  <c r="E1461"/>
  <c r="F1461"/>
  <c r="A1462"/>
  <c r="B1462"/>
  <c r="C1462"/>
  <c r="E1462"/>
  <c r="F1462"/>
  <c r="A1463"/>
  <c r="B1463"/>
  <c r="C1463"/>
  <c r="E1463"/>
  <c r="F1463"/>
  <c r="A1464"/>
  <c r="B1464"/>
  <c r="C1464"/>
  <c r="E1464"/>
  <c r="F1464"/>
  <c r="A1465"/>
  <c r="B1465"/>
  <c r="C1465"/>
  <c r="E1465"/>
  <c r="F1465"/>
  <c r="A1466"/>
  <c r="B1466"/>
  <c r="C1466"/>
  <c r="E1466"/>
  <c r="F1466"/>
  <c r="A1467"/>
  <c r="B1467"/>
  <c r="C1467"/>
  <c r="E1467"/>
  <c r="F1467"/>
  <c r="A1468"/>
  <c r="B1468"/>
  <c r="C1468"/>
  <c r="E1468"/>
  <c r="F1468"/>
  <c r="A1469"/>
  <c r="B1469"/>
  <c r="C1469"/>
  <c r="E1469"/>
  <c r="F1469"/>
  <c r="A1470"/>
  <c r="B1470"/>
  <c r="C1470"/>
  <c r="E1470"/>
  <c r="F1470"/>
  <c r="A1471"/>
  <c r="B1471"/>
  <c r="C1471"/>
  <c r="E1471"/>
  <c r="F1471"/>
  <c r="A1472"/>
  <c r="B1472"/>
  <c r="C1472"/>
  <c r="E1472"/>
  <c r="F1472"/>
  <c r="A1473"/>
  <c r="B1473"/>
  <c r="C1473"/>
  <c r="E1473"/>
  <c r="F1473"/>
  <c r="A1474"/>
  <c r="B1474"/>
  <c r="C1474"/>
  <c r="E1474"/>
  <c r="F1474"/>
  <c r="A1475"/>
  <c r="B1475"/>
  <c r="C1475"/>
  <c r="E1475"/>
  <c r="F1475"/>
  <c r="A1476"/>
  <c r="B1476"/>
  <c r="C1476"/>
  <c r="E1476"/>
  <c r="F1476"/>
  <c r="A1477"/>
  <c r="B1477"/>
  <c r="C1477"/>
  <c r="E1477"/>
  <c r="F1477"/>
  <c r="A1478"/>
  <c r="B1478"/>
  <c r="C1478"/>
  <c r="E1478"/>
  <c r="F1478"/>
  <c r="A1479"/>
  <c r="B1479"/>
  <c r="C1479"/>
  <c r="E1479"/>
  <c r="F1479"/>
  <c r="A1480"/>
  <c r="B1480"/>
  <c r="C1480"/>
  <c r="E1480"/>
  <c r="F1480"/>
  <c r="A1481"/>
  <c r="B1481"/>
  <c r="C1481"/>
  <c r="E1481"/>
  <c r="F1481"/>
  <c r="A1482"/>
  <c r="B1482"/>
  <c r="C1482"/>
  <c r="E1482"/>
  <c r="F1482"/>
  <c r="A1483"/>
  <c r="B1483"/>
  <c r="C1483"/>
  <c r="E1483"/>
  <c r="F1483"/>
  <c r="A1484"/>
  <c r="B1484"/>
  <c r="C1484"/>
  <c r="E1484"/>
  <c r="F1484"/>
  <c r="A1485"/>
  <c r="B1485"/>
  <c r="C1485"/>
  <c r="E1485"/>
  <c r="F1485"/>
  <c r="A1486"/>
  <c r="B1486"/>
  <c r="C1486"/>
  <c r="E1486"/>
  <c r="F1486"/>
  <c r="A1487"/>
  <c r="B1487"/>
  <c r="C1487"/>
  <c r="E1487"/>
  <c r="F1487"/>
  <c r="A1488"/>
  <c r="B1488"/>
  <c r="C1488"/>
  <c r="E1488"/>
  <c r="F1488"/>
  <c r="A1489"/>
  <c r="B1489"/>
  <c r="C1489"/>
  <c r="E1489"/>
  <c r="F1489"/>
  <c r="A1490"/>
  <c r="B1490"/>
  <c r="C1490"/>
  <c r="E1490"/>
  <c r="F1490"/>
  <c r="A1491"/>
  <c r="B1491"/>
  <c r="C1491"/>
  <c r="E1491"/>
  <c r="F1491"/>
  <c r="A1492"/>
  <c r="B1492"/>
  <c r="C1492"/>
  <c r="E1492"/>
  <c r="F1492"/>
  <c r="A1493"/>
  <c r="B1493"/>
  <c r="C1493"/>
  <c r="E1493"/>
  <c r="F1493"/>
  <c r="A1494"/>
  <c r="B1494"/>
  <c r="C1494"/>
  <c r="E1494"/>
  <c r="F1494"/>
  <c r="A1495"/>
  <c r="B1495"/>
  <c r="C1495"/>
  <c r="E1495"/>
  <c r="F1495"/>
  <c r="A1496"/>
  <c r="B1496"/>
  <c r="C1496"/>
  <c r="E1496"/>
  <c r="F1496"/>
  <c r="A1497"/>
  <c r="B1497"/>
  <c r="C1497"/>
  <c r="E1497"/>
  <c r="F1497"/>
  <c r="A1498"/>
  <c r="B1498"/>
  <c r="C1498"/>
  <c r="E1498"/>
  <c r="F1498"/>
  <c r="A1499"/>
  <c r="B1499"/>
  <c r="C1499"/>
  <c r="E1499"/>
  <c r="F1499"/>
  <c r="A1500"/>
  <c r="B1500"/>
  <c r="C1500"/>
  <c r="E1500"/>
  <c r="F1500"/>
  <c r="A1501"/>
  <c r="B1501"/>
  <c r="C1501"/>
  <c r="E1501"/>
  <c r="F1501"/>
  <c r="A1502"/>
  <c r="B1502"/>
  <c r="C1502"/>
  <c r="E1502"/>
  <c r="F1502"/>
  <c r="A1503"/>
  <c r="B1503"/>
  <c r="C1503"/>
  <c r="E1503"/>
  <c r="F1503"/>
  <c r="A1504"/>
  <c r="B1504"/>
  <c r="C1504"/>
  <c r="E1504"/>
  <c r="F1504"/>
  <c r="A1505"/>
  <c r="B1505"/>
  <c r="C1505"/>
  <c r="E1505"/>
  <c r="F1505"/>
  <c r="A1506"/>
  <c r="B1506"/>
  <c r="C1506"/>
  <c r="E1506"/>
  <c r="F1506"/>
  <c r="A1507"/>
  <c r="B1507"/>
  <c r="C1507"/>
  <c r="E1507"/>
  <c r="F1507"/>
  <c r="A1508"/>
  <c r="B1508"/>
  <c r="C1508"/>
  <c r="E1508"/>
  <c r="F1508"/>
  <c r="A1509"/>
  <c r="B1509"/>
  <c r="C1509"/>
  <c r="E1509"/>
  <c r="F1509"/>
  <c r="A1510"/>
  <c r="B1510"/>
  <c r="C1510"/>
  <c r="E1510"/>
  <c r="F1510"/>
  <c r="A1511"/>
  <c r="B1511"/>
  <c r="C1511"/>
  <c r="E1511"/>
  <c r="F1511"/>
  <c r="A1512"/>
  <c r="B1512"/>
  <c r="C1512"/>
  <c r="E1512"/>
  <c r="F1512"/>
  <c r="A1513"/>
  <c r="B1513"/>
  <c r="C1513"/>
  <c r="E1513"/>
  <c r="F1513"/>
  <c r="A1514"/>
  <c r="B1514"/>
  <c r="C1514"/>
  <c r="E1514"/>
  <c r="F1514"/>
  <c r="A1515"/>
  <c r="B1515"/>
  <c r="C1515"/>
  <c r="E1515"/>
  <c r="F1515"/>
  <c r="A1516"/>
  <c r="B1516"/>
  <c r="C1516"/>
  <c r="E1516"/>
  <c r="F1516"/>
  <c r="A1517"/>
  <c r="B1517"/>
  <c r="C1517"/>
  <c r="E1517"/>
  <c r="F1517"/>
  <c r="A1518"/>
  <c r="B1518"/>
  <c r="C1518"/>
  <c r="E1518"/>
  <c r="F1518"/>
  <c r="A1519"/>
  <c r="B1519"/>
  <c r="C1519"/>
  <c r="E1519"/>
  <c r="F1519"/>
  <c r="A1520"/>
  <c r="B1520"/>
  <c r="C1520"/>
  <c r="E1520"/>
  <c r="F1520"/>
  <c r="A1521"/>
  <c r="B1521"/>
  <c r="C1521"/>
  <c r="E1521"/>
  <c r="F1521"/>
  <c r="A1522"/>
  <c r="B1522"/>
  <c r="C1522"/>
  <c r="E1522"/>
  <c r="F1522"/>
  <c r="A1523"/>
  <c r="B1523"/>
  <c r="C1523"/>
  <c r="E1523"/>
  <c r="F1523"/>
  <c r="A1524"/>
  <c r="B1524"/>
  <c r="C1524"/>
  <c r="E1524"/>
  <c r="F1524"/>
  <c r="A1525"/>
  <c r="B1525"/>
  <c r="C1525"/>
  <c r="E1525"/>
  <c r="F1525"/>
  <c r="A1526"/>
  <c r="B1526"/>
  <c r="C1526"/>
  <c r="E1526"/>
  <c r="F1526"/>
  <c r="A1527"/>
  <c r="B1527"/>
  <c r="C1527"/>
  <c r="E1527"/>
  <c r="F1527"/>
  <c r="A1528"/>
  <c r="B1528"/>
  <c r="C1528"/>
  <c r="E1528"/>
  <c r="F1528"/>
  <c r="A1529"/>
  <c r="B1529"/>
  <c r="C1529"/>
  <c r="E1529"/>
  <c r="F1529"/>
  <c r="A1530"/>
  <c r="B1530"/>
  <c r="C1530"/>
  <c r="E1530"/>
  <c r="F1530"/>
  <c r="A1531"/>
  <c r="B1531"/>
  <c r="C1531"/>
  <c r="E1531"/>
  <c r="F1531"/>
  <c r="A1532"/>
  <c r="B1532"/>
  <c r="C1532"/>
  <c r="E1532"/>
  <c r="F1532"/>
  <c r="A1533"/>
  <c r="B1533"/>
  <c r="C1533"/>
  <c r="E1533"/>
  <c r="F1533"/>
  <c r="A1534"/>
  <c r="B1534"/>
  <c r="C1534"/>
  <c r="E1534"/>
  <c r="F1534"/>
  <c r="A1535"/>
  <c r="B1535"/>
  <c r="C1535"/>
  <c r="E1535"/>
  <c r="F1535"/>
  <c r="A1536"/>
  <c r="B1536"/>
  <c r="C1536"/>
  <c r="E1536"/>
  <c r="F1536"/>
  <c r="A1537"/>
  <c r="B1537"/>
  <c r="C1537"/>
  <c r="E1537"/>
  <c r="F1537"/>
  <c r="A1538"/>
  <c r="B1538"/>
  <c r="C1538"/>
  <c r="E1538"/>
  <c r="F1538"/>
  <c r="A1539"/>
  <c r="B1539"/>
  <c r="C1539"/>
  <c r="E1539"/>
  <c r="F1539"/>
  <c r="A1540"/>
  <c r="B1540"/>
  <c r="C1540"/>
  <c r="E1540"/>
  <c r="F1540"/>
  <c r="A1541"/>
  <c r="B1541"/>
  <c r="C1541"/>
  <c r="E1541"/>
  <c r="F1541"/>
  <c r="A1542"/>
  <c r="B1542"/>
  <c r="C1542"/>
  <c r="E1542"/>
  <c r="F1542"/>
  <c r="A1543"/>
  <c r="B1543"/>
  <c r="C1543"/>
  <c r="E1543"/>
  <c r="F1543"/>
  <c r="A1544"/>
  <c r="B1544"/>
  <c r="C1544"/>
  <c r="E1544"/>
  <c r="F1544"/>
  <c r="A1545"/>
  <c r="B1545"/>
  <c r="C1545"/>
  <c r="E1545"/>
  <c r="F1545"/>
  <c r="A1546"/>
  <c r="B1546"/>
  <c r="C1546"/>
  <c r="E1546"/>
  <c r="F1546"/>
  <c r="A1547"/>
  <c r="B1547"/>
  <c r="C1547"/>
  <c r="E1547"/>
  <c r="F1547"/>
  <c r="A1548"/>
  <c r="B1548"/>
  <c r="C1548"/>
  <c r="E1548"/>
  <c r="F1548"/>
  <c r="A1549"/>
  <c r="B1549"/>
  <c r="C1549"/>
  <c r="E1549"/>
  <c r="F1549"/>
  <c r="A1550"/>
  <c r="B1550"/>
  <c r="C1550"/>
  <c r="E1550"/>
  <c r="F1550"/>
  <c r="A1551"/>
  <c r="B1551"/>
  <c r="C1551"/>
  <c r="E1551"/>
  <c r="F1551"/>
  <c r="A1552"/>
  <c r="B1552"/>
  <c r="C1552"/>
  <c r="E1552"/>
  <c r="F1552"/>
  <c r="A1553"/>
  <c r="B1553"/>
  <c r="C1553"/>
  <c r="E1553"/>
  <c r="F1553"/>
  <c r="A1554"/>
  <c r="B1554"/>
  <c r="C1554"/>
  <c r="E1554"/>
  <c r="F1554"/>
  <c r="A1555"/>
  <c r="B1555"/>
  <c r="C1555"/>
  <c r="E1555"/>
  <c r="F1555"/>
  <c r="A1556"/>
  <c r="B1556"/>
  <c r="C1556"/>
  <c r="E1556"/>
  <c r="F1556"/>
  <c r="A1557"/>
  <c r="B1557"/>
  <c r="C1557"/>
  <c r="E1557"/>
  <c r="F1557"/>
  <c r="A1558"/>
  <c r="B1558"/>
  <c r="C1558"/>
  <c r="E1558"/>
  <c r="F1558"/>
  <c r="A1559"/>
  <c r="B1559"/>
  <c r="C1559"/>
  <c r="E1559"/>
  <c r="F1559"/>
  <c r="A1560"/>
  <c r="B1560"/>
  <c r="C1560"/>
  <c r="E1560"/>
  <c r="F1560"/>
  <c r="A1561"/>
  <c r="B1561"/>
  <c r="C1561"/>
  <c r="E1561"/>
  <c r="F1561"/>
  <c r="A1562"/>
  <c r="B1562"/>
  <c r="C1562"/>
  <c r="E1562"/>
  <c r="F1562"/>
  <c r="A1563"/>
  <c r="B1563"/>
  <c r="C1563"/>
  <c r="E1563"/>
  <c r="F1563"/>
  <c r="A1564"/>
  <c r="B1564"/>
  <c r="C1564"/>
  <c r="E1564"/>
  <c r="F1564"/>
  <c r="A1565"/>
  <c r="B1565"/>
  <c r="C1565"/>
  <c r="E1565"/>
  <c r="F1565"/>
  <c r="A1566"/>
  <c r="B1566"/>
  <c r="C1566"/>
  <c r="E1566"/>
  <c r="F1566"/>
  <c r="A1567"/>
  <c r="B1567"/>
  <c r="C1567"/>
  <c r="E1567"/>
  <c r="F1567"/>
  <c r="A1568"/>
  <c r="B1568"/>
  <c r="C1568"/>
  <c r="E1568"/>
  <c r="F1568"/>
  <c r="A1569"/>
  <c r="B1569"/>
  <c r="C1569"/>
  <c r="E1569"/>
  <c r="F1569"/>
  <c r="A1570"/>
  <c r="B1570"/>
  <c r="C1570"/>
  <c r="E1570"/>
  <c r="F1570"/>
  <c r="A1571"/>
  <c r="B1571"/>
  <c r="C1571"/>
  <c r="E1571"/>
  <c r="F1571"/>
  <c r="A1572"/>
  <c r="B1572"/>
  <c r="C1572"/>
  <c r="E1572"/>
  <c r="F1572"/>
  <c r="C1573"/>
  <c r="E1573"/>
  <c r="F1573"/>
  <c r="A1574"/>
  <c r="B1574"/>
  <c r="C1574"/>
  <c r="E1574"/>
  <c r="F1574"/>
  <c r="A1575"/>
  <c r="B1575"/>
  <c r="C1575"/>
  <c r="E1575"/>
  <c r="F1575"/>
  <c r="A1576"/>
  <c r="B1576"/>
  <c r="C1576"/>
  <c r="E1576"/>
  <c r="F1576"/>
  <c r="A1577"/>
  <c r="B1577"/>
  <c r="C1577"/>
  <c r="E1577"/>
  <c r="F1577"/>
  <c r="A1578"/>
  <c r="B1578"/>
  <c r="C1578"/>
  <c r="E1578"/>
  <c r="F1578"/>
  <c r="A1579"/>
  <c r="B1579"/>
  <c r="C1579"/>
  <c r="E1579"/>
  <c r="F1579"/>
  <c r="A1580"/>
  <c r="B1580"/>
  <c r="C1580"/>
  <c r="E1580"/>
  <c r="F1580"/>
  <c r="A1581"/>
  <c r="B1581"/>
  <c r="C1581"/>
  <c r="E1581"/>
  <c r="F1581"/>
  <c r="A1582"/>
  <c r="B1582"/>
  <c r="C1582"/>
  <c r="E1582"/>
  <c r="F1582"/>
  <c r="A1583"/>
  <c r="B1583"/>
  <c r="C1583"/>
  <c r="E1583"/>
  <c r="F1583"/>
  <c r="A1584"/>
  <c r="B1584"/>
  <c r="C1584"/>
  <c r="E1584"/>
  <c r="F1584"/>
  <c r="A1585"/>
  <c r="B1585"/>
  <c r="C1585"/>
  <c r="E1585"/>
  <c r="F1585"/>
  <c r="A1586"/>
  <c r="B1586"/>
  <c r="C1586"/>
  <c r="E1586"/>
  <c r="F1586"/>
  <c r="A1587"/>
  <c r="B1587"/>
  <c r="C1587"/>
  <c r="E1587"/>
  <c r="F1587"/>
  <c r="A1588"/>
  <c r="B1588"/>
  <c r="C1588"/>
  <c r="E1588"/>
  <c r="F1588"/>
  <c r="A1589"/>
  <c r="B1589"/>
  <c r="C1589"/>
  <c r="E1589"/>
  <c r="F1589"/>
  <c r="A1590"/>
  <c r="B1590"/>
  <c r="C1590"/>
  <c r="E1590"/>
  <c r="F1590"/>
  <c r="A1591"/>
  <c r="B1591"/>
  <c r="C1591"/>
  <c r="E1591"/>
  <c r="F1591"/>
  <c r="A1592"/>
  <c r="B1592"/>
  <c r="C1592"/>
  <c r="E1592"/>
  <c r="F1592"/>
  <c r="A1593"/>
  <c r="B1593"/>
  <c r="C1593"/>
  <c r="E1593"/>
  <c r="F1593"/>
  <c r="A1594"/>
  <c r="B1594"/>
  <c r="C1594"/>
  <c r="E1594"/>
  <c r="F1594"/>
  <c r="A1595"/>
  <c r="B1595"/>
  <c r="C1595"/>
  <c r="E1595"/>
  <c r="F1595"/>
  <c r="A1596"/>
  <c r="B1596"/>
  <c r="C1596"/>
  <c r="E1596"/>
  <c r="F1596"/>
  <c r="A1597"/>
  <c r="B1597"/>
  <c r="C1597"/>
  <c r="E1597"/>
  <c r="F1597"/>
  <c r="A1598"/>
  <c r="B1598"/>
  <c r="C1598"/>
  <c r="E1598"/>
  <c r="F1598"/>
  <c r="A1599"/>
  <c r="B1599"/>
  <c r="C1599"/>
  <c r="E1599"/>
  <c r="F1599"/>
  <c r="A1600"/>
  <c r="B1600"/>
  <c r="C1600"/>
  <c r="E1600"/>
  <c r="F1600"/>
  <c r="A1601"/>
  <c r="B1601"/>
  <c r="C1601"/>
  <c r="E1601"/>
  <c r="F1601"/>
  <c r="A1602"/>
  <c r="B1602"/>
  <c r="C1602"/>
  <c r="E1602"/>
  <c r="F1602"/>
  <c r="A1603"/>
  <c r="B1603"/>
  <c r="C1603"/>
  <c r="E1603"/>
  <c r="F1603"/>
  <c r="A1604"/>
  <c r="B1604"/>
  <c r="C1604"/>
  <c r="E1604"/>
  <c r="F1604"/>
  <c r="A1605"/>
  <c r="B1605"/>
  <c r="C1605"/>
  <c r="E1605"/>
  <c r="F1605"/>
  <c r="A1606"/>
  <c r="B1606"/>
  <c r="C1606"/>
  <c r="E1606"/>
  <c r="F1606"/>
  <c r="A1607"/>
  <c r="B1607"/>
  <c r="C1607"/>
  <c r="E1607"/>
  <c r="F1607"/>
  <c r="A1608"/>
  <c r="B1608"/>
  <c r="C1608"/>
  <c r="E1608"/>
  <c r="F1608"/>
  <c r="A1609"/>
  <c r="B1609"/>
  <c r="C1609"/>
  <c r="E1609"/>
  <c r="F1609"/>
  <c r="A1610"/>
  <c r="B1610"/>
  <c r="C1610"/>
  <c r="E1610"/>
  <c r="F1610"/>
  <c r="A1611"/>
  <c r="B1611"/>
  <c r="C1611"/>
  <c r="E1611"/>
  <c r="F1611"/>
  <c r="A1612"/>
  <c r="B1612"/>
  <c r="C1612"/>
  <c r="E1612"/>
  <c r="F1612"/>
  <c r="A1613"/>
  <c r="B1613"/>
  <c r="C1613"/>
  <c r="E1613"/>
  <c r="F1613"/>
  <c r="A1614"/>
  <c r="B1614"/>
  <c r="C1614"/>
  <c r="E1614"/>
  <c r="F1614"/>
  <c r="A1615"/>
  <c r="B1615"/>
  <c r="C1615"/>
  <c r="E1615"/>
  <c r="F1615"/>
  <c r="A1616"/>
  <c r="B1616"/>
  <c r="C1616"/>
  <c r="E1616"/>
  <c r="F1616"/>
  <c r="A1617"/>
  <c r="B1617"/>
  <c r="C1617"/>
  <c r="E1617"/>
  <c r="F1617"/>
  <c r="A1618"/>
  <c r="B1618"/>
  <c r="C1618"/>
  <c r="E1618"/>
  <c r="F1618"/>
  <c r="A1619"/>
  <c r="B1619"/>
  <c r="C1619"/>
  <c r="E1619"/>
  <c r="F1619"/>
  <c r="A1620"/>
  <c r="B1620"/>
  <c r="C1620"/>
  <c r="E1620"/>
  <c r="F1620"/>
  <c r="A1621"/>
  <c r="B1621"/>
  <c r="C1621"/>
  <c r="E1621"/>
  <c r="F1621"/>
  <c r="A1622"/>
  <c r="B1622"/>
  <c r="C1622"/>
  <c r="E1622"/>
  <c r="F1622"/>
  <c r="A1623"/>
  <c r="B1623"/>
  <c r="C1623"/>
  <c r="E1623"/>
  <c r="F1623"/>
  <c r="A1" i="4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C5"/>
  <c r="E5"/>
  <c r="F5"/>
  <c r="C6"/>
  <c r="E6"/>
  <c r="F6"/>
  <c r="A7"/>
  <c r="B7"/>
  <c r="C7"/>
  <c r="E7"/>
  <c r="F7"/>
  <c r="C8"/>
  <c r="E8"/>
  <c r="F8"/>
  <c r="C9"/>
  <c r="E9"/>
  <c r="F9"/>
  <c r="C10"/>
  <c r="E10"/>
  <c r="F10"/>
  <c r="A11"/>
  <c r="B11"/>
  <c r="C11"/>
  <c r="E11"/>
  <c r="F11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C127"/>
  <c r="E127"/>
  <c r="F127"/>
  <c r="C128"/>
  <c r="E128"/>
  <c r="F128"/>
  <c r="C129"/>
  <c r="E129"/>
  <c r="F129"/>
  <c r="A130"/>
  <c r="B130"/>
  <c r="C130"/>
  <c r="E130"/>
  <c r="F130"/>
  <c r="C131"/>
  <c r="E131"/>
  <c r="F131"/>
  <c r="C132"/>
  <c r="E132"/>
  <c r="F132"/>
  <c r="C133"/>
  <c r="E133"/>
  <c r="F133"/>
  <c r="C134"/>
  <c r="E134"/>
  <c r="F134"/>
  <c r="C135"/>
  <c r="E135"/>
  <c r="F135"/>
  <c r="C136"/>
  <c r="E136"/>
  <c r="F136"/>
  <c r="C137"/>
  <c r="E137"/>
  <c r="F137"/>
  <c r="C138"/>
  <c r="E138"/>
  <c r="F138"/>
  <c r="A139"/>
  <c r="B139"/>
  <c r="C139"/>
  <c r="E139"/>
  <c r="F139"/>
  <c r="A140"/>
  <c r="B140"/>
  <c r="C140"/>
  <c r="E140"/>
  <c r="F140"/>
  <c r="C141"/>
  <c r="E141"/>
  <c r="F141"/>
  <c r="A142"/>
  <c r="B142"/>
  <c r="C142"/>
  <c r="E142"/>
  <c r="F142"/>
  <c r="C143"/>
  <c r="E143"/>
  <c r="F143"/>
  <c r="C144"/>
  <c r="E144"/>
  <c r="F144"/>
  <c r="C145"/>
  <c r="E145"/>
  <c r="F145"/>
  <c r="A146"/>
  <c r="B146"/>
  <c r="C146"/>
  <c r="E146"/>
  <c r="F146"/>
  <c r="A147"/>
  <c r="B147"/>
  <c r="C147"/>
  <c r="E147"/>
  <c r="F147"/>
  <c r="C148"/>
  <c r="E148"/>
  <c r="F148"/>
  <c r="C149"/>
  <c r="E149"/>
  <c r="F149"/>
  <c r="A150"/>
  <c r="B150"/>
  <c r="C150"/>
  <c r="E150"/>
  <c r="F150"/>
  <c r="C151"/>
  <c r="E151"/>
  <c r="F151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C169"/>
  <c r="E169"/>
  <c r="F169"/>
  <c r="A170"/>
  <c r="B170"/>
  <c r="C170"/>
  <c r="E170"/>
  <c r="F170"/>
  <c r="C171"/>
  <c r="E171"/>
  <c r="F171"/>
  <c r="A172"/>
  <c r="B172"/>
  <c r="C172"/>
  <c r="E172"/>
  <c r="F172"/>
  <c r="C173"/>
  <c r="E173"/>
  <c r="F173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C197"/>
  <c r="E197"/>
  <c r="F197"/>
  <c r="A198"/>
  <c r="B198"/>
  <c r="C198"/>
  <c r="E198"/>
  <c r="F198"/>
  <c r="C199"/>
  <c r="E199"/>
  <c r="F199"/>
  <c r="C200"/>
  <c r="E200"/>
  <c r="F200"/>
  <c r="C201"/>
  <c r="E201"/>
  <c r="F201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C213"/>
  <c r="E213"/>
  <c r="F213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C254"/>
  <c r="E254"/>
  <c r="F254"/>
  <c r="C255"/>
  <c r="E255"/>
  <c r="F255"/>
  <c r="C256"/>
  <c r="E256"/>
  <c r="F256"/>
  <c r="C257"/>
  <c r="E257"/>
  <c r="F257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C276"/>
  <c r="E276"/>
  <c r="F276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A367"/>
  <c r="B367"/>
  <c r="C367"/>
  <c r="E367"/>
  <c r="F367"/>
  <c r="A368"/>
  <c r="B368"/>
  <c r="C368"/>
  <c r="E368"/>
  <c r="F368"/>
  <c r="A369"/>
  <c r="B369"/>
  <c r="C369"/>
  <c r="E369"/>
  <c r="F369"/>
  <c r="A370"/>
  <c r="B370"/>
  <c r="C370"/>
  <c r="E370"/>
  <c r="F370"/>
  <c r="A371"/>
  <c r="B371"/>
  <c r="C371"/>
  <c r="E371"/>
  <c r="F371"/>
  <c r="A372"/>
  <c r="B372"/>
  <c r="C372"/>
  <c r="E372"/>
  <c r="F372"/>
  <c r="A373"/>
  <c r="B373"/>
  <c r="C373"/>
  <c r="E373"/>
  <c r="F373"/>
  <c r="A374"/>
  <c r="B374"/>
  <c r="C374"/>
  <c r="E374"/>
  <c r="F374"/>
  <c r="A375"/>
  <c r="B375"/>
  <c r="C375"/>
  <c r="E375"/>
  <c r="F375"/>
  <c r="A376"/>
  <c r="B376"/>
  <c r="C376"/>
  <c r="E376"/>
  <c r="F376"/>
  <c r="A377"/>
  <c r="B377"/>
  <c r="C377"/>
  <c r="E377"/>
  <c r="F377"/>
  <c r="A378"/>
  <c r="B378"/>
  <c r="C378"/>
  <c r="E378"/>
  <c r="F378"/>
  <c r="A379"/>
  <c r="B379"/>
  <c r="C379"/>
  <c r="E379"/>
  <c r="F379"/>
  <c r="A380"/>
  <c r="B380"/>
  <c r="C380"/>
  <c r="E380"/>
  <c r="F380"/>
  <c r="A381"/>
  <c r="B381"/>
  <c r="C381"/>
  <c r="E381"/>
  <c r="F381"/>
  <c r="A382"/>
  <c r="B382"/>
  <c r="C382"/>
  <c r="E382"/>
  <c r="F382"/>
  <c r="A383"/>
  <c r="B383"/>
  <c r="C383"/>
  <c r="E383"/>
  <c r="F383"/>
  <c r="A384"/>
  <c r="B384"/>
  <c r="C384"/>
  <c r="E384"/>
  <c r="F384"/>
  <c r="A385"/>
  <c r="B385"/>
  <c r="C385"/>
  <c r="E385"/>
  <c r="F385"/>
  <c r="A386"/>
  <c r="B386"/>
  <c r="C386"/>
  <c r="E386"/>
  <c r="F386"/>
  <c r="A387"/>
  <c r="B387"/>
  <c r="C387"/>
  <c r="E387"/>
  <c r="F387"/>
  <c r="A388"/>
  <c r="B388"/>
  <c r="C388"/>
  <c r="E388"/>
  <c r="F388"/>
  <c r="A389"/>
  <c r="B389"/>
  <c r="C389"/>
  <c r="E389"/>
  <c r="F389"/>
  <c r="A390"/>
  <c r="B390"/>
  <c r="C390"/>
  <c r="E390"/>
  <c r="F390"/>
  <c r="A391"/>
  <c r="B391"/>
  <c r="C391"/>
  <c r="E391"/>
  <c r="F391"/>
  <c r="A392"/>
  <c r="B392"/>
  <c r="C392"/>
  <c r="E392"/>
  <c r="F392"/>
  <c r="A393"/>
  <c r="B393"/>
  <c r="C393"/>
  <c r="E393"/>
  <c r="F393"/>
  <c r="A394"/>
  <c r="B394"/>
  <c r="C394"/>
  <c r="E394"/>
  <c r="F394"/>
  <c r="A395"/>
  <c r="B395"/>
  <c r="C395"/>
  <c r="E395"/>
  <c r="F395"/>
  <c r="A396"/>
  <c r="B396"/>
  <c r="C396"/>
  <c r="E396"/>
  <c r="F396"/>
  <c r="A397"/>
  <c r="B397"/>
  <c r="C397"/>
  <c r="E397"/>
  <c r="F397"/>
  <c r="A398"/>
  <c r="B398"/>
  <c r="C398"/>
  <c r="E398"/>
  <c r="F398"/>
  <c r="A399"/>
  <c r="B399"/>
  <c r="C399"/>
  <c r="E399"/>
  <c r="F399"/>
  <c r="A400"/>
  <c r="B400"/>
  <c r="C400"/>
  <c r="E400"/>
  <c r="F400"/>
  <c r="A401"/>
  <c r="B401"/>
  <c r="C401"/>
  <c r="E401"/>
  <c r="F401"/>
  <c r="A402"/>
  <c r="B402"/>
  <c r="C402"/>
  <c r="E402"/>
  <c r="F402"/>
  <c r="A403"/>
  <c r="B403"/>
  <c r="C403"/>
  <c r="E403"/>
  <c r="F403"/>
  <c r="A404"/>
  <c r="B404"/>
  <c r="C404"/>
  <c r="E404"/>
  <c r="F404"/>
  <c r="A405"/>
  <c r="B405"/>
  <c r="C405"/>
  <c r="E405"/>
  <c r="F405"/>
  <c r="A406"/>
  <c r="B406"/>
  <c r="C406"/>
  <c r="E406"/>
  <c r="F406"/>
  <c r="C407"/>
  <c r="E407"/>
  <c r="F407"/>
  <c r="C408"/>
  <c r="E408"/>
  <c r="F408"/>
  <c r="C409"/>
  <c r="E409"/>
  <c r="F409"/>
  <c r="C410"/>
  <c r="E410"/>
  <c r="F410"/>
  <c r="C411"/>
  <c r="E411"/>
  <c r="F411"/>
  <c r="C412"/>
  <c r="E412"/>
  <c r="F412"/>
  <c r="A413"/>
  <c r="B413"/>
  <c r="C413"/>
  <c r="E413"/>
  <c r="F413"/>
  <c r="C414"/>
  <c r="E414"/>
  <c r="F414"/>
  <c r="C415"/>
  <c r="E415"/>
  <c r="F415"/>
  <c r="C416"/>
  <c r="E416"/>
  <c r="F416"/>
  <c r="C417"/>
  <c r="E417"/>
  <c r="F417"/>
  <c r="C418"/>
  <c r="E418"/>
  <c r="F418"/>
  <c r="C419"/>
  <c r="E419"/>
  <c r="F419"/>
  <c r="A420"/>
  <c r="B420"/>
  <c r="C420"/>
  <c r="E420"/>
  <c r="F420"/>
  <c r="A421"/>
  <c r="B421"/>
  <c r="C421"/>
  <c r="E421"/>
  <c r="F421"/>
  <c r="A422"/>
  <c r="B422"/>
  <c r="C422"/>
  <c r="E422"/>
  <c r="F422"/>
  <c r="C423"/>
  <c r="E423"/>
  <c r="F423"/>
  <c r="C424"/>
  <c r="E424"/>
  <c r="F424"/>
  <c r="A425"/>
  <c r="B425"/>
  <c r="C425"/>
  <c r="E425"/>
  <c r="F425"/>
  <c r="A426"/>
  <c r="B426"/>
  <c r="C426"/>
  <c r="E426"/>
  <c r="F426"/>
  <c r="A427"/>
  <c r="B427"/>
  <c r="C427"/>
  <c r="E427"/>
  <c r="F427"/>
  <c r="A428"/>
  <c r="B428"/>
  <c r="C428"/>
  <c r="E428"/>
  <c r="F428"/>
  <c r="A429"/>
  <c r="B429"/>
  <c r="C429"/>
  <c r="E429"/>
  <c r="F429"/>
  <c r="A430"/>
  <c r="B430"/>
  <c r="C430"/>
  <c r="E430"/>
  <c r="F430"/>
  <c r="A431"/>
  <c r="B431"/>
  <c r="C431"/>
  <c r="E431"/>
  <c r="F431"/>
  <c r="A432"/>
  <c r="B432"/>
  <c r="C432"/>
  <c r="E432"/>
  <c r="F432"/>
  <c r="A433"/>
  <c r="B433"/>
  <c r="C433"/>
  <c r="E433"/>
  <c r="F433"/>
  <c r="A434"/>
  <c r="B434"/>
  <c r="C434"/>
  <c r="E434"/>
  <c r="F434"/>
  <c r="A435"/>
  <c r="B435"/>
  <c r="C435"/>
  <c r="E435"/>
  <c r="F435"/>
  <c r="A436"/>
  <c r="B436"/>
  <c r="C436"/>
  <c r="E436"/>
  <c r="F436"/>
  <c r="A437"/>
  <c r="B437"/>
  <c r="C437"/>
  <c r="E437"/>
  <c r="F437"/>
  <c r="A438"/>
  <c r="B438"/>
  <c r="C438"/>
  <c r="E438"/>
  <c r="F438"/>
  <c r="A439"/>
  <c r="B439"/>
  <c r="C439"/>
  <c r="E439"/>
  <c r="F439"/>
  <c r="A440"/>
  <c r="B440"/>
  <c r="C440"/>
  <c r="E440"/>
  <c r="F440"/>
  <c r="A441"/>
  <c r="B441"/>
  <c r="C441"/>
  <c r="E441"/>
  <c r="F441"/>
  <c r="A442"/>
  <c r="B442"/>
  <c r="C442"/>
  <c r="E442"/>
  <c r="F442"/>
  <c r="A443"/>
  <c r="B443"/>
  <c r="C443"/>
  <c r="E443"/>
  <c r="F443"/>
  <c r="A444"/>
  <c r="B444"/>
  <c r="C444"/>
  <c r="E444"/>
  <c r="F444"/>
  <c r="A445"/>
  <c r="B445"/>
  <c r="C445"/>
  <c r="E445"/>
  <c r="F445"/>
  <c r="A446"/>
  <c r="B446"/>
  <c r="C446"/>
  <c r="E446"/>
  <c r="F446"/>
  <c r="A447"/>
  <c r="B447"/>
  <c r="C447"/>
  <c r="E447"/>
  <c r="F447"/>
  <c r="A448"/>
  <c r="B448"/>
  <c r="C448"/>
  <c r="E448"/>
  <c r="F448"/>
  <c r="A449"/>
  <c r="B449"/>
  <c r="C449"/>
  <c r="E449"/>
  <c r="F449"/>
  <c r="A450"/>
  <c r="B450"/>
  <c r="C450"/>
  <c r="E450"/>
  <c r="F450"/>
  <c r="A451"/>
  <c r="B451"/>
  <c r="C451"/>
  <c r="E451"/>
  <c r="F451"/>
  <c r="A452"/>
  <c r="B452"/>
  <c r="C452"/>
  <c r="E452"/>
  <c r="F452"/>
  <c r="A453"/>
  <c r="B453"/>
  <c r="C453"/>
  <c r="E453"/>
  <c r="F453"/>
  <c r="A454"/>
  <c r="B454"/>
  <c r="C454"/>
  <c r="E454"/>
  <c r="F454"/>
  <c r="A455"/>
  <c r="B455"/>
  <c r="C455"/>
  <c r="E455"/>
  <c r="F455"/>
  <c r="A456"/>
  <c r="B456"/>
  <c r="C456"/>
  <c r="E456"/>
  <c r="F456"/>
  <c r="A457"/>
  <c r="B457"/>
  <c r="C457"/>
  <c r="E457"/>
  <c r="F457"/>
  <c r="A458"/>
  <c r="B458"/>
  <c r="C458"/>
  <c r="E458"/>
  <c r="F458"/>
  <c r="A459"/>
  <c r="B459"/>
  <c r="C459"/>
  <c r="E459"/>
  <c r="F459"/>
  <c r="C460"/>
  <c r="E460"/>
  <c r="F460"/>
  <c r="A461"/>
  <c r="B461"/>
  <c r="C461"/>
  <c r="E461"/>
  <c r="F461"/>
  <c r="A462"/>
  <c r="B462"/>
  <c r="C462"/>
  <c r="E462"/>
  <c r="F462"/>
  <c r="A463"/>
  <c r="B463"/>
  <c r="C463"/>
  <c r="E463"/>
  <c r="F463"/>
  <c r="A464"/>
  <c r="B464"/>
  <c r="C464"/>
  <c r="E464"/>
  <c r="F464"/>
  <c r="A465"/>
  <c r="B465"/>
  <c r="C465"/>
  <c r="E465"/>
  <c r="F465"/>
  <c r="A466"/>
  <c r="B466"/>
  <c r="C466"/>
  <c r="E466"/>
  <c r="F466"/>
  <c r="A467"/>
  <c r="B467"/>
  <c r="C467"/>
  <c r="E467"/>
  <c r="F467"/>
  <c r="A468"/>
  <c r="B468"/>
  <c r="C468"/>
  <c r="E468"/>
  <c r="F468"/>
  <c r="A469"/>
  <c r="B469"/>
  <c r="C469"/>
  <c r="E469"/>
  <c r="F469"/>
  <c r="A470"/>
  <c r="B470"/>
  <c r="C470"/>
  <c r="E470"/>
  <c r="F470"/>
  <c r="A471"/>
  <c r="B471"/>
  <c r="C471"/>
  <c r="E471"/>
  <c r="F471"/>
  <c r="A472"/>
  <c r="B472"/>
  <c r="C472"/>
  <c r="E472"/>
  <c r="F472"/>
  <c r="A473"/>
  <c r="B473"/>
  <c r="C473"/>
  <c r="E473"/>
  <c r="F473"/>
  <c r="C474"/>
  <c r="E474"/>
  <c r="F474"/>
  <c r="A475"/>
  <c r="B475"/>
  <c r="C475"/>
  <c r="E475"/>
  <c r="F475"/>
  <c r="A476"/>
  <c r="B476"/>
  <c r="C476"/>
  <c r="E476"/>
  <c r="F476"/>
  <c r="A477"/>
  <c r="B477"/>
  <c r="C477"/>
  <c r="E477"/>
  <c r="F477"/>
  <c r="A478"/>
  <c r="B478"/>
  <c r="C478"/>
  <c r="E478"/>
  <c r="F478"/>
  <c r="A479"/>
  <c r="B479"/>
  <c r="C479"/>
  <c r="E479"/>
  <c r="F479"/>
  <c r="A480"/>
  <c r="B480"/>
  <c r="C480"/>
  <c r="E480"/>
  <c r="F480"/>
  <c r="A481"/>
  <c r="B481"/>
  <c r="C481"/>
  <c r="E481"/>
  <c r="F481"/>
  <c r="A482"/>
  <c r="B482"/>
  <c r="C482"/>
  <c r="E482"/>
  <c r="F482"/>
  <c r="C483"/>
  <c r="E483"/>
  <c r="F483"/>
  <c r="C484"/>
  <c r="E484"/>
  <c r="F484"/>
  <c r="C485"/>
  <c r="E485"/>
  <c r="F485"/>
  <c r="C486"/>
  <c r="E486"/>
  <c r="F486"/>
  <c r="C487"/>
  <c r="E487"/>
  <c r="F487"/>
  <c r="C488"/>
  <c r="E488"/>
  <c r="F488"/>
  <c r="C489"/>
  <c r="E489"/>
  <c r="F489"/>
  <c r="C490"/>
  <c r="E490"/>
  <c r="F490"/>
  <c r="A491"/>
  <c r="B491"/>
  <c r="C491"/>
  <c r="E491"/>
  <c r="F491"/>
  <c r="A492"/>
  <c r="B492"/>
  <c r="C492"/>
  <c r="E492"/>
  <c r="F492"/>
  <c r="A493"/>
  <c r="B493"/>
  <c r="C493"/>
  <c r="E493"/>
  <c r="F493"/>
  <c r="A494"/>
  <c r="B494"/>
  <c r="C494"/>
  <c r="E494"/>
  <c r="F494"/>
  <c r="A495"/>
  <c r="B495"/>
  <c r="C495"/>
  <c r="E495"/>
  <c r="F495"/>
  <c r="A496"/>
  <c r="B496"/>
  <c r="C496"/>
  <c r="E496"/>
  <c r="F496"/>
  <c r="A497"/>
  <c r="B497"/>
  <c r="C497"/>
  <c r="E497"/>
  <c r="F497"/>
  <c r="A498"/>
  <c r="B498"/>
  <c r="C498"/>
  <c r="E498"/>
  <c r="F498"/>
  <c r="A499"/>
  <c r="B499"/>
  <c r="C499"/>
  <c r="E499"/>
  <c r="F499"/>
  <c r="A500"/>
  <c r="B500"/>
  <c r="C500"/>
  <c r="E500"/>
  <c r="F500"/>
  <c r="A501"/>
  <c r="B501"/>
  <c r="C501"/>
  <c r="E501"/>
  <c r="F501"/>
  <c r="A502"/>
  <c r="B502"/>
  <c r="C502"/>
  <c r="E502"/>
  <c r="F502"/>
  <c r="A503"/>
  <c r="B503"/>
  <c r="C503"/>
  <c r="E503"/>
  <c r="F503"/>
  <c r="A504"/>
  <c r="B504"/>
  <c r="C504"/>
  <c r="E504"/>
  <c r="F504"/>
  <c r="A505"/>
  <c r="B505"/>
  <c r="C505"/>
  <c r="E505"/>
  <c r="F505"/>
  <c r="A506"/>
  <c r="B506"/>
  <c r="C506"/>
  <c r="E506"/>
  <c r="F506"/>
  <c r="A507"/>
  <c r="B507"/>
  <c r="C507"/>
  <c r="E507"/>
  <c r="F507"/>
  <c r="A508"/>
  <c r="B508"/>
  <c r="C508"/>
  <c r="E508"/>
  <c r="F508"/>
  <c r="A509"/>
  <c r="B509"/>
  <c r="C509"/>
  <c r="E509"/>
  <c r="F509"/>
  <c r="A510"/>
  <c r="B510"/>
  <c r="C510"/>
  <c r="E510"/>
  <c r="F510"/>
  <c r="A511"/>
  <c r="B511"/>
  <c r="C511"/>
  <c r="E511"/>
  <c r="F511"/>
  <c r="A512"/>
  <c r="B512"/>
  <c r="C512"/>
  <c r="E512"/>
  <c r="F512"/>
  <c r="A513"/>
  <c r="B513"/>
  <c r="C513"/>
  <c r="E513"/>
  <c r="F513"/>
  <c r="A514"/>
  <c r="B514"/>
  <c r="C514"/>
  <c r="E514"/>
  <c r="F514"/>
  <c r="A515"/>
  <c r="B515"/>
  <c r="C515"/>
  <c r="E515"/>
  <c r="F515"/>
  <c r="A516"/>
  <c r="B516"/>
  <c r="C516"/>
  <c r="E516"/>
  <c r="F516"/>
  <c r="A517"/>
  <c r="B517"/>
  <c r="C517"/>
  <c r="E517"/>
  <c r="F517"/>
  <c r="A518"/>
  <c r="B518"/>
  <c r="C518"/>
  <c r="E518"/>
  <c r="F518"/>
  <c r="A519"/>
  <c r="B519"/>
  <c r="C519"/>
  <c r="E519"/>
  <c r="F519"/>
  <c r="A520"/>
  <c r="B520"/>
  <c r="C520"/>
  <c r="E520"/>
  <c r="F520"/>
  <c r="A521"/>
  <c r="B521"/>
  <c r="C521"/>
  <c r="E521"/>
  <c r="F521"/>
  <c r="A522"/>
  <c r="B522"/>
  <c r="C522"/>
  <c r="E522"/>
  <c r="F522"/>
  <c r="A523"/>
  <c r="B523"/>
  <c r="C523"/>
  <c r="E523"/>
  <c r="F523"/>
  <c r="A524"/>
  <c r="B524"/>
  <c r="C524"/>
  <c r="E524"/>
  <c r="F524"/>
  <c r="A525"/>
  <c r="B525"/>
  <c r="C525"/>
  <c r="E525"/>
  <c r="F525"/>
  <c r="A526"/>
  <c r="B526"/>
  <c r="C526"/>
  <c r="E526"/>
  <c r="F526"/>
  <c r="A527"/>
  <c r="B527"/>
  <c r="C527"/>
  <c r="E527"/>
  <c r="F527"/>
  <c r="A528"/>
  <c r="B528"/>
  <c r="C528"/>
  <c r="E528"/>
  <c r="F528"/>
  <c r="A529"/>
  <c r="B529"/>
  <c r="C529"/>
  <c r="E529"/>
  <c r="F529"/>
  <c r="A530"/>
  <c r="B530"/>
  <c r="C530"/>
  <c r="E530"/>
  <c r="F530"/>
  <c r="A531"/>
  <c r="B531"/>
  <c r="C531"/>
  <c r="E531"/>
  <c r="F531"/>
  <c r="A532"/>
  <c r="B532"/>
  <c r="C532"/>
  <c r="E532"/>
  <c r="F532"/>
  <c r="A533"/>
  <c r="B533"/>
  <c r="C533"/>
  <c r="E533"/>
  <c r="F533"/>
  <c r="A534"/>
  <c r="B534"/>
  <c r="C534"/>
  <c r="E534"/>
  <c r="F534"/>
  <c r="A535"/>
  <c r="B535"/>
  <c r="C535"/>
  <c r="E535"/>
  <c r="F535"/>
  <c r="A536"/>
  <c r="B536"/>
  <c r="C536"/>
  <c r="E536"/>
  <c r="F536"/>
  <c r="A537"/>
  <c r="B537"/>
  <c r="C537"/>
  <c r="E537"/>
  <c r="F537"/>
  <c r="A538"/>
  <c r="B538"/>
  <c r="C538"/>
  <c r="E538"/>
  <c r="F538"/>
  <c r="A539"/>
  <c r="B539"/>
  <c r="C539"/>
  <c r="E539"/>
  <c r="F539"/>
  <c r="A540"/>
  <c r="B540"/>
  <c r="C540"/>
  <c r="E540"/>
  <c r="F540"/>
  <c r="A541"/>
  <c r="B541"/>
  <c r="C541"/>
  <c r="E541"/>
  <c r="F541"/>
  <c r="A542"/>
  <c r="B542"/>
  <c r="C542"/>
  <c r="E542"/>
  <c r="F542"/>
  <c r="A543"/>
  <c r="B543"/>
  <c r="C543"/>
  <c r="E543"/>
  <c r="F543"/>
  <c r="A544"/>
  <c r="B544"/>
  <c r="C544"/>
  <c r="E544"/>
  <c r="F544"/>
  <c r="A545"/>
  <c r="B545"/>
  <c r="C545"/>
  <c r="E545"/>
  <c r="F545"/>
  <c r="A546"/>
  <c r="B546"/>
  <c r="C546"/>
  <c r="E546"/>
  <c r="F546"/>
  <c r="A547"/>
  <c r="B547"/>
  <c r="C547"/>
  <c r="E547"/>
  <c r="F547"/>
  <c r="A548"/>
  <c r="B548"/>
  <c r="C548"/>
  <c r="E548"/>
  <c r="F548"/>
  <c r="C549"/>
  <c r="E549"/>
  <c r="F549"/>
  <c r="C550"/>
  <c r="E550"/>
  <c r="F550"/>
  <c r="A551"/>
  <c r="B551"/>
  <c r="C551"/>
  <c r="E551"/>
  <c r="F551"/>
  <c r="A552"/>
  <c r="B552"/>
  <c r="C552"/>
  <c r="E552"/>
  <c r="F552"/>
  <c r="A553"/>
  <c r="B553"/>
  <c r="C553"/>
  <c r="E553"/>
  <c r="F553"/>
  <c r="A554"/>
  <c r="B554"/>
  <c r="C554"/>
  <c r="E554"/>
  <c r="F554"/>
  <c r="C555"/>
  <c r="E555"/>
  <c r="F555"/>
  <c r="A556"/>
  <c r="B556"/>
  <c r="C556"/>
  <c r="E556"/>
  <c r="F556"/>
  <c r="A557"/>
  <c r="B557"/>
  <c r="C557"/>
  <c r="E557"/>
  <c r="F557"/>
  <c r="A558"/>
  <c r="B558"/>
  <c r="C558"/>
  <c r="E558"/>
  <c r="F558"/>
  <c r="A559"/>
  <c r="B559"/>
  <c r="C559"/>
  <c r="E559"/>
  <c r="F559"/>
  <c r="A560"/>
  <c r="B560"/>
  <c r="C560"/>
  <c r="E560"/>
  <c r="F560"/>
  <c r="A561"/>
  <c r="B561"/>
  <c r="C561"/>
  <c r="E561"/>
  <c r="F561"/>
  <c r="A562"/>
  <c r="B562"/>
  <c r="C562"/>
  <c r="E562"/>
  <c r="F562"/>
  <c r="A563"/>
  <c r="B563"/>
  <c r="C563"/>
  <c r="E563"/>
  <c r="F563"/>
  <c r="A564"/>
  <c r="B564"/>
  <c r="C564"/>
  <c r="E564"/>
  <c r="F564"/>
  <c r="A565"/>
  <c r="B565"/>
  <c r="C565"/>
  <c r="E565"/>
  <c r="F565"/>
  <c r="A566"/>
  <c r="B566"/>
  <c r="C566"/>
  <c r="E566"/>
  <c r="F566"/>
  <c r="A567"/>
  <c r="B567"/>
  <c r="C567"/>
  <c r="E567"/>
  <c r="F567"/>
  <c r="C568"/>
  <c r="E568"/>
  <c r="F568"/>
  <c r="A569"/>
  <c r="B569"/>
  <c r="C569"/>
  <c r="E569"/>
  <c r="F569"/>
  <c r="A570"/>
  <c r="B570"/>
  <c r="C570"/>
  <c r="E570"/>
  <c r="F570"/>
  <c r="C571"/>
  <c r="E571"/>
  <c r="F571"/>
  <c r="A572"/>
  <c r="B572"/>
  <c r="C572"/>
  <c r="E572"/>
  <c r="F572"/>
  <c r="A573"/>
  <c r="B573"/>
  <c r="C573"/>
  <c r="E573"/>
  <c r="F573"/>
  <c r="A574"/>
  <c r="B574"/>
  <c r="C574"/>
  <c r="E574"/>
  <c r="F574"/>
  <c r="C575"/>
  <c r="E575"/>
  <c r="F575"/>
  <c r="C576"/>
  <c r="E576"/>
  <c r="F576"/>
  <c r="A577"/>
  <c r="B577"/>
  <c r="C577"/>
  <c r="E577"/>
  <c r="F577"/>
  <c r="A578"/>
  <c r="B578"/>
  <c r="C578"/>
  <c r="E578"/>
  <c r="F578"/>
  <c r="C579"/>
  <c r="E579"/>
  <c r="F579"/>
  <c r="C580"/>
  <c r="E580"/>
  <c r="F580"/>
  <c r="C581"/>
  <c r="E581"/>
  <c r="F581"/>
  <c r="C582"/>
  <c r="E582"/>
  <c r="F582"/>
  <c r="C583"/>
  <c r="E583"/>
  <c r="F583"/>
  <c r="C584"/>
  <c r="E584"/>
  <c r="F584"/>
  <c r="C585"/>
  <c r="E585"/>
  <c r="F585"/>
  <c r="C586"/>
  <c r="E586"/>
  <c r="F586"/>
  <c r="C587"/>
  <c r="E587"/>
  <c r="F587"/>
  <c r="C588"/>
  <c r="E588"/>
  <c r="F588"/>
  <c r="C589"/>
  <c r="E589"/>
  <c r="F589"/>
  <c r="C590"/>
  <c r="E590"/>
  <c r="F590"/>
  <c r="C591"/>
  <c r="E591"/>
  <c r="F591"/>
  <c r="A592"/>
  <c r="B592"/>
  <c r="C592"/>
  <c r="E592"/>
  <c r="F592"/>
  <c r="C593"/>
  <c r="E593"/>
  <c r="F593"/>
  <c r="A594"/>
  <c r="B594"/>
  <c r="C594"/>
  <c r="E594"/>
  <c r="F594"/>
  <c r="C595"/>
  <c r="E595"/>
  <c r="F595"/>
  <c r="A596"/>
  <c r="B596"/>
  <c r="C596"/>
  <c r="E596"/>
  <c r="F596"/>
  <c r="A597"/>
  <c r="B597"/>
  <c r="C597"/>
  <c r="E597"/>
  <c r="F597"/>
  <c r="A598"/>
  <c r="B598"/>
  <c r="C598"/>
  <c r="E598"/>
  <c r="F598"/>
  <c r="A599"/>
  <c r="B599"/>
  <c r="C599"/>
  <c r="E599"/>
  <c r="F599"/>
  <c r="A600"/>
  <c r="B600"/>
  <c r="C600"/>
  <c r="E600"/>
  <c r="F600"/>
  <c r="A601"/>
  <c r="B601"/>
  <c r="C601"/>
  <c r="E601"/>
  <c r="F601"/>
  <c r="A602"/>
  <c r="B602"/>
  <c r="C602"/>
  <c r="E602"/>
  <c r="F602"/>
  <c r="A603"/>
  <c r="B603"/>
  <c r="C603"/>
  <c r="E603"/>
  <c r="F603"/>
  <c r="C604"/>
  <c r="E604"/>
  <c r="F604"/>
  <c r="A605"/>
  <c r="B605"/>
  <c r="C605"/>
  <c r="E605"/>
  <c r="F605"/>
  <c r="A606"/>
  <c r="B606"/>
  <c r="C606"/>
  <c r="E606"/>
  <c r="F606"/>
  <c r="A1" i="2"/>
  <c r="B1"/>
  <c r="C1"/>
  <c r="D1"/>
  <c r="E1"/>
  <c r="F1"/>
  <c r="G1"/>
  <c r="A2"/>
  <c r="B2"/>
  <c r="C2"/>
  <c r="D2"/>
  <c r="F2"/>
  <c r="G2"/>
  <c r="A4"/>
  <c r="B4"/>
  <c r="C4"/>
  <c r="D4"/>
  <c r="F4"/>
  <c r="G4"/>
  <c r="A5"/>
  <c r="B5"/>
  <c r="C5"/>
  <c r="D5"/>
  <c r="F5"/>
  <c r="G5"/>
  <c r="A6"/>
  <c r="B6"/>
  <c r="C6"/>
  <c r="D6"/>
  <c r="F6"/>
  <c r="G6"/>
  <c r="A7"/>
  <c r="B7"/>
  <c r="C7"/>
  <c r="D7"/>
  <c r="F7"/>
  <c r="G7"/>
  <c r="A8"/>
  <c r="B8"/>
  <c r="C8"/>
  <c r="D8"/>
  <c r="F8"/>
  <c r="G8"/>
  <c r="A9"/>
  <c r="B9"/>
  <c r="C9"/>
  <c r="D9"/>
  <c r="F9"/>
  <c r="G9"/>
  <c r="A10"/>
  <c r="B10"/>
  <c r="C10"/>
  <c r="D10"/>
  <c r="F10"/>
  <c r="G10"/>
  <c r="A12"/>
  <c r="B12"/>
  <c r="C12"/>
  <c r="D12"/>
  <c r="F12"/>
  <c r="G12"/>
  <c r="A14"/>
  <c r="B14"/>
  <c r="C14"/>
  <c r="D14"/>
  <c r="F14"/>
  <c r="G14"/>
  <c r="A15"/>
  <c r="B15"/>
  <c r="C15"/>
  <c r="D15"/>
  <c r="F15"/>
  <c r="G15"/>
  <c r="A16"/>
  <c r="B16"/>
  <c r="C16"/>
  <c r="D16"/>
  <c r="F16"/>
  <c r="G16"/>
  <c r="A17"/>
  <c r="B17"/>
  <c r="C17"/>
  <c r="D17"/>
  <c r="F17"/>
  <c r="G17"/>
  <c r="A18"/>
  <c r="B18"/>
  <c r="C18"/>
  <c r="D18"/>
  <c r="F18"/>
  <c r="G18"/>
  <c r="A19"/>
  <c r="B19"/>
  <c r="C19"/>
  <c r="D19"/>
  <c r="F19"/>
  <c r="G19"/>
  <c r="A20"/>
  <c r="B20"/>
  <c r="C20"/>
  <c r="D20"/>
  <c r="F20"/>
  <c r="G20"/>
  <c r="A21"/>
  <c r="B21"/>
  <c r="C21"/>
  <c r="D21"/>
  <c r="F21"/>
  <c r="G21"/>
  <c r="A22"/>
  <c r="B22"/>
  <c r="C22"/>
  <c r="D22"/>
  <c r="F22"/>
  <c r="G22"/>
  <c r="A23"/>
  <c r="B23"/>
  <c r="C23"/>
  <c r="D23"/>
  <c r="F23"/>
  <c r="G23"/>
  <c r="A24"/>
  <c r="B24"/>
  <c r="C24"/>
  <c r="D24"/>
  <c r="F24"/>
  <c r="G24"/>
  <c r="A25"/>
  <c r="B25"/>
  <c r="C25"/>
  <c r="D25"/>
  <c r="F25"/>
  <c r="G25"/>
  <c r="A26"/>
  <c r="B26"/>
  <c r="C26"/>
  <c r="D26"/>
  <c r="F26"/>
  <c r="G26"/>
  <c r="A27"/>
  <c r="B27"/>
  <c r="C27"/>
  <c r="D27"/>
  <c r="F27"/>
  <c r="G27"/>
  <c r="A28"/>
  <c r="B28"/>
  <c r="C28"/>
  <c r="D28"/>
  <c r="F28"/>
  <c r="G28"/>
  <c r="A29"/>
  <c r="B29"/>
  <c r="C29"/>
  <c r="D29"/>
  <c r="F29"/>
  <c r="G29"/>
  <c r="A30"/>
  <c r="B30"/>
  <c r="C30"/>
  <c r="D30"/>
  <c r="F30"/>
  <c r="G30"/>
  <c r="A31"/>
  <c r="B31"/>
  <c r="C31"/>
  <c r="D31"/>
  <c r="F31"/>
  <c r="G31"/>
  <c r="A32"/>
  <c r="B32"/>
  <c r="C32"/>
  <c r="D32"/>
  <c r="F32"/>
  <c r="G32"/>
  <c r="A33"/>
  <c r="B33"/>
  <c r="C33"/>
  <c r="D33"/>
  <c r="F33"/>
  <c r="G33"/>
  <c r="A34"/>
  <c r="B34"/>
  <c r="C34"/>
  <c r="D34"/>
  <c r="F34"/>
  <c r="G34"/>
  <c r="A35"/>
  <c r="B35"/>
  <c r="C35"/>
  <c r="D35"/>
  <c r="F35"/>
  <c r="G35"/>
  <c r="A36"/>
  <c r="B36"/>
  <c r="C36"/>
  <c r="D36"/>
  <c r="F36"/>
  <c r="G36"/>
  <c r="A37"/>
  <c r="B37"/>
  <c r="C37"/>
  <c r="D37"/>
  <c r="F37"/>
  <c r="G37"/>
  <c r="A38"/>
  <c r="B38"/>
  <c r="C38"/>
  <c r="D38"/>
  <c r="F38"/>
  <c r="G38"/>
  <c r="A39"/>
  <c r="B39"/>
  <c r="C39"/>
  <c r="D39"/>
  <c r="F39"/>
  <c r="G39"/>
  <c r="A40"/>
  <c r="B40"/>
  <c r="C40"/>
  <c r="D40"/>
  <c r="F40"/>
  <c r="G40"/>
  <c r="A41"/>
  <c r="B41"/>
  <c r="C41"/>
  <c r="D41"/>
  <c r="F41"/>
  <c r="G41"/>
  <c r="A42"/>
  <c r="B42"/>
  <c r="C42"/>
  <c r="D42"/>
  <c r="F42"/>
  <c r="G42"/>
  <c r="A43"/>
  <c r="B43"/>
  <c r="C43"/>
  <c r="D43"/>
  <c r="F43"/>
  <c r="G43"/>
  <c r="A44"/>
  <c r="B44"/>
  <c r="C44"/>
  <c r="D44"/>
  <c r="F44"/>
  <c r="G44"/>
  <c r="A45"/>
  <c r="B45"/>
  <c r="C45"/>
  <c r="D45"/>
  <c r="F45"/>
  <c r="G45"/>
  <c r="A46"/>
  <c r="B46"/>
  <c r="C46"/>
  <c r="D46"/>
  <c r="F46"/>
  <c r="G46"/>
  <c r="A47"/>
  <c r="B47"/>
  <c r="C47"/>
  <c r="D47"/>
  <c r="F47"/>
  <c r="G47"/>
  <c r="A48"/>
  <c r="B48"/>
  <c r="C48"/>
  <c r="D48"/>
  <c r="F48"/>
  <c r="G48"/>
  <c r="A49"/>
  <c r="B49"/>
  <c r="C49"/>
  <c r="D49"/>
  <c r="F49"/>
  <c r="G49"/>
  <c r="A50"/>
  <c r="B50"/>
  <c r="C50"/>
  <c r="D50"/>
  <c r="F50"/>
  <c r="G50"/>
  <c r="A51"/>
  <c r="B51"/>
  <c r="C51"/>
  <c r="D51"/>
  <c r="F51"/>
  <c r="G51"/>
  <c r="A52"/>
  <c r="B52"/>
  <c r="C52"/>
  <c r="D52"/>
  <c r="F52"/>
  <c r="G52"/>
  <c r="A53"/>
  <c r="B53"/>
  <c r="C53"/>
  <c r="D53"/>
  <c r="F53"/>
  <c r="G53"/>
  <c r="A54"/>
  <c r="B54"/>
  <c r="C54"/>
  <c r="D54"/>
  <c r="F54"/>
  <c r="G54"/>
  <c r="A55"/>
  <c r="B55"/>
  <c r="C55"/>
  <c r="D55"/>
  <c r="F55"/>
  <c r="G55"/>
  <c r="A56"/>
  <c r="B56"/>
  <c r="C56"/>
  <c r="D56"/>
  <c r="F56"/>
  <c r="G56"/>
  <c r="A57"/>
  <c r="B57"/>
  <c r="C57"/>
  <c r="D57"/>
  <c r="F57"/>
  <c r="G57"/>
  <c r="A58"/>
  <c r="B58"/>
  <c r="C58"/>
  <c r="D58"/>
  <c r="F58"/>
  <c r="G58"/>
  <c r="A59"/>
  <c r="B59"/>
  <c r="C59"/>
  <c r="D59"/>
  <c r="F59"/>
  <c r="G59"/>
  <c r="A60"/>
  <c r="B60"/>
  <c r="C60"/>
  <c r="D60"/>
  <c r="F60"/>
  <c r="G60"/>
  <c r="A61"/>
  <c r="B61"/>
  <c r="C61"/>
  <c r="D61"/>
  <c r="F61"/>
  <c r="G61"/>
  <c r="A62"/>
  <c r="B62"/>
  <c r="C62"/>
  <c r="D62"/>
  <c r="F62"/>
  <c r="G62"/>
  <c r="A63"/>
  <c r="B63"/>
  <c r="C63"/>
  <c r="D63"/>
  <c r="F63"/>
  <c r="G63"/>
  <c r="A64"/>
  <c r="B64"/>
  <c r="C64"/>
  <c r="D64"/>
  <c r="F64"/>
  <c r="G64"/>
  <c r="A65"/>
  <c r="B65"/>
  <c r="C65"/>
  <c r="D65"/>
  <c r="F65"/>
  <c r="G65"/>
  <c r="A66"/>
  <c r="B66"/>
  <c r="C66"/>
  <c r="D66"/>
  <c r="F66"/>
  <c r="G66"/>
  <c r="A67"/>
  <c r="B67"/>
  <c r="C67"/>
  <c r="D67"/>
  <c r="F67"/>
  <c r="G67"/>
  <c r="A68"/>
  <c r="B68"/>
  <c r="C68"/>
  <c r="D68"/>
  <c r="F68"/>
  <c r="G68"/>
  <c r="A69"/>
  <c r="B69"/>
  <c r="C69"/>
  <c r="D69"/>
  <c r="F69"/>
  <c r="G69"/>
  <c r="A70"/>
  <c r="B70"/>
  <c r="C70"/>
  <c r="D70"/>
  <c r="F70"/>
  <c r="G70"/>
  <c r="A71"/>
  <c r="B71"/>
  <c r="C71"/>
  <c r="D71"/>
  <c r="F71"/>
  <c r="G71"/>
  <c r="A72"/>
  <c r="B72"/>
  <c r="C72"/>
  <c r="D72"/>
  <c r="F72"/>
  <c r="G72"/>
  <c r="A73"/>
  <c r="B73"/>
  <c r="C73"/>
  <c r="D73"/>
  <c r="F73"/>
  <c r="G73"/>
  <c r="A74"/>
  <c r="B74"/>
  <c r="C74"/>
  <c r="D74"/>
  <c r="F74"/>
  <c r="G74"/>
  <c r="A76"/>
  <c r="B76"/>
  <c r="C76"/>
  <c r="D76"/>
  <c r="F76"/>
  <c r="G76"/>
  <c r="A77"/>
  <c r="B77"/>
  <c r="C77"/>
  <c r="D77"/>
  <c r="F77"/>
  <c r="G77"/>
  <c r="A79"/>
  <c r="B79"/>
  <c r="C79"/>
  <c r="D79"/>
  <c r="F79"/>
  <c r="G79"/>
  <c r="A80"/>
  <c r="B80"/>
  <c r="C80"/>
  <c r="D80"/>
  <c r="F80"/>
  <c r="G80"/>
  <c r="A81"/>
  <c r="B81"/>
  <c r="C81"/>
  <c r="D81"/>
  <c r="F81"/>
  <c r="G81"/>
  <c r="A82"/>
  <c r="B82"/>
  <c r="C82"/>
  <c r="D82"/>
  <c r="F82"/>
  <c r="G82"/>
  <c r="A83"/>
  <c r="B83"/>
  <c r="C83"/>
  <c r="D83"/>
  <c r="F83"/>
  <c r="G83"/>
  <c r="A84"/>
  <c r="B84"/>
  <c r="C84"/>
  <c r="D84"/>
  <c r="F84"/>
  <c r="G84"/>
  <c r="A85"/>
  <c r="B85"/>
  <c r="C85"/>
  <c r="D85"/>
  <c r="F85"/>
  <c r="G85"/>
  <c r="A86"/>
  <c r="B86"/>
  <c r="C86"/>
  <c r="D86"/>
  <c r="F86"/>
  <c r="G86"/>
  <c r="A87"/>
  <c r="B87"/>
  <c r="C87"/>
  <c r="D87"/>
  <c r="F87"/>
  <c r="G87"/>
  <c r="A88"/>
  <c r="B88"/>
  <c r="C88"/>
  <c r="D88"/>
  <c r="F88"/>
  <c r="G88"/>
  <c r="A89"/>
  <c r="B89"/>
  <c r="C89"/>
  <c r="D89"/>
  <c r="F89"/>
  <c r="G89"/>
  <c r="A90"/>
  <c r="B90"/>
  <c r="C90"/>
  <c r="D90"/>
  <c r="F90"/>
  <c r="G90"/>
  <c r="A91"/>
  <c r="B91"/>
  <c r="C91"/>
  <c r="D91"/>
  <c r="F91"/>
  <c r="G91"/>
  <c r="A92"/>
  <c r="B92"/>
  <c r="C92"/>
  <c r="D92"/>
  <c r="F92"/>
  <c r="G92"/>
  <c r="A93"/>
  <c r="B93"/>
  <c r="C93"/>
  <c r="D93"/>
  <c r="F93"/>
  <c r="G93"/>
  <c r="A94"/>
  <c r="B94"/>
  <c r="C94"/>
  <c r="D94"/>
  <c r="F94"/>
  <c r="G94"/>
  <c r="A95"/>
  <c r="B95"/>
  <c r="C95"/>
  <c r="D95"/>
  <c r="F95"/>
  <c r="G95"/>
  <c r="A96"/>
  <c r="B96"/>
  <c r="C96"/>
  <c r="D96"/>
  <c r="F96"/>
  <c r="G96"/>
  <c r="A97"/>
  <c r="B97"/>
  <c r="C97"/>
  <c r="D97"/>
  <c r="F97"/>
  <c r="G97"/>
  <c r="A98"/>
  <c r="B98"/>
  <c r="C98"/>
  <c r="D98"/>
  <c r="F98"/>
  <c r="G98"/>
  <c r="A99"/>
  <c r="B99"/>
  <c r="C99"/>
  <c r="D99"/>
  <c r="F99"/>
  <c r="G99"/>
  <c r="A100"/>
  <c r="B100"/>
  <c r="C100"/>
  <c r="D100"/>
  <c r="F100"/>
  <c r="G100"/>
  <c r="A101"/>
  <c r="B101"/>
  <c r="C101"/>
  <c r="D101"/>
  <c r="F101"/>
  <c r="G101"/>
  <c r="A102"/>
  <c r="B102"/>
  <c r="C102"/>
  <c r="D102"/>
  <c r="F102"/>
  <c r="G102"/>
  <c r="A104"/>
  <c r="B104"/>
  <c r="C104"/>
  <c r="D104"/>
  <c r="F104"/>
  <c r="G104"/>
  <c r="A105"/>
  <c r="B105"/>
  <c r="C105"/>
  <c r="D105"/>
  <c r="F105"/>
  <c r="G105"/>
  <c r="A106"/>
  <c r="B106"/>
  <c r="C106"/>
  <c r="D106"/>
  <c r="F106"/>
  <c r="G106"/>
  <c r="A107"/>
  <c r="B107"/>
  <c r="C107"/>
  <c r="D107"/>
  <c r="F107"/>
  <c r="G107"/>
  <c r="A108"/>
  <c r="B108"/>
  <c r="C108"/>
  <c r="D108"/>
  <c r="F108"/>
  <c r="G108"/>
  <c r="A110"/>
  <c r="B110"/>
  <c r="C110"/>
  <c r="D110"/>
  <c r="F110"/>
  <c r="G110"/>
  <c r="A111"/>
  <c r="B111"/>
  <c r="C111"/>
  <c r="D111"/>
  <c r="F111"/>
  <c r="G111"/>
  <c r="A112"/>
  <c r="B112"/>
  <c r="C112"/>
  <c r="D112"/>
  <c r="F112"/>
  <c r="G112"/>
  <c r="A113"/>
  <c r="B113"/>
  <c r="C113"/>
  <c r="D113"/>
  <c r="F113"/>
  <c r="G113"/>
  <c r="A114"/>
  <c r="B114"/>
  <c r="C114"/>
  <c r="D114"/>
  <c r="F114"/>
  <c r="G114"/>
  <c r="A115"/>
  <c r="B115"/>
  <c r="C115"/>
  <c r="D115"/>
  <c r="F115"/>
  <c r="G115"/>
  <c r="A116"/>
  <c r="B116"/>
  <c r="C116"/>
  <c r="D116"/>
  <c r="F116"/>
  <c r="G116"/>
  <c r="A117"/>
  <c r="B117"/>
  <c r="C117"/>
  <c r="D117"/>
  <c r="F117"/>
  <c r="G117"/>
  <c r="A118"/>
  <c r="B118"/>
  <c r="C118"/>
  <c r="D118"/>
  <c r="F118"/>
  <c r="G118"/>
  <c r="A119"/>
  <c r="B119"/>
  <c r="C119"/>
  <c r="D119"/>
  <c r="F119"/>
  <c r="G119"/>
  <c r="A120"/>
  <c r="B120"/>
  <c r="C120"/>
  <c r="D120"/>
  <c r="F120"/>
  <c r="G120"/>
  <c r="A121"/>
  <c r="B121"/>
  <c r="C121"/>
  <c r="D121"/>
  <c r="F121"/>
  <c r="G121"/>
  <c r="A122"/>
  <c r="B122"/>
  <c r="C122"/>
  <c r="D122"/>
  <c r="F122"/>
  <c r="G122"/>
  <c r="A123"/>
  <c r="B123"/>
  <c r="C123"/>
  <c r="D123"/>
  <c r="F123"/>
  <c r="G123"/>
  <c r="A124"/>
  <c r="B124"/>
  <c r="C124"/>
  <c r="D124"/>
  <c r="F124"/>
  <c r="G124"/>
  <c r="A125"/>
  <c r="B125"/>
  <c r="C125"/>
  <c r="D125"/>
  <c r="F125"/>
  <c r="G125"/>
  <c r="A126"/>
  <c r="B126"/>
  <c r="C126"/>
  <c r="D126"/>
  <c r="F126"/>
  <c r="G126"/>
  <c r="A127"/>
  <c r="B127"/>
  <c r="C127"/>
  <c r="D127"/>
  <c r="F127"/>
  <c r="G127"/>
  <c r="A128"/>
  <c r="B128"/>
  <c r="C128"/>
  <c r="D128"/>
  <c r="F128"/>
  <c r="G128"/>
  <c r="A129"/>
  <c r="B129"/>
  <c r="C129"/>
  <c r="D129"/>
  <c r="F129"/>
  <c r="G129"/>
  <c r="A130"/>
  <c r="B130"/>
  <c r="C130"/>
  <c r="D130"/>
  <c r="F130"/>
  <c r="G130"/>
  <c r="A131"/>
  <c r="B131"/>
  <c r="C131"/>
  <c r="D131"/>
  <c r="F131"/>
  <c r="G131"/>
  <c r="A132"/>
  <c r="B132"/>
  <c r="C132"/>
  <c r="D132"/>
  <c r="F132"/>
  <c r="G132"/>
  <c r="A133"/>
  <c r="B133"/>
  <c r="C133"/>
  <c r="D133"/>
  <c r="F133"/>
  <c r="G133"/>
  <c r="A134"/>
  <c r="B134"/>
  <c r="C134"/>
  <c r="D134"/>
  <c r="F134"/>
  <c r="G134"/>
  <c r="A135"/>
  <c r="B135"/>
  <c r="C135"/>
  <c r="D135"/>
  <c r="F135"/>
  <c r="G135"/>
  <c r="A136"/>
  <c r="B136"/>
  <c r="C136"/>
  <c r="D136"/>
  <c r="F136"/>
  <c r="G136"/>
  <c r="A137"/>
  <c r="B137"/>
  <c r="C137"/>
  <c r="D137"/>
  <c r="F137"/>
  <c r="G137"/>
  <c r="A138"/>
  <c r="B138"/>
  <c r="C138"/>
  <c r="D138"/>
  <c r="F138"/>
  <c r="G138"/>
  <c r="A139"/>
  <c r="B139"/>
  <c r="C139"/>
  <c r="D139"/>
  <c r="F139"/>
  <c r="G139"/>
  <c r="A140"/>
  <c r="B140"/>
  <c r="C140"/>
  <c r="D140"/>
  <c r="F140"/>
  <c r="G140"/>
  <c r="A141"/>
  <c r="B141"/>
  <c r="C141"/>
  <c r="D141"/>
  <c r="F141"/>
  <c r="G141"/>
  <c r="A142"/>
  <c r="B142"/>
  <c r="C142"/>
  <c r="D142"/>
  <c r="F142"/>
  <c r="G142"/>
  <c r="A143"/>
  <c r="B143"/>
  <c r="C143"/>
  <c r="D143"/>
  <c r="F143"/>
  <c r="G143"/>
  <c r="A144"/>
  <c r="B144"/>
  <c r="C144"/>
  <c r="D144"/>
  <c r="F144"/>
  <c r="G144"/>
  <c r="A145"/>
  <c r="B145"/>
  <c r="C145"/>
  <c r="D145"/>
  <c r="F145"/>
  <c r="G145"/>
  <c r="A146"/>
  <c r="B146"/>
  <c r="C146"/>
  <c r="D146"/>
  <c r="F146"/>
  <c r="G146"/>
  <c r="A147"/>
  <c r="B147"/>
  <c r="C147"/>
  <c r="D147"/>
  <c r="F147"/>
  <c r="G147"/>
  <c r="A148"/>
  <c r="B148"/>
  <c r="C148"/>
  <c r="D148"/>
  <c r="F148"/>
  <c r="G148"/>
  <c r="A149"/>
  <c r="B149"/>
  <c r="C149"/>
  <c r="D149"/>
  <c r="F149"/>
  <c r="G149"/>
  <c r="A150"/>
  <c r="B150"/>
  <c r="C150"/>
  <c r="D150"/>
  <c r="F150"/>
  <c r="G150"/>
  <c r="A151"/>
  <c r="B151"/>
  <c r="C151"/>
  <c r="D151"/>
  <c r="F151"/>
  <c r="G151"/>
  <c r="A152"/>
  <c r="B152"/>
  <c r="C152"/>
  <c r="D152"/>
  <c r="F152"/>
  <c r="G152"/>
  <c r="A153"/>
  <c r="B153"/>
  <c r="C153"/>
  <c r="D153"/>
  <c r="F153"/>
  <c r="G153"/>
  <c r="A154"/>
  <c r="B154"/>
  <c r="C154"/>
  <c r="D154"/>
  <c r="F154"/>
  <c r="G154"/>
  <c r="A155"/>
  <c r="B155"/>
  <c r="C155"/>
  <c r="D155"/>
  <c r="F155"/>
  <c r="G155"/>
  <c r="A156"/>
  <c r="B156"/>
  <c r="C156"/>
  <c r="D156"/>
  <c r="F156"/>
  <c r="G156"/>
  <c r="A157"/>
  <c r="B157"/>
  <c r="C157"/>
  <c r="D157"/>
  <c r="F157"/>
  <c r="G157"/>
  <c r="A159"/>
  <c r="B159"/>
  <c r="C159"/>
  <c r="D159"/>
  <c r="F159"/>
  <c r="G159"/>
  <c r="A1" i="1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C42"/>
  <c r="E42"/>
  <c r="F42"/>
  <c r="A43"/>
  <c r="B43"/>
  <c r="C43"/>
  <c r="E43"/>
  <c r="F43"/>
  <c r="C44"/>
  <c r="E44"/>
  <c r="F44"/>
  <c r="A45"/>
  <c r="B45"/>
  <c r="C45"/>
  <c r="E45"/>
  <c r="F45"/>
  <c r="A46"/>
  <c r="B46"/>
  <c r="C46"/>
  <c r="E46"/>
  <c r="F46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C51"/>
  <c r="E51"/>
  <c r="F51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C61"/>
  <c r="E61"/>
  <c r="F61"/>
  <c r="A62"/>
  <c r="B62"/>
  <c r="C62"/>
  <c r="E62"/>
  <c r="F62"/>
  <c r="C63"/>
  <c r="E63"/>
  <c r="F63"/>
  <c r="A64"/>
  <c r="B64"/>
  <c r="C64"/>
  <c r="E64"/>
  <c r="F64"/>
  <c r="A65"/>
  <c r="B65"/>
  <c r="C65"/>
  <c r="E65"/>
  <c r="F65"/>
  <c r="C66"/>
  <c r="E66"/>
  <c r="F66"/>
  <c r="A67"/>
  <c r="B67"/>
  <c r="C67"/>
  <c r="E67"/>
  <c r="F67"/>
  <c r="C68"/>
  <c r="E68"/>
  <c r="F68"/>
  <c r="C69"/>
  <c r="E69"/>
  <c r="F69"/>
  <c r="A70"/>
  <c r="B70"/>
  <c r="C70"/>
  <c r="E70"/>
  <c r="F70"/>
  <c r="A71"/>
  <c r="B71"/>
  <c r="C71"/>
  <c r="E71"/>
  <c r="F71"/>
  <c r="C72"/>
  <c r="E72"/>
  <c r="F72"/>
  <c r="A73"/>
  <c r="B73"/>
  <c r="C73"/>
  <c r="E73"/>
  <c r="F73"/>
  <c r="C74"/>
  <c r="E74"/>
  <c r="F74"/>
  <c r="C75"/>
  <c r="E75"/>
  <c r="F75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C93"/>
  <c r="E93"/>
  <c r="F93"/>
  <c r="A94"/>
  <c r="B94"/>
  <c r="C94"/>
  <c r="E94"/>
  <c r="F94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C103"/>
  <c r="E103"/>
  <c r="F103"/>
  <c r="A104"/>
  <c r="B104"/>
  <c r="C104"/>
  <c r="E104"/>
  <c r="F104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C123"/>
  <c r="E123"/>
  <c r="F123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C150"/>
  <c r="E150"/>
  <c r="F150"/>
  <c r="C151"/>
  <c r="E151"/>
  <c r="F151"/>
  <c r="C152"/>
  <c r="E152"/>
  <c r="F152"/>
  <c r="C153"/>
  <c r="E153"/>
  <c r="F153"/>
  <c r="C154"/>
  <c r="E154"/>
  <c r="F154"/>
  <c r="A155"/>
  <c r="B155"/>
  <c r="C155"/>
  <c r="E155"/>
  <c r="F155"/>
  <c r="C156"/>
  <c r="E156"/>
  <c r="F156"/>
  <c r="C157"/>
  <c r="E157"/>
  <c r="F157"/>
  <c r="C158"/>
  <c r="E158"/>
  <c r="F158"/>
  <c r="C159"/>
  <c r="E159"/>
  <c r="F159"/>
  <c r="C160"/>
  <c r="E160"/>
  <c r="F160"/>
  <c r="A161"/>
  <c r="B161"/>
  <c r="C161"/>
  <c r="E161"/>
  <c r="F161"/>
  <c r="C162"/>
  <c r="E162"/>
  <c r="F162"/>
  <c r="C163"/>
  <c r="E163"/>
  <c r="F163"/>
  <c r="C164"/>
  <c r="E164"/>
  <c r="F164"/>
  <c r="C165"/>
  <c r="E165"/>
  <c r="F165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C171"/>
  <c r="E171"/>
  <c r="F171"/>
  <c r="C172"/>
  <c r="E172"/>
  <c r="F172"/>
  <c r="C173"/>
  <c r="E173"/>
  <c r="F173"/>
  <c r="C174"/>
  <c r="E174"/>
  <c r="F174"/>
  <c r="C175"/>
  <c r="E175"/>
  <c r="F175"/>
  <c r="C176"/>
  <c r="E176"/>
  <c r="F176"/>
  <c r="C177"/>
  <c r="E177"/>
  <c r="F177"/>
  <c r="C178"/>
  <c r="E178"/>
  <c r="F178"/>
  <c r="C179"/>
  <c r="E179"/>
  <c r="F179"/>
  <c r="C180"/>
  <c r="E180"/>
  <c r="F180"/>
  <c r="C181"/>
  <c r="E181"/>
  <c r="F181"/>
  <c r="C182"/>
  <c r="E182"/>
  <c r="F182"/>
  <c r="C183"/>
  <c r="E183"/>
  <c r="F183"/>
  <c r="C184"/>
  <c r="E184"/>
  <c r="F184"/>
  <c r="C185"/>
  <c r="E185"/>
  <c r="F185"/>
  <c r="A186"/>
  <c r="B186"/>
  <c r="C186"/>
  <c r="E186"/>
  <c r="F186"/>
  <c r="C187"/>
  <c r="E187"/>
  <c r="F187"/>
  <c r="C188"/>
  <c r="E188"/>
  <c r="F188"/>
  <c r="C189"/>
  <c r="E189"/>
  <c r="F189"/>
  <c r="C190"/>
  <c r="E190"/>
  <c r="F190"/>
  <c r="C191"/>
  <c r="E191"/>
  <c r="F191"/>
  <c r="C192"/>
  <c r="E192"/>
  <c r="F192"/>
  <c r="C193"/>
  <c r="E193"/>
  <c r="F193"/>
  <c r="C194"/>
  <c r="E194"/>
  <c r="F194"/>
  <c r="C195"/>
  <c r="E195"/>
  <c r="F195"/>
  <c r="C196"/>
  <c r="E196"/>
  <c r="F196"/>
  <c r="C197"/>
  <c r="E197"/>
  <c r="F197"/>
  <c r="C198"/>
  <c r="E198"/>
  <c r="F198"/>
  <c r="C199"/>
  <c r="E199"/>
  <c r="F199"/>
  <c r="C200"/>
  <c r="E200"/>
  <c r="F200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C303"/>
  <c r="E303"/>
  <c r="F303"/>
  <c r="A304"/>
  <c r="B304"/>
  <c r="C304"/>
  <c r="E304"/>
  <c r="F304"/>
  <c r="C305"/>
  <c r="E305"/>
  <c r="F305"/>
  <c r="A306"/>
  <c r="B306"/>
  <c r="C306"/>
  <c r="E306"/>
  <c r="F306"/>
  <c r="A307"/>
  <c r="B307"/>
  <c r="C307"/>
  <c r="E307"/>
  <c r="F307"/>
  <c r="C308"/>
  <c r="E308"/>
  <c r="F308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C366"/>
  <c r="E366"/>
  <c r="F366"/>
  <c r="A367"/>
  <c r="B367"/>
  <c r="C367"/>
  <c r="E367"/>
  <c r="F367"/>
  <c r="A368"/>
  <c r="B368"/>
  <c r="C368"/>
  <c r="E368"/>
  <c r="F368"/>
  <c r="A1" i="10"/>
  <c r="B1"/>
  <c r="C1"/>
  <c r="D1"/>
  <c r="E1"/>
  <c r="F1"/>
  <c r="A2"/>
  <c r="B2"/>
  <c r="C2"/>
  <c r="E2"/>
  <c r="F2"/>
  <c r="A4"/>
  <c r="B4"/>
  <c r="C4"/>
  <c r="E4"/>
  <c r="F4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C15"/>
  <c r="E15"/>
  <c r="F15"/>
  <c r="C16"/>
  <c r="E16"/>
  <c r="F16"/>
  <c r="C17"/>
  <c r="E17"/>
  <c r="F17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C25"/>
  <c r="E25"/>
  <c r="F25"/>
  <c r="A26"/>
  <c r="B26"/>
  <c r="C26"/>
  <c r="E26"/>
  <c r="F26"/>
  <c r="C27"/>
  <c r="E27"/>
  <c r="F27"/>
  <c r="A28"/>
  <c r="B28"/>
  <c r="C28"/>
  <c r="E28"/>
  <c r="F28"/>
  <c r="C29"/>
  <c r="E29"/>
  <c r="F29"/>
  <c r="C30"/>
  <c r="E30"/>
  <c r="F30"/>
  <c r="C31"/>
  <c r="E31"/>
  <c r="F31"/>
  <c r="C32"/>
  <c r="E32"/>
  <c r="F32"/>
  <c r="C33"/>
  <c r="E33"/>
  <c r="F33"/>
  <c r="A34"/>
  <c r="B34"/>
  <c r="C34"/>
  <c r="E34"/>
  <c r="F34"/>
  <c r="C35"/>
  <c r="E35"/>
  <c r="F35"/>
  <c r="A36"/>
  <c r="B36"/>
  <c r="C36"/>
  <c r="E36"/>
  <c r="F36"/>
  <c r="C37"/>
  <c r="E37"/>
  <c r="F37"/>
  <c r="A38"/>
  <c r="B38"/>
  <c r="C38"/>
  <c r="E38"/>
  <c r="F38"/>
  <c r="A39"/>
  <c r="B39"/>
  <c r="C39"/>
  <c r="E39"/>
  <c r="F39"/>
  <c r="C40"/>
  <c r="E40"/>
  <c r="F40"/>
  <c r="C41"/>
  <c r="E41"/>
  <c r="F41"/>
  <c r="C42"/>
  <c r="E42"/>
  <c r="F42"/>
  <c r="C43"/>
  <c r="E43"/>
  <c r="F43"/>
  <c r="C44"/>
  <c r="E44"/>
  <c r="F44"/>
  <c r="C45"/>
  <c r="E45"/>
  <c r="F45"/>
  <c r="C46"/>
  <c r="E46"/>
  <c r="F46"/>
  <c r="C47"/>
  <c r="E47"/>
  <c r="F47"/>
  <c r="C48"/>
  <c r="E48"/>
  <c r="F48"/>
  <c r="C49"/>
  <c r="E49"/>
  <c r="F49"/>
  <c r="C50"/>
  <c r="E50"/>
  <c r="F50"/>
  <c r="A51"/>
  <c r="B51"/>
  <c r="C51"/>
  <c r="E51"/>
  <c r="F51"/>
  <c r="C52"/>
  <c r="E52"/>
  <c r="F52"/>
  <c r="C53"/>
  <c r="E53"/>
  <c r="F53"/>
  <c r="C54"/>
  <c r="E54"/>
  <c r="F54"/>
  <c r="C55"/>
  <c r="E55"/>
  <c r="F55"/>
  <c r="C56"/>
  <c r="E56"/>
  <c r="F56"/>
  <c r="C57"/>
  <c r="E57"/>
  <c r="F57"/>
  <c r="C58"/>
  <c r="E58"/>
  <c r="F58"/>
  <c r="C59"/>
  <c r="E59"/>
  <c r="F59"/>
  <c r="C60"/>
  <c r="E60"/>
  <c r="F60"/>
  <c r="C61"/>
  <c r="E61"/>
  <c r="F61"/>
  <c r="C62"/>
  <c r="E62"/>
  <c r="F62"/>
  <c r="A63"/>
  <c r="B63"/>
  <c r="C63"/>
  <c r="E63"/>
  <c r="F63"/>
  <c r="C64"/>
  <c r="E64"/>
  <c r="F64"/>
  <c r="C65"/>
  <c r="E65"/>
  <c r="F65"/>
  <c r="C66"/>
  <c r="E66"/>
  <c r="F66"/>
  <c r="C67"/>
  <c r="E67"/>
  <c r="F67"/>
  <c r="C68"/>
  <c r="E68"/>
  <c r="F68"/>
  <c r="C69"/>
  <c r="E69"/>
  <c r="F69"/>
  <c r="C70"/>
  <c r="E70"/>
  <c r="F70"/>
  <c r="C71"/>
  <c r="E71"/>
  <c r="F71"/>
  <c r="C72"/>
  <c r="E72"/>
  <c r="F72"/>
  <c r="C73"/>
  <c r="E73"/>
  <c r="F73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C85"/>
  <c r="E85"/>
  <c r="F85"/>
  <c r="A86"/>
  <c r="B86"/>
  <c r="C86"/>
  <c r="E86"/>
  <c r="F86"/>
  <c r="A87"/>
  <c r="B87"/>
  <c r="C87"/>
  <c r="E87"/>
  <c r="F87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C93"/>
  <c r="E93"/>
  <c r="F93"/>
  <c r="C94"/>
  <c r="E94"/>
  <c r="F94"/>
  <c r="C95"/>
  <c r="E95"/>
  <c r="F95"/>
  <c r="C96"/>
  <c r="E96"/>
  <c r="F96"/>
  <c r="C97"/>
  <c r="E97"/>
  <c r="F97"/>
  <c r="C98"/>
  <c r="E98"/>
  <c r="F98"/>
  <c r="C99"/>
  <c r="E99"/>
  <c r="F99"/>
  <c r="A100"/>
  <c r="B100"/>
  <c r="C100"/>
  <c r="E100"/>
  <c r="F100"/>
  <c r="C101"/>
  <c r="E101"/>
  <c r="F101"/>
  <c r="C102"/>
  <c r="E102"/>
  <c r="F102"/>
  <c r="C103"/>
  <c r="E103"/>
  <c r="F103"/>
  <c r="C104"/>
  <c r="E104"/>
  <c r="F104"/>
  <c r="C105"/>
  <c r="E105"/>
  <c r="F105"/>
  <c r="A106"/>
  <c r="B106"/>
  <c r="C106"/>
  <c r="E106"/>
  <c r="F106"/>
  <c r="C107"/>
  <c r="E107"/>
  <c r="F107"/>
  <c r="C108"/>
  <c r="E108"/>
  <c r="F108"/>
  <c r="C109"/>
  <c r="E109"/>
  <c r="F109"/>
  <c r="C110"/>
  <c r="E110"/>
  <c r="F110"/>
  <c r="C111"/>
  <c r="E111"/>
  <c r="F111"/>
  <c r="C112"/>
  <c r="E112"/>
  <c r="F112"/>
  <c r="A113"/>
  <c r="B113"/>
  <c r="C113"/>
  <c r="E113"/>
  <c r="F113"/>
  <c r="C114"/>
  <c r="E114"/>
  <c r="F114"/>
  <c r="C115"/>
  <c r="E115"/>
  <c r="F115"/>
  <c r="A116"/>
  <c r="B116"/>
  <c r="C116"/>
  <c r="E116"/>
  <c r="F116"/>
  <c r="A117"/>
  <c r="B117"/>
  <c r="C117"/>
  <c r="E117"/>
  <c r="F117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C144"/>
  <c r="E144"/>
  <c r="F144"/>
  <c r="C145"/>
  <c r="E145"/>
  <c r="F145"/>
  <c r="C146"/>
  <c r="E146"/>
  <c r="F146"/>
  <c r="C147"/>
  <c r="E147"/>
  <c r="F147"/>
  <c r="C148"/>
  <c r="E148"/>
  <c r="F148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C159"/>
  <c r="E159"/>
  <c r="F159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C172"/>
  <c r="E172"/>
  <c r="F172"/>
  <c r="A173"/>
  <c r="B173"/>
  <c r="C173"/>
  <c r="E173"/>
  <c r="F173"/>
  <c r="A174"/>
  <c r="B174"/>
  <c r="C174"/>
  <c r="E174"/>
  <c r="F174"/>
  <c r="C175"/>
  <c r="E175"/>
  <c r="F175"/>
  <c r="A176"/>
  <c r="B176"/>
  <c r="C176"/>
  <c r="E176"/>
  <c r="F176"/>
  <c r="C177"/>
  <c r="E177"/>
  <c r="F177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C184"/>
  <c r="E184"/>
  <c r="F184"/>
  <c r="C185"/>
  <c r="E185"/>
  <c r="F185"/>
  <c r="C186"/>
  <c r="E186"/>
  <c r="F186"/>
  <c r="C187"/>
  <c r="E187"/>
  <c r="F187"/>
  <c r="A188"/>
  <c r="B188"/>
  <c r="C188"/>
  <c r="E188"/>
  <c r="F188"/>
  <c r="C189"/>
  <c r="E189"/>
  <c r="F189"/>
  <c r="A190"/>
  <c r="B190"/>
  <c r="C190"/>
  <c r="E190"/>
  <c r="F190"/>
  <c r="C191"/>
  <c r="E191"/>
  <c r="F191"/>
  <c r="A192"/>
  <c r="B192"/>
  <c r="C192"/>
  <c r="E192"/>
  <c r="F192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C198"/>
  <c r="E198"/>
  <c r="F198"/>
  <c r="A199"/>
  <c r="B199"/>
  <c r="C199"/>
  <c r="E199"/>
  <c r="F199"/>
  <c r="A200"/>
  <c r="B200"/>
  <c r="C200"/>
  <c r="E200"/>
  <c r="F200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C205"/>
  <c r="E205"/>
  <c r="F205"/>
  <c r="A206"/>
  <c r="B206"/>
  <c r="C206"/>
  <c r="E206"/>
  <c r="F206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C223"/>
  <c r="E223"/>
  <c r="F223"/>
  <c r="A224"/>
  <c r="B224"/>
  <c r="C224"/>
  <c r="E224"/>
  <c r="F224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C229"/>
  <c r="E229"/>
  <c r="F229"/>
  <c r="C230"/>
  <c r="E230"/>
  <c r="F230"/>
  <c r="C231"/>
  <c r="E231"/>
  <c r="F231"/>
  <c r="C232"/>
  <c r="E232"/>
  <c r="F232"/>
  <c r="C233"/>
  <c r="E233"/>
  <c r="F233"/>
  <c r="C234"/>
  <c r="E234"/>
  <c r="F234"/>
  <c r="A235"/>
  <c r="B235"/>
  <c r="C235"/>
  <c r="E235"/>
  <c r="F235"/>
  <c r="C236"/>
  <c r="E236"/>
  <c r="F236"/>
  <c r="A1" i="8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C23"/>
  <c r="E23"/>
  <c r="F23"/>
  <c r="A24"/>
  <c r="B24"/>
  <c r="C24"/>
  <c r="E24"/>
  <c r="F24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C55"/>
  <c r="E55"/>
  <c r="F55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C67"/>
  <c r="E67"/>
  <c r="F67"/>
  <c r="A68"/>
  <c r="B68"/>
  <c r="C68"/>
  <c r="E68"/>
  <c r="F68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C117"/>
  <c r="E117"/>
  <c r="F117"/>
  <c r="A118"/>
  <c r="B118"/>
  <c r="C118"/>
  <c r="E118"/>
  <c r="F118"/>
  <c r="A119"/>
  <c r="B119"/>
  <c r="C119"/>
  <c r="E119"/>
  <c r="F119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C150"/>
  <c r="E150"/>
  <c r="F150"/>
  <c r="C151"/>
  <c r="E151"/>
  <c r="F151"/>
  <c r="A152"/>
  <c r="B152"/>
  <c r="C152"/>
  <c r="E152"/>
  <c r="F152"/>
  <c r="C153"/>
  <c r="E153"/>
  <c r="F153"/>
  <c r="C154"/>
  <c r="E154"/>
  <c r="F154"/>
  <c r="C155"/>
  <c r="E155"/>
  <c r="F155"/>
  <c r="C156"/>
  <c r="E156"/>
  <c r="F156"/>
  <c r="C157"/>
  <c r="E157"/>
  <c r="F157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C190"/>
  <c r="E190"/>
  <c r="F190"/>
  <c r="A191"/>
  <c r="B191"/>
  <c r="C191"/>
  <c r="E191"/>
  <c r="F191"/>
  <c r="A192"/>
  <c r="B192"/>
  <c r="C192"/>
  <c r="E192"/>
  <c r="F192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C211"/>
  <c r="E211"/>
  <c r="F211"/>
  <c r="C212"/>
  <c r="E212"/>
  <c r="F212"/>
  <c r="C213"/>
  <c r="E213"/>
  <c r="F213"/>
  <c r="C214"/>
  <c r="E214"/>
  <c r="F214"/>
  <c r="A215"/>
  <c r="B215"/>
  <c r="C215"/>
  <c r="E215"/>
  <c r="F215"/>
  <c r="C216"/>
  <c r="E216"/>
  <c r="F216"/>
  <c r="C217"/>
  <c r="E217"/>
  <c r="F217"/>
  <c r="C218"/>
  <c r="E218"/>
  <c r="F218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C289"/>
  <c r="E289"/>
  <c r="F289"/>
  <c r="A290"/>
  <c r="B290"/>
  <c r="C290"/>
  <c r="E290"/>
  <c r="F290"/>
  <c r="C291"/>
  <c r="E291"/>
  <c r="F291"/>
  <c r="C292"/>
  <c r="E292"/>
  <c r="F292"/>
  <c r="C293"/>
  <c r="E293"/>
  <c r="F293"/>
  <c r="A294"/>
  <c r="B294"/>
  <c r="C294"/>
  <c r="E294"/>
  <c r="F294"/>
  <c r="C295"/>
  <c r="E295"/>
  <c r="F295"/>
  <c r="C296"/>
  <c r="E296"/>
  <c r="F296"/>
  <c r="C297"/>
  <c r="E297"/>
  <c r="F297"/>
  <c r="C298"/>
  <c r="E298"/>
  <c r="F298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C305"/>
  <c r="E305"/>
  <c r="F305"/>
  <c r="A306"/>
  <c r="B306"/>
  <c r="C306"/>
  <c r="E306"/>
  <c r="F306"/>
  <c r="C307"/>
  <c r="E307"/>
  <c r="F307"/>
  <c r="A308"/>
  <c r="B308"/>
  <c r="C308"/>
  <c r="E308"/>
  <c r="F308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C332"/>
  <c r="E332"/>
  <c r="F332"/>
  <c r="A333"/>
  <c r="B333"/>
  <c r="C333"/>
  <c r="E333"/>
  <c r="F333"/>
  <c r="C334"/>
  <c r="E334"/>
  <c r="F334"/>
  <c r="A335"/>
  <c r="B335"/>
  <c r="C335"/>
  <c r="E335"/>
  <c r="F335"/>
  <c r="C336"/>
  <c r="E336"/>
  <c r="F336"/>
  <c r="A337"/>
  <c r="B337"/>
  <c r="C337"/>
  <c r="E337"/>
  <c r="F337"/>
  <c r="C338"/>
  <c r="E338"/>
  <c r="F338"/>
  <c r="A339"/>
  <c r="B339"/>
  <c r="C339"/>
  <c r="E339"/>
  <c r="F339"/>
  <c r="C340"/>
  <c r="E340"/>
  <c r="F340"/>
  <c r="A341"/>
  <c r="B341"/>
  <c r="C341"/>
  <c r="E341"/>
  <c r="F341"/>
  <c r="A342"/>
  <c r="B342"/>
  <c r="C342"/>
  <c r="E342"/>
  <c r="F342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C348"/>
  <c r="E348"/>
  <c r="F348"/>
  <c r="C349"/>
  <c r="E349"/>
  <c r="F349"/>
  <c r="C350"/>
  <c r="E350"/>
  <c r="F350"/>
  <c r="A351"/>
  <c r="B351"/>
  <c r="C351"/>
  <c r="E351"/>
  <c r="F351"/>
  <c r="A352"/>
  <c r="B352"/>
  <c r="C352"/>
  <c r="E352"/>
  <c r="F352"/>
  <c r="C353"/>
  <c r="E353"/>
  <c r="F353"/>
  <c r="C354"/>
  <c r="E354"/>
  <c r="F354"/>
  <c r="C355"/>
  <c r="E355"/>
  <c r="F355"/>
  <c r="C356"/>
  <c r="E356"/>
  <c r="F356"/>
  <c r="C357"/>
  <c r="E357"/>
  <c r="F357"/>
  <c r="C358"/>
  <c r="E358"/>
  <c r="F358"/>
  <c r="A359"/>
  <c r="B359"/>
  <c r="C359"/>
  <c r="E359"/>
  <c r="F359"/>
  <c r="C360"/>
  <c r="E360"/>
  <c r="F360"/>
  <c r="C361"/>
  <c r="E361"/>
  <c r="F361"/>
  <c r="C362"/>
  <c r="E362"/>
  <c r="F362"/>
  <c r="C363"/>
  <c r="E363"/>
  <c r="F363"/>
  <c r="A364"/>
  <c r="B364"/>
  <c r="C364"/>
  <c r="E364"/>
  <c r="F364"/>
  <c r="C365"/>
  <c r="E365"/>
  <c r="F365"/>
  <c r="C366"/>
  <c r="E366"/>
  <c r="F366"/>
  <c r="C367"/>
  <c r="E367"/>
  <c r="F367"/>
  <c r="C368"/>
  <c r="E368"/>
  <c r="F368"/>
  <c r="A369"/>
  <c r="B369"/>
  <c r="C369"/>
  <c r="E369"/>
  <c r="F369"/>
  <c r="C370"/>
  <c r="E370"/>
  <c r="F370"/>
  <c r="C371"/>
  <c r="E371"/>
  <c r="F371"/>
  <c r="C372"/>
  <c r="E372"/>
  <c r="F372"/>
  <c r="C373"/>
  <c r="E373"/>
  <c r="F373"/>
  <c r="A374"/>
  <c r="B374"/>
  <c r="C374"/>
  <c r="E374"/>
  <c r="F374"/>
  <c r="A375"/>
  <c r="B375"/>
  <c r="C375"/>
  <c r="E375"/>
  <c r="F375"/>
  <c r="A376"/>
  <c r="B376"/>
  <c r="C376"/>
  <c r="E376"/>
  <c r="F376"/>
  <c r="C377"/>
  <c r="E377"/>
  <c r="F377"/>
  <c r="A378"/>
  <c r="B378"/>
  <c r="C378"/>
  <c r="E378"/>
  <c r="F378"/>
  <c r="A379"/>
  <c r="B379"/>
  <c r="C379"/>
  <c r="E379"/>
  <c r="F379"/>
  <c r="A380"/>
  <c r="B380"/>
  <c r="C380"/>
  <c r="E380"/>
  <c r="F380"/>
  <c r="A381"/>
  <c r="B381"/>
  <c r="C381"/>
  <c r="E381"/>
  <c r="F381"/>
  <c r="A382"/>
  <c r="B382"/>
  <c r="C382"/>
  <c r="E382"/>
  <c r="F382"/>
  <c r="A383"/>
  <c r="B383"/>
  <c r="C383"/>
  <c r="E383"/>
  <c r="F383"/>
  <c r="A384"/>
  <c r="B384"/>
  <c r="C384"/>
  <c r="E384"/>
  <c r="F384"/>
  <c r="A1" i="9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C7"/>
  <c r="E7"/>
  <c r="F7"/>
  <c r="C8"/>
  <c r="E8"/>
  <c r="F8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C15"/>
  <c r="E15"/>
  <c r="F15"/>
  <c r="A16"/>
  <c r="B16"/>
  <c r="C16"/>
  <c r="E16"/>
  <c r="F16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C21"/>
  <c r="E21"/>
  <c r="F21"/>
  <c r="A22"/>
  <c r="B22"/>
  <c r="C22"/>
  <c r="E22"/>
  <c r="F22"/>
  <c r="C23"/>
  <c r="E23"/>
  <c r="F23"/>
  <c r="A24"/>
  <c r="B24"/>
  <c r="C24"/>
  <c r="E24"/>
  <c r="F24"/>
  <c r="C25"/>
  <c r="E25"/>
  <c r="F25"/>
  <c r="A26"/>
  <c r="B26"/>
  <c r="C26"/>
  <c r="E26"/>
  <c r="F26"/>
  <c r="C27"/>
  <c r="E27"/>
  <c r="F27"/>
  <c r="A28"/>
  <c r="B28"/>
  <c r="C28"/>
  <c r="E28"/>
  <c r="F28"/>
  <c r="C29"/>
  <c r="E29"/>
  <c r="F29"/>
  <c r="A30"/>
  <c r="B30"/>
  <c r="C30"/>
  <c r="E30"/>
  <c r="F30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C57"/>
  <c r="E57"/>
  <c r="F57"/>
  <c r="C58"/>
  <c r="E58"/>
  <c r="F58"/>
  <c r="C59"/>
  <c r="E59"/>
  <c r="F59"/>
  <c r="C60"/>
  <c r="E60"/>
  <c r="F60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C68"/>
  <c r="E68"/>
  <c r="F68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C78"/>
  <c r="E78"/>
  <c r="F78"/>
  <c r="A79"/>
  <c r="B79"/>
  <c r="C79"/>
  <c r="E79"/>
  <c r="F79"/>
  <c r="C80"/>
  <c r="E80"/>
  <c r="F80"/>
  <c r="A81"/>
  <c r="B81"/>
  <c r="C81"/>
  <c r="E81"/>
  <c r="F81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C89"/>
  <c r="E89"/>
  <c r="F89"/>
  <c r="A90"/>
  <c r="B90"/>
  <c r="C90"/>
  <c r="E90"/>
  <c r="F90"/>
  <c r="C91"/>
  <c r="E91"/>
  <c r="F91"/>
  <c r="C92"/>
  <c r="E92"/>
  <c r="F92"/>
  <c r="C93"/>
  <c r="E93"/>
  <c r="F93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C99"/>
  <c r="E99"/>
  <c r="F99"/>
  <c r="A100"/>
  <c r="B100"/>
  <c r="C100"/>
  <c r="E100"/>
  <c r="F100"/>
  <c r="C101"/>
  <c r="E101"/>
  <c r="F101"/>
  <c r="C102"/>
  <c r="E102"/>
  <c r="F102"/>
  <c r="C103"/>
  <c r="E103"/>
  <c r="F103"/>
  <c r="C104"/>
  <c r="E104"/>
  <c r="F104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C110"/>
  <c r="E110"/>
  <c r="F110"/>
  <c r="C111"/>
  <c r="E111"/>
  <c r="F111"/>
  <c r="A112"/>
  <c r="B112"/>
  <c r="C112"/>
  <c r="E112"/>
  <c r="F112"/>
  <c r="A113"/>
  <c r="B113"/>
  <c r="C113"/>
  <c r="E113"/>
  <c r="F113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C122"/>
  <c r="E122"/>
  <c r="F122"/>
  <c r="C123"/>
  <c r="E123"/>
  <c r="F123"/>
  <c r="C124"/>
  <c r="E124"/>
  <c r="F124"/>
  <c r="C125"/>
  <c r="E125"/>
  <c r="F125"/>
  <c r="C126"/>
  <c r="E126"/>
  <c r="F126"/>
  <c r="A127"/>
  <c r="B127"/>
  <c r="C127"/>
  <c r="E127"/>
  <c r="F127"/>
  <c r="C128"/>
  <c r="E128"/>
  <c r="F128"/>
  <c r="C129"/>
  <c r="E129"/>
  <c r="F129"/>
  <c r="C130"/>
  <c r="E130"/>
  <c r="F130"/>
  <c r="C131"/>
  <c r="E131"/>
  <c r="F131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C271"/>
  <c r="E271"/>
  <c r="F271"/>
  <c r="A272"/>
  <c r="B272"/>
  <c r="C272"/>
  <c r="E272"/>
  <c r="F272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C281"/>
  <c r="E281"/>
  <c r="F281"/>
  <c r="A282"/>
  <c r="B282"/>
  <c r="C282"/>
  <c r="E282"/>
  <c r="F282"/>
  <c r="A283"/>
  <c r="B283"/>
  <c r="C283"/>
  <c r="E283"/>
  <c r="F283"/>
  <c r="C284"/>
  <c r="E284"/>
  <c r="F284"/>
  <c r="C285"/>
  <c r="E285"/>
  <c r="F285"/>
  <c r="C286"/>
  <c r="E286"/>
  <c r="F286"/>
  <c r="A287"/>
  <c r="B287"/>
  <c r="C287"/>
  <c r="E287"/>
  <c r="F287"/>
  <c r="C288"/>
  <c r="E288"/>
  <c r="F288"/>
  <c r="C289"/>
  <c r="E289"/>
  <c r="F289"/>
  <c r="C290"/>
  <c r="E290"/>
  <c r="F290"/>
  <c r="C291"/>
  <c r="E291"/>
  <c r="F291"/>
  <c r="C292"/>
  <c r="E292"/>
  <c r="F292"/>
  <c r="A293"/>
  <c r="B293"/>
  <c r="C293"/>
  <c r="E293"/>
  <c r="F293"/>
  <c r="A294"/>
  <c r="B294"/>
  <c r="C294"/>
  <c r="E294"/>
  <c r="F294"/>
  <c r="C295"/>
  <c r="E295"/>
  <c r="F295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C307"/>
  <c r="E307"/>
  <c r="F307"/>
  <c r="C308"/>
  <c r="E308"/>
  <c r="F308"/>
  <c r="A309"/>
  <c r="B309"/>
  <c r="C309"/>
  <c r="E309"/>
  <c r="F309"/>
  <c r="C310"/>
  <c r="E310"/>
  <c r="F310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C321"/>
  <c r="E321"/>
  <c r="F321"/>
  <c r="C322"/>
  <c r="E322"/>
  <c r="F322"/>
  <c r="A323"/>
  <c r="B323"/>
  <c r="C323"/>
  <c r="E323"/>
  <c r="F323"/>
  <c r="C324"/>
  <c r="E324"/>
  <c r="F324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C339"/>
  <c r="E339"/>
  <c r="F339"/>
  <c r="C340"/>
  <c r="E340"/>
  <c r="F340"/>
  <c r="A341"/>
  <c r="B341"/>
  <c r="C341"/>
  <c r="E341"/>
  <c r="F341"/>
  <c r="C342"/>
  <c r="E342"/>
  <c r="F342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C353"/>
  <c r="E353"/>
  <c r="F353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A367"/>
  <c r="B367"/>
  <c r="C367"/>
  <c r="E367"/>
  <c r="F367"/>
  <c r="A368"/>
  <c r="B368"/>
  <c r="C368"/>
  <c r="E368"/>
  <c r="F368"/>
  <c r="A369"/>
  <c r="B369"/>
  <c r="C369"/>
  <c r="E369"/>
  <c r="F369"/>
  <c r="A370"/>
  <c r="B370"/>
  <c r="C370"/>
  <c r="E370"/>
  <c r="F370"/>
  <c r="A371"/>
  <c r="B371"/>
  <c r="C371"/>
  <c r="E371"/>
  <c r="F371"/>
  <c r="A372"/>
  <c r="B372"/>
  <c r="C372"/>
  <c r="E372"/>
  <c r="F372"/>
  <c r="A373"/>
  <c r="B373"/>
  <c r="C373"/>
  <c r="E373"/>
  <c r="F373"/>
  <c r="A374"/>
  <c r="B374"/>
  <c r="C374"/>
  <c r="E374"/>
  <c r="F374"/>
  <c r="A375"/>
  <c r="B375"/>
  <c r="C375"/>
  <c r="E375"/>
  <c r="F375"/>
  <c r="C376"/>
  <c r="E376"/>
  <c r="F376"/>
  <c r="A377"/>
  <c r="B377"/>
  <c r="C377"/>
  <c r="E377"/>
  <c r="F377"/>
  <c r="C378"/>
  <c r="E378"/>
  <c r="F378"/>
  <c r="A379"/>
  <c r="B379"/>
  <c r="C379"/>
  <c r="E379"/>
  <c r="F379"/>
  <c r="A380"/>
  <c r="B380"/>
  <c r="C380"/>
  <c r="E380"/>
  <c r="F380"/>
  <c r="A381"/>
  <c r="B381"/>
  <c r="C381"/>
  <c r="E381"/>
  <c r="F381"/>
  <c r="A382"/>
  <c r="B382"/>
  <c r="C382"/>
  <c r="E382"/>
  <c r="F382"/>
  <c r="C383"/>
  <c r="E383"/>
  <c r="F383"/>
  <c r="A384"/>
  <c r="B384"/>
  <c r="C384"/>
  <c r="E384"/>
  <c r="F384"/>
  <c r="C385"/>
  <c r="E385"/>
  <c r="F385"/>
  <c r="A386"/>
  <c r="B386"/>
  <c r="C386"/>
  <c r="E386"/>
  <c r="F386"/>
  <c r="C387"/>
  <c r="E387"/>
  <c r="F387"/>
  <c r="A388"/>
  <c r="B388"/>
  <c r="C388"/>
  <c r="E388"/>
  <c r="F388"/>
  <c r="C389"/>
  <c r="E389"/>
  <c r="F389"/>
  <c r="A390"/>
  <c r="B390"/>
  <c r="C390"/>
  <c r="E390"/>
  <c r="F390"/>
  <c r="A391"/>
  <c r="B391"/>
  <c r="C391"/>
  <c r="E391"/>
  <c r="F391"/>
  <c r="A392"/>
  <c r="B392"/>
  <c r="C392"/>
  <c r="E392"/>
  <c r="F392"/>
  <c r="A393"/>
  <c r="B393"/>
  <c r="C393"/>
  <c r="E393"/>
  <c r="F393"/>
  <c r="A394"/>
  <c r="B394"/>
  <c r="C394"/>
  <c r="E394"/>
  <c r="F394"/>
  <c r="C395"/>
  <c r="E395"/>
  <c r="F395"/>
  <c r="C396"/>
  <c r="E396"/>
  <c r="F396"/>
  <c r="A397"/>
  <c r="B397"/>
  <c r="C397"/>
  <c r="E397"/>
  <c r="F397"/>
  <c r="A398"/>
  <c r="B398"/>
  <c r="C398"/>
  <c r="E398"/>
  <c r="F398"/>
  <c r="A399"/>
  <c r="B399"/>
  <c r="C399"/>
  <c r="E399"/>
  <c r="F399"/>
  <c r="A400"/>
  <c r="B400"/>
  <c r="C400"/>
  <c r="E400"/>
  <c r="F400"/>
  <c r="A401"/>
  <c r="B401"/>
  <c r="C401"/>
  <c r="E401"/>
  <c r="F401"/>
  <c r="A402"/>
  <c r="B402"/>
  <c r="C402"/>
  <c r="E402"/>
  <c r="F402"/>
  <c r="A403"/>
  <c r="B403"/>
  <c r="C403"/>
  <c r="E403"/>
  <c r="F403"/>
  <c r="C404"/>
  <c r="E404"/>
  <c r="F404"/>
  <c r="A405"/>
  <c r="B405"/>
  <c r="C405"/>
  <c r="E405"/>
  <c r="F405"/>
  <c r="C406"/>
  <c r="E406"/>
  <c r="F406"/>
  <c r="A407"/>
  <c r="B407"/>
  <c r="C407"/>
  <c r="E407"/>
  <c r="F407"/>
  <c r="A408"/>
  <c r="B408"/>
  <c r="C408"/>
  <c r="E408"/>
  <c r="F408"/>
  <c r="A409"/>
  <c r="B409"/>
  <c r="C409"/>
  <c r="E409"/>
  <c r="F409"/>
  <c r="A410"/>
  <c r="B410"/>
  <c r="C410"/>
  <c r="E410"/>
  <c r="F410"/>
  <c r="A411"/>
  <c r="B411"/>
  <c r="C411"/>
  <c r="E411"/>
  <c r="F411"/>
  <c r="C412"/>
  <c r="E412"/>
  <c r="F412"/>
  <c r="C413"/>
  <c r="E413"/>
  <c r="F413"/>
  <c r="A414"/>
  <c r="B414"/>
  <c r="C414"/>
  <c r="E414"/>
  <c r="F414"/>
  <c r="A415"/>
  <c r="B415"/>
  <c r="C415"/>
  <c r="E415"/>
  <c r="F415"/>
  <c r="A416"/>
  <c r="B416"/>
  <c r="C416"/>
  <c r="E416"/>
  <c r="F416"/>
  <c r="A417"/>
  <c r="B417"/>
  <c r="C417"/>
  <c r="E417"/>
  <c r="F417"/>
  <c r="A418"/>
  <c r="B418"/>
  <c r="C418"/>
  <c r="E418"/>
  <c r="F418"/>
  <c r="A419"/>
  <c r="B419"/>
  <c r="C419"/>
  <c r="E419"/>
  <c r="F419"/>
  <c r="A420"/>
  <c r="B420"/>
  <c r="C420"/>
  <c r="E420"/>
  <c r="F420"/>
  <c r="A421"/>
  <c r="B421"/>
  <c r="C421"/>
  <c r="E421"/>
  <c r="F421"/>
  <c r="A422"/>
  <c r="B422"/>
  <c r="C422"/>
  <c r="E422"/>
  <c r="F422"/>
  <c r="A423"/>
  <c r="B423"/>
  <c r="C423"/>
  <c r="E423"/>
  <c r="F423"/>
  <c r="A424"/>
  <c r="B424"/>
  <c r="C424"/>
  <c r="E424"/>
  <c r="F424"/>
  <c r="A425"/>
  <c r="B425"/>
  <c r="C425"/>
  <c r="E425"/>
  <c r="F425"/>
  <c r="A426"/>
  <c r="B426"/>
  <c r="C426"/>
  <c r="E426"/>
  <c r="F426"/>
  <c r="A427"/>
  <c r="B427"/>
  <c r="C427"/>
  <c r="E427"/>
  <c r="F427"/>
  <c r="A428"/>
  <c r="B428"/>
  <c r="C428"/>
  <c r="E428"/>
  <c r="F428"/>
  <c r="A429"/>
  <c r="B429"/>
  <c r="C429"/>
  <c r="E429"/>
  <c r="F429"/>
  <c r="A430"/>
  <c r="B430"/>
  <c r="C430"/>
  <c r="E430"/>
  <c r="F430"/>
  <c r="A431"/>
  <c r="B431"/>
  <c r="C431"/>
  <c r="E431"/>
  <c r="F431"/>
  <c r="A432"/>
  <c r="B432"/>
  <c r="C432"/>
  <c r="E432"/>
  <c r="F432"/>
  <c r="A433"/>
  <c r="B433"/>
  <c r="C433"/>
  <c r="E433"/>
  <c r="F433"/>
  <c r="A434"/>
  <c r="B434"/>
  <c r="C434"/>
  <c r="E434"/>
  <c r="F434"/>
  <c r="A435"/>
  <c r="B435"/>
  <c r="C435"/>
  <c r="E435"/>
  <c r="F435"/>
  <c r="A436"/>
  <c r="B436"/>
  <c r="C436"/>
  <c r="E436"/>
  <c r="F436"/>
  <c r="A437"/>
  <c r="B437"/>
  <c r="C437"/>
  <c r="E437"/>
  <c r="F437"/>
  <c r="A438"/>
  <c r="B438"/>
  <c r="C438"/>
  <c r="E438"/>
  <c r="F438"/>
  <c r="A439"/>
  <c r="B439"/>
  <c r="C439"/>
  <c r="E439"/>
  <c r="F439"/>
  <c r="A440"/>
  <c r="B440"/>
  <c r="C440"/>
  <c r="E440"/>
  <c r="F440"/>
  <c r="A441"/>
  <c r="B441"/>
  <c r="C441"/>
  <c r="E441"/>
  <c r="F441"/>
  <c r="A442"/>
  <c r="B442"/>
  <c r="C442"/>
  <c r="E442"/>
  <c r="F442"/>
  <c r="A443"/>
  <c r="B443"/>
  <c r="C443"/>
  <c r="E443"/>
  <c r="F443"/>
  <c r="A444"/>
  <c r="B444"/>
  <c r="C444"/>
  <c r="E444"/>
  <c r="F444"/>
  <c r="A445"/>
  <c r="B445"/>
  <c r="C445"/>
  <c r="E445"/>
  <c r="F445"/>
  <c r="A446"/>
  <c r="B446"/>
  <c r="C446"/>
  <c r="E446"/>
  <c r="F446"/>
  <c r="A447"/>
  <c r="B447"/>
  <c r="C447"/>
  <c r="E447"/>
  <c r="F447"/>
  <c r="A448"/>
  <c r="B448"/>
  <c r="C448"/>
  <c r="E448"/>
  <c r="F448"/>
  <c r="A449"/>
  <c r="B449"/>
  <c r="C449"/>
  <c r="E449"/>
  <c r="F449"/>
  <c r="A450"/>
  <c r="B450"/>
  <c r="C450"/>
  <c r="E450"/>
  <c r="F450"/>
  <c r="A451"/>
  <c r="B451"/>
  <c r="C451"/>
  <c r="E451"/>
  <c r="F451"/>
  <c r="A452"/>
  <c r="B452"/>
  <c r="C452"/>
  <c r="E452"/>
  <c r="F452"/>
  <c r="A453"/>
  <c r="B453"/>
  <c r="C453"/>
  <c r="E453"/>
  <c r="F453"/>
  <c r="A454"/>
  <c r="B454"/>
  <c r="C454"/>
  <c r="E454"/>
  <c r="F454"/>
  <c r="A455"/>
  <c r="B455"/>
  <c r="C455"/>
  <c r="E455"/>
  <c r="F455"/>
  <c r="A456"/>
  <c r="B456"/>
  <c r="C456"/>
  <c r="E456"/>
  <c r="F456"/>
  <c r="A457"/>
  <c r="B457"/>
  <c r="C457"/>
  <c r="E457"/>
  <c r="F457"/>
  <c r="A458"/>
  <c r="B458"/>
  <c r="C458"/>
  <c r="E458"/>
  <c r="F458"/>
  <c r="A459"/>
  <c r="B459"/>
  <c r="C459"/>
  <c r="E459"/>
  <c r="F459"/>
  <c r="A460"/>
  <c r="B460"/>
  <c r="C460"/>
  <c r="E460"/>
  <c r="F460"/>
  <c r="A461"/>
  <c r="B461"/>
  <c r="C461"/>
  <c r="E461"/>
  <c r="F461"/>
  <c r="A462"/>
  <c r="B462"/>
  <c r="C462"/>
  <c r="E462"/>
  <c r="F462"/>
  <c r="A463"/>
  <c r="B463"/>
  <c r="C463"/>
  <c r="E463"/>
  <c r="F463"/>
  <c r="A464"/>
  <c r="B464"/>
  <c r="C464"/>
  <c r="E464"/>
  <c r="F464"/>
  <c r="A465"/>
  <c r="B465"/>
  <c r="C465"/>
  <c r="E465"/>
  <c r="F465"/>
  <c r="A466"/>
  <c r="B466"/>
  <c r="C466"/>
  <c r="E466"/>
  <c r="F466"/>
  <c r="A467"/>
  <c r="B467"/>
  <c r="C467"/>
  <c r="E467"/>
  <c r="F467"/>
  <c r="A468"/>
  <c r="B468"/>
  <c r="C468"/>
  <c r="E468"/>
  <c r="F468"/>
  <c r="A469"/>
  <c r="B469"/>
  <c r="C469"/>
  <c r="E469"/>
  <c r="F469"/>
  <c r="A470"/>
  <c r="B470"/>
  <c r="C470"/>
  <c r="E470"/>
  <c r="F470"/>
  <c r="A471"/>
  <c r="B471"/>
  <c r="C471"/>
  <c r="E471"/>
  <c r="F471"/>
  <c r="A472"/>
  <c r="B472"/>
  <c r="C472"/>
  <c r="E472"/>
  <c r="F472"/>
  <c r="A473"/>
  <c r="B473"/>
  <c r="C473"/>
  <c r="E473"/>
  <c r="F473"/>
  <c r="A474"/>
  <c r="B474"/>
  <c r="C474"/>
  <c r="E474"/>
  <c r="F474"/>
  <c r="A475"/>
  <c r="B475"/>
  <c r="C475"/>
  <c r="E475"/>
  <c r="F475"/>
  <c r="A476"/>
  <c r="B476"/>
  <c r="C476"/>
  <c r="E476"/>
  <c r="F476"/>
  <c r="A477"/>
  <c r="B477"/>
  <c r="C477"/>
  <c r="E477"/>
  <c r="F477"/>
  <c r="A478"/>
  <c r="B478"/>
  <c r="C478"/>
  <c r="E478"/>
  <c r="F478"/>
  <c r="A479"/>
  <c r="B479"/>
  <c r="C479"/>
  <c r="E479"/>
  <c r="F479"/>
  <c r="A480"/>
  <c r="B480"/>
  <c r="C480"/>
  <c r="E480"/>
  <c r="F480"/>
  <c r="A481"/>
  <c r="B481"/>
  <c r="C481"/>
  <c r="E481"/>
  <c r="F481"/>
  <c r="A482"/>
  <c r="B482"/>
  <c r="C482"/>
  <c r="E482"/>
  <c r="F482"/>
  <c r="A483"/>
  <c r="B483"/>
  <c r="C483"/>
  <c r="E483"/>
  <c r="F483"/>
  <c r="A484"/>
  <c r="B484"/>
  <c r="C484"/>
  <c r="E484"/>
  <c r="F484"/>
  <c r="A485"/>
  <c r="B485"/>
  <c r="C485"/>
  <c r="E485"/>
  <c r="F485"/>
  <c r="A486"/>
  <c r="B486"/>
  <c r="C486"/>
  <c r="E486"/>
  <c r="F486"/>
  <c r="A487"/>
  <c r="B487"/>
  <c r="C487"/>
  <c r="E487"/>
  <c r="F487"/>
  <c r="A488"/>
  <c r="B488"/>
  <c r="C488"/>
  <c r="E488"/>
  <c r="F488"/>
  <c r="A489"/>
  <c r="B489"/>
  <c r="C489"/>
  <c r="E489"/>
  <c r="F489"/>
  <c r="A490"/>
  <c r="B490"/>
  <c r="C490"/>
  <c r="E490"/>
  <c r="F490"/>
  <c r="A491"/>
  <c r="B491"/>
  <c r="C491"/>
  <c r="E491"/>
  <c r="F491"/>
  <c r="A492"/>
  <c r="B492"/>
  <c r="C492"/>
  <c r="E492"/>
  <c r="F492"/>
  <c r="A493"/>
  <c r="B493"/>
  <c r="C493"/>
  <c r="E493"/>
  <c r="F493"/>
  <c r="A494"/>
  <c r="B494"/>
  <c r="C494"/>
  <c r="E494"/>
  <c r="F494"/>
  <c r="A495"/>
  <c r="B495"/>
  <c r="C495"/>
  <c r="E495"/>
  <c r="F495"/>
  <c r="A496"/>
  <c r="B496"/>
  <c r="C496"/>
  <c r="E496"/>
  <c r="F496"/>
  <c r="A497"/>
  <c r="B497"/>
  <c r="C497"/>
  <c r="E497"/>
  <c r="F497"/>
  <c r="A498"/>
  <c r="B498"/>
  <c r="C498"/>
  <c r="E498"/>
  <c r="F498"/>
  <c r="A499"/>
  <c r="B499"/>
  <c r="C499"/>
  <c r="E499"/>
  <c r="F499"/>
  <c r="A500"/>
  <c r="B500"/>
  <c r="C500"/>
  <c r="E500"/>
  <c r="F500"/>
  <c r="A501"/>
  <c r="B501"/>
  <c r="C501"/>
  <c r="E501"/>
  <c r="F501"/>
  <c r="A502"/>
  <c r="B502"/>
  <c r="C502"/>
  <c r="E502"/>
  <c r="F502"/>
  <c r="A503"/>
  <c r="B503"/>
  <c r="C503"/>
  <c r="E503"/>
  <c r="F503"/>
  <c r="A504"/>
  <c r="B504"/>
  <c r="C504"/>
  <c r="E504"/>
  <c r="F504"/>
  <c r="A505"/>
  <c r="B505"/>
  <c r="C505"/>
  <c r="E505"/>
  <c r="F505"/>
  <c r="A506"/>
  <c r="B506"/>
  <c r="C506"/>
  <c r="E506"/>
  <c r="F506"/>
  <c r="A507"/>
  <c r="B507"/>
  <c r="C507"/>
  <c r="E507"/>
  <c r="F507"/>
  <c r="A508"/>
  <c r="B508"/>
  <c r="C508"/>
  <c r="E508"/>
  <c r="F508"/>
  <c r="A509"/>
  <c r="B509"/>
  <c r="C509"/>
  <c r="E509"/>
  <c r="F509"/>
  <c r="A510"/>
  <c r="B510"/>
  <c r="C510"/>
  <c r="E510"/>
  <c r="F510"/>
  <c r="A511"/>
  <c r="B511"/>
  <c r="C511"/>
  <c r="E511"/>
  <c r="F511"/>
  <c r="A512"/>
  <c r="B512"/>
  <c r="C512"/>
  <c r="E512"/>
  <c r="F512"/>
  <c r="A513"/>
  <c r="B513"/>
  <c r="C513"/>
  <c r="E513"/>
  <c r="F513"/>
  <c r="A514"/>
  <c r="B514"/>
  <c r="C514"/>
  <c r="E514"/>
  <c r="F514"/>
  <c r="A515"/>
  <c r="B515"/>
  <c r="C515"/>
  <c r="E515"/>
  <c r="F515"/>
  <c r="A516"/>
  <c r="B516"/>
  <c r="C516"/>
  <c r="E516"/>
  <c r="F516"/>
  <c r="A517"/>
  <c r="B517"/>
  <c r="C517"/>
  <c r="E517"/>
  <c r="F517"/>
  <c r="A518"/>
  <c r="B518"/>
  <c r="C518"/>
  <c r="E518"/>
  <c r="F518"/>
  <c r="A519"/>
  <c r="B519"/>
  <c r="C519"/>
  <c r="E519"/>
  <c r="F519"/>
  <c r="A520"/>
  <c r="B520"/>
  <c r="C520"/>
  <c r="E520"/>
  <c r="F520"/>
  <c r="A521"/>
  <c r="B521"/>
  <c r="C521"/>
  <c r="E521"/>
  <c r="F521"/>
  <c r="A522"/>
  <c r="B522"/>
  <c r="C522"/>
  <c r="E522"/>
  <c r="F522"/>
  <c r="A523"/>
  <c r="B523"/>
  <c r="C523"/>
  <c r="E523"/>
  <c r="F523"/>
  <c r="A524"/>
  <c r="B524"/>
  <c r="C524"/>
  <c r="E524"/>
  <c r="F524"/>
  <c r="A525"/>
  <c r="B525"/>
  <c r="C525"/>
  <c r="E525"/>
  <c r="F525"/>
  <c r="A526"/>
  <c r="B526"/>
  <c r="C526"/>
  <c r="E526"/>
  <c r="F526"/>
  <c r="A527"/>
  <c r="B527"/>
  <c r="C527"/>
  <c r="E527"/>
  <c r="F527"/>
  <c r="A528"/>
  <c r="B528"/>
  <c r="C528"/>
  <c r="E528"/>
  <c r="F528"/>
  <c r="A529"/>
  <c r="B529"/>
  <c r="C529"/>
  <c r="E529"/>
  <c r="F529"/>
  <c r="A530"/>
  <c r="B530"/>
  <c r="C530"/>
  <c r="E530"/>
  <c r="F530"/>
  <c r="A531"/>
  <c r="B531"/>
  <c r="C531"/>
  <c r="E531"/>
  <c r="F531"/>
  <c r="A532"/>
  <c r="B532"/>
  <c r="C532"/>
  <c r="E532"/>
  <c r="F532"/>
  <c r="A533"/>
  <c r="B533"/>
  <c r="C533"/>
  <c r="E533"/>
  <c r="F533"/>
  <c r="A534"/>
  <c r="B534"/>
  <c r="C534"/>
  <c r="E534"/>
  <c r="F534"/>
  <c r="A535"/>
  <c r="B535"/>
  <c r="C535"/>
  <c r="E535"/>
  <c r="F535"/>
  <c r="A536"/>
  <c r="B536"/>
  <c r="C536"/>
  <c r="E536"/>
  <c r="F536"/>
  <c r="A537"/>
  <c r="B537"/>
  <c r="C537"/>
  <c r="E537"/>
  <c r="F537"/>
  <c r="A538"/>
  <c r="B538"/>
  <c r="C538"/>
  <c r="E538"/>
  <c r="F538"/>
  <c r="A539"/>
  <c r="B539"/>
  <c r="C539"/>
  <c r="E539"/>
  <c r="F539"/>
  <c r="A540"/>
  <c r="B540"/>
  <c r="C540"/>
  <c r="E540"/>
  <c r="F540"/>
  <c r="A541"/>
  <c r="B541"/>
  <c r="C541"/>
  <c r="E541"/>
  <c r="F541"/>
  <c r="A542"/>
  <c r="B542"/>
  <c r="C542"/>
  <c r="E542"/>
  <c r="F542"/>
  <c r="A543"/>
  <c r="B543"/>
  <c r="C543"/>
  <c r="E543"/>
  <c r="F543"/>
  <c r="A544"/>
  <c r="B544"/>
  <c r="C544"/>
  <c r="E544"/>
  <c r="F544"/>
  <c r="A545"/>
  <c r="B545"/>
  <c r="C545"/>
  <c r="E545"/>
  <c r="F545"/>
  <c r="A546"/>
  <c r="B546"/>
  <c r="C546"/>
  <c r="E546"/>
  <c r="F546"/>
  <c r="A547"/>
  <c r="B547"/>
  <c r="C547"/>
  <c r="E547"/>
  <c r="F547"/>
  <c r="A548"/>
  <c r="B548"/>
  <c r="C548"/>
  <c r="E548"/>
  <c r="F548"/>
  <c r="A549"/>
  <c r="B549"/>
  <c r="C549"/>
  <c r="E549"/>
  <c r="F549"/>
  <c r="A550"/>
  <c r="B550"/>
  <c r="C550"/>
  <c r="E550"/>
  <c r="F550"/>
  <c r="A551"/>
  <c r="B551"/>
  <c r="C551"/>
  <c r="E551"/>
  <c r="F551"/>
  <c r="A552"/>
  <c r="B552"/>
  <c r="C552"/>
  <c r="E552"/>
  <c r="F552"/>
  <c r="A553"/>
  <c r="B553"/>
  <c r="C553"/>
  <c r="E553"/>
  <c r="F553"/>
  <c r="A554"/>
  <c r="B554"/>
  <c r="C554"/>
  <c r="E554"/>
  <c r="F554"/>
  <c r="A555"/>
  <c r="B555"/>
  <c r="C555"/>
  <c r="E555"/>
  <c r="F555"/>
  <c r="A556"/>
  <c r="B556"/>
  <c r="C556"/>
  <c r="E556"/>
  <c r="F556"/>
  <c r="A557"/>
  <c r="B557"/>
  <c r="C557"/>
  <c r="E557"/>
  <c r="F557"/>
  <c r="A558"/>
  <c r="B558"/>
  <c r="C558"/>
  <c r="E558"/>
  <c r="F558"/>
  <c r="A559"/>
  <c r="B559"/>
  <c r="C559"/>
  <c r="E559"/>
  <c r="F559"/>
  <c r="A560"/>
  <c r="B560"/>
  <c r="C560"/>
  <c r="E560"/>
  <c r="F560"/>
  <c r="A561"/>
  <c r="B561"/>
  <c r="C561"/>
  <c r="E561"/>
  <c r="F561"/>
  <c r="A562"/>
  <c r="B562"/>
  <c r="C562"/>
  <c r="E562"/>
  <c r="F562"/>
  <c r="A563"/>
  <c r="B563"/>
  <c r="C563"/>
  <c r="E563"/>
  <c r="F563"/>
  <c r="A564"/>
  <c r="B564"/>
  <c r="C564"/>
  <c r="E564"/>
  <c r="F564"/>
  <c r="A565"/>
  <c r="B565"/>
  <c r="C565"/>
  <c r="E565"/>
  <c r="F565"/>
  <c r="A566"/>
  <c r="B566"/>
  <c r="C566"/>
  <c r="E566"/>
  <c r="F566"/>
  <c r="A567"/>
  <c r="B567"/>
  <c r="C567"/>
  <c r="E567"/>
  <c r="F567"/>
  <c r="A568"/>
  <c r="B568"/>
  <c r="C568"/>
  <c r="E568"/>
  <c r="F568"/>
  <c r="A569"/>
  <c r="B569"/>
  <c r="C569"/>
  <c r="E569"/>
  <c r="F569"/>
  <c r="A570"/>
  <c r="B570"/>
  <c r="C570"/>
  <c r="E570"/>
  <c r="F570"/>
  <c r="A571"/>
  <c r="B571"/>
  <c r="C571"/>
  <c r="E571"/>
  <c r="F571"/>
  <c r="A572"/>
  <c r="B572"/>
  <c r="C572"/>
  <c r="E572"/>
  <c r="F572"/>
  <c r="A573"/>
  <c r="B573"/>
  <c r="C573"/>
  <c r="E573"/>
  <c r="F573"/>
  <c r="A574"/>
  <c r="B574"/>
  <c r="C574"/>
  <c r="E574"/>
  <c r="F574"/>
  <c r="A575"/>
  <c r="B575"/>
  <c r="C575"/>
  <c r="E575"/>
  <c r="F575"/>
  <c r="A576"/>
  <c r="B576"/>
  <c r="C576"/>
  <c r="E576"/>
  <c r="F576"/>
  <c r="A577"/>
  <c r="B577"/>
  <c r="C577"/>
  <c r="E577"/>
  <c r="F577"/>
  <c r="A578"/>
  <c r="B578"/>
  <c r="C578"/>
  <c r="E578"/>
  <c r="F578"/>
  <c r="A579"/>
  <c r="B579"/>
  <c r="C579"/>
  <c r="E579"/>
  <c r="F579"/>
  <c r="A580"/>
  <c r="B580"/>
  <c r="C580"/>
  <c r="E580"/>
  <c r="F580"/>
  <c r="A581"/>
  <c r="B581"/>
  <c r="C581"/>
  <c r="E581"/>
  <c r="F581"/>
  <c r="A582"/>
  <c r="B582"/>
  <c r="C582"/>
  <c r="E582"/>
  <c r="F582"/>
  <c r="A583"/>
  <c r="B583"/>
  <c r="C583"/>
  <c r="E583"/>
  <c r="F583"/>
  <c r="A584"/>
  <c r="B584"/>
  <c r="C584"/>
  <c r="E584"/>
  <c r="F584"/>
  <c r="A585"/>
  <c r="B585"/>
  <c r="C585"/>
  <c r="E585"/>
  <c r="F585"/>
  <c r="A586"/>
  <c r="B586"/>
  <c r="C586"/>
  <c r="E586"/>
  <c r="F586"/>
  <c r="A587"/>
  <c r="B587"/>
  <c r="C587"/>
  <c r="E587"/>
  <c r="F587"/>
  <c r="A588"/>
  <c r="B588"/>
  <c r="C588"/>
  <c r="E588"/>
  <c r="F588"/>
  <c r="A589"/>
  <c r="B589"/>
  <c r="C589"/>
  <c r="E589"/>
  <c r="F589"/>
  <c r="A590"/>
  <c r="B590"/>
  <c r="C590"/>
  <c r="E590"/>
  <c r="F590"/>
  <c r="A591"/>
  <c r="B591"/>
  <c r="C591"/>
  <c r="E591"/>
  <c r="F591"/>
  <c r="A592"/>
  <c r="B592"/>
  <c r="C592"/>
  <c r="E592"/>
  <c r="F592"/>
  <c r="A593"/>
  <c r="B593"/>
  <c r="C593"/>
  <c r="E593"/>
  <c r="F593"/>
  <c r="A594"/>
  <c r="B594"/>
  <c r="C594"/>
  <c r="E594"/>
  <c r="F594"/>
  <c r="A595"/>
  <c r="B595"/>
  <c r="C595"/>
  <c r="E595"/>
  <c r="F595"/>
  <c r="A596"/>
  <c r="B596"/>
  <c r="C596"/>
  <c r="E596"/>
  <c r="F596"/>
  <c r="A597"/>
  <c r="B597"/>
  <c r="C597"/>
  <c r="E597"/>
  <c r="F597"/>
  <c r="A598"/>
  <c r="B598"/>
  <c r="C598"/>
  <c r="E598"/>
  <c r="F598"/>
  <c r="A599"/>
  <c r="B599"/>
  <c r="C599"/>
  <c r="E599"/>
  <c r="F599"/>
  <c r="A600"/>
  <c r="B600"/>
  <c r="C600"/>
  <c r="E600"/>
  <c r="F600"/>
  <c r="A601"/>
  <c r="B601"/>
  <c r="C601"/>
  <c r="E601"/>
  <c r="F601"/>
  <c r="A602"/>
  <c r="B602"/>
  <c r="C602"/>
  <c r="E602"/>
  <c r="F602"/>
  <c r="A603"/>
  <c r="B603"/>
  <c r="C603"/>
  <c r="E603"/>
  <c r="F603"/>
  <c r="A604"/>
  <c r="B604"/>
  <c r="C604"/>
  <c r="E604"/>
  <c r="F604"/>
  <c r="A605"/>
  <c r="B605"/>
  <c r="C605"/>
  <c r="E605"/>
  <c r="F605"/>
  <c r="A606"/>
  <c r="B606"/>
  <c r="C606"/>
  <c r="E606"/>
  <c r="F606"/>
  <c r="A607"/>
  <c r="B607"/>
  <c r="C607"/>
  <c r="E607"/>
  <c r="F607"/>
  <c r="A608"/>
  <c r="B608"/>
  <c r="C608"/>
  <c r="E608"/>
  <c r="F608"/>
  <c r="A609"/>
  <c r="B609"/>
  <c r="C609"/>
  <c r="E609"/>
  <c r="F609"/>
  <c r="A610"/>
  <c r="B610"/>
  <c r="C610"/>
  <c r="E610"/>
  <c r="F610"/>
  <c r="A611"/>
  <c r="B611"/>
  <c r="C611"/>
  <c r="E611"/>
  <c r="F611"/>
  <c r="A612"/>
  <c r="B612"/>
  <c r="C612"/>
  <c r="E612"/>
  <c r="F612"/>
  <c r="A613"/>
  <c r="B613"/>
  <c r="C613"/>
  <c r="E613"/>
  <c r="F613"/>
  <c r="A614"/>
  <c r="B614"/>
  <c r="C614"/>
  <c r="E614"/>
  <c r="F614"/>
  <c r="A615"/>
  <c r="B615"/>
  <c r="C615"/>
  <c r="E615"/>
  <c r="F615"/>
  <c r="A616"/>
  <c r="B616"/>
  <c r="C616"/>
  <c r="E616"/>
  <c r="F616"/>
  <c r="A617"/>
  <c r="B617"/>
  <c r="C617"/>
  <c r="E617"/>
  <c r="F617"/>
  <c r="A618"/>
  <c r="B618"/>
  <c r="C618"/>
  <c r="E618"/>
  <c r="F618"/>
  <c r="A619"/>
  <c r="B619"/>
  <c r="C619"/>
  <c r="E619"/>
  <c r="F619"/>
  <c r="A620"/>
  <c r="B620"/>
  <c r="C620"/>
  <c r="E620"/>
  <c r="F620"/>
  <c r="A621"/>
  <c r="B621"/>
  <c r="C621"/>
  <c r="E621"/>
  <c r="F621"/>
  <c r="A622"/>
  <c r="B622"/>
  <c r="C622"/>
  <c r="E622"/>
  <c r="F622"/>
  <c r="A623"/>
  <c r="B623"/>
  <c r="C623"/>
  <c r="E623"/>
  <c r="F623"/>
  <c r="A624"/>
  <c r="B624"/>
  <c r="C624"/>
  <c r="E624"/>
  <c r="F624"/>
  <c r="A625"/>
  <c r="B625"/>
  <c r="C625"/>
  <c r="E625"/>
  <c r="F625"/>
  <c r="A626"/>
  <c r="B626"/>
  <c r="C626"/>
  <c r="E626"/>
  <c r="F626"/>
  <c r="A627"/>
  <c r="B627"/>
  <c r="C627"/>
  <c r="E627"/>
  <c r="F627"/>
  <c r="A628"/>
  <c r="B628"/>
  <c r="C628"/>
  <c r="E628"/>
  <c r="F628"/>
  <c r="A629"/>
  <c r="B629"/>
  <c r="C629"/>
  <c r="E629"/>
  <c r="F629"/>
  <c r="A630"/>
  <c r="B630"/>
  <c r="C630"/>
  <c r="E630"/>
  <c r="F630"/>
  <c r="A631"/>
  <c r="B631"/>
  <c r="C631"/>
  <c r="E631"/>
  <c r="F631"/>
  <c r="A632"/>
  <c r="B632"/>
  <c r="C632"/>
  <c r="E632"/>
  <c r="F632"/>
  <c r="A633"/>
  <c r="B633"/>
  <c r="C633"/>
  <c r="E633"/>
  <c r="F633"/>
  <c r="A634"/>
  <c r="B634"/>
  <c r="C634"/>
  <c r="E634"/>
  <c r="F634"/>
  <c r="A635"/>
  <c r="B635"/>
  <c r="C635"/>
  <c r="E635"/>
  <c r="F635"/>
  <c r="A636"/>
  <c r="B636"/>
  <c r="C636"/>
  <c r="E636"/>
  <c r="F636"/>
  <c r="A637"/>
  <c r="B637"/>
  <c r="C637"/>
  <c r="E637"/>
  <c r="F637"/>
  <c r="A638"/>
  <c r="B638"/>
  <c r="C638"/>
  <c r="E638"/>
  <c r="F638"/>
  <c r="A639"/>
  <c r="B639"/>
  <c r="C639"/>
  <c r="E639"/>
  <c r="F639"/>
  <c r="A640"/>
  <c r="B640"/>
  <c r="C640"/>
  <c r="E640"/>
  <c r="F640"/>
  <c r="A641"/>
  <c r="B641"/>
  <c r="C641"/>
  <c r="E641"/>
  <c r="F641"/>
  <c r="A642"/>
  <c r="B642"/>
  <c r="C642"/>
  <c r="E642"/>
  <c r="F642"/>
  <c r="A643"/>
  <c r="B643"/>
  <c r="C643"/>
  <c r="E643"/>
  <c r="F643"/>
  <c r="A644"/>
  <c r="B644"/>
  <c r="C644"/>
  <c r="E644"/>
  <c r="F644"/>
  <c r="A645"/>
  <c r="B645"/>
  <c r="C645"/>
  <c r="E645"/>
  <c r="F645"/>
  <c r="A646"/>
  <c r="B646"/>
  <c r="C646"/>
  <c r="E646"/>
  <c r="F646"/>
  <c r="A647"/>
  <c r="B647"/>
  <c r="C647"/>
  <c r="E647"/>
  <c r="F647"/>
  <c r="A648"/>
  <c r="B648"/>
  <c r="C648"/>
  <c r="E648"/>
  <c r="F648"/>
  <c r="A649"/>
  <c r="B649"/>
  <c r="C649"/>
  <c r="E649"/>
  <c r="F649"/>
  <c r="A650"/>
  <c r="B650"/>
  <c r="C650"/>
  <c r="E650"/>
  <c r="F650"/>
  <c r="A651"/>
  <c r="B651"/>
  <c r="C651"/>
  <c r="E651"/>
  <c r="F651"/>
  <c r="A652"/>
  <c r="B652"/>
  <c r="C652"/>
  <c r="E652"/>
  <c r="F652"/>
  <c r="A653"/>
  <c r="B653"/>
  <c r="C653"/>
  <c r="E653"/>
  <c r="F653"/>
  <c r="A654"/>
  <c r="B654"/>
  <c r="C654"/>
  <c r="E654"/>
  <c r="F654"/>
  <c r="A655"/>
  <c r="B655"/>
  <c r="C655"/>
  <c r="E655"/>
  <c r="F655"/>
  <c r="A656"/>
  <c r="B656"/>
  <c r="C656"/>
  <c r="E656"/>
  <c r="F656"/>
  <c r="A657"/>
  <c r="B657"/>
  <c r="C657"/>
  <c r="E657"/>
  <c r="F657"/>
  <c r="A658"/>
  <c r="B658"/>
  <c r="C658"/>
  <c r="E658"/>
  <c r="F658"/>
  <c r="A659"/>
  <c r="B659"/>
  <c r="C659"/>
  <c r="E659"/>
  <c r="F659"/>
  <c r="A660"/>
  <c r="B660"/>
  <c r="C660"/>
  <c r="E660"/>
  <c r="F660"/>
  <c r="A661"/>
  <c r="B661"/>
  <c r="C661"/>
  <c r="E661"/>
  <c r="F661"/>
  <c r="A662"/>
  <c r="B662"/>
  <c r="C662"/>
  <c r="E662"/>
  <c r="F662"/>
  <c r="A663"/>
  <c r="B663"/>
  <c r="C663"/>
  <c r="E663"/>
  <c r="F663"/>
  <c r="A664"/>
  <c r="B664"/>
  <c r="C664"/>
  <c r="E664"/>
  <c r="F664"/>
  <c r="A665"/>
  <c r="B665"/>
  <c r="C665"/>
  <c r="E665"/>
  <c r="F665"/>
  <c r="A666"/>
  <c r="B666"/>
  <c r="C666"/>
  <c r="E666"/>
  <c r="F666"/>
  <c r="A667"/>
  <c r="B667"/>
  <c r="C667"/>
  <c r="E667"/>
  <c r="F667"/>
  <c r="A668"/>
  <c r="B668"/>
  <c r="C668"/>
  <c r="E668"/>
  <c r="F668"/>
  <c r="A669"/>
  <c r="B669"/>
  <c r="C669"/>
  <c r="E669"/>
  <c r="F669"/>
  <c r="A670"/>
  <c r="B670"/>
  <c r="C670"/>
  <c r="E670"/>
  <c r="F670"/>
  <c r="A671"/>
  <c r="B671"/>
  <c r="C671"/>
  <c r="E671"/>
  <c r="F671"/>
  <c r="A672"/>
  <c r="B672"/>
  <c r="C672"/>
  <c r="E672"/>
  <c r="F672"/>
  <c r="A673"/>
  <c r="B673"/>
  <c r="C673"/>
  <c r="E673"/>
  <c r="F673"/>
  <c r="A674"/>
  <c r="B674"/>
  <c r="C674"/>
  <c r="E674"/>
  <c r="F674"/>
  <c r="A675"/>
  <c r="B675"/>
  <c r="C675"/>
  <c r="E675"/>
  <c r="F675"/>
  <c r="A676"/>
  <c r="B676"/>
  <c r="C676"/>
  <c r="E676"/>
  <c r="F676"/>
  <c r="A677"/>
  <c r="B677"/>
  <c r="C677"/>
  <c r="E677"/>
  <c r="F677"/>
  <c r="A678"/>
  <c r="B678"/>
  <c r="C678"/>
  <c r="E678"/>
  <c r="F678"/>
  <c r="A679"/>
  <c r="B679"/>
  <c r="C679"/>
  <c r="E679"/>
  <c r="F679"/>
  <c r="A680"/>
  <c r="B680"/>
  <c r="C680"/>
  <c r="E680"/>
  <c r="F680"/>
  <c r="A681"/>
  <c r="B681"/>
  <c r="C681"/>
  <c r="E681"/>
  <c r="F681"/>
  <c r="A682"/>
  <c r="B682"/>
  <c r="C682"/>
  <c r="E682"/>
  <c r="F682"/>
  <c r="A683"/>
  <c r="B683"/>
  <c r="C683"/>
  <c r="E683"/>
  <c r="F683"/>
  <c r="A684"/>
  <c r="B684"/>
  <c r="C684"/>
  <c r="E684"/>
  <c r="F684"/>
  <c r="A685"/>
  <c r="B685"/>
  <c r="C685"/>
  <c r="E685"/>
  <c r="F685"/>
  <c r="A686"/>
  <c r="B686"/>
  <c r="C686"/>
  <c r="E686"/>
  <c r="F686"/>
  <c r="A687"/>
  <c r="B687"/>
  <c r="C687"/>
  <c r="E687"/>
  <c r="F687"/>
  <c r="A688"/>
  <c r="B688"/>
  <c r="C688"/>
  <c r="E688"/>
  <c r="F688"/>
  <c r="A689"/>
  <c r="B689"/>
  <c r="C689"/>
  <c r="E689"/>
  <c r="F689"/>
  <c r="A690"/>
  <c r="B690"/>
  <c r="C690"/>
  <c r="E690"/>
  <c r="F690"/>
  <c r="A691"/>
  <c r="B691"/>
  <c r="C691"/>
  <c r="E691"/>
  <c r="F691"/>
  <c r="A692"/>
  <c r="B692"/>
  <c r="C692"/>
  <c r="E692"/>
  <c r="F692"/>
  <c r="A693"/>
  <c r="B693"/>
  <c r="C693"/>
  <c r="E693"/>
  <c r="F693"/>
  <c r="A694"/>
  <c r="B694"/>
  <c r="C694"/>
  <c r="E694"/>
  <c r="F694"/>
  <c r="A695"/>
  <c r="B695"/>
  <c r="C695"/>
  <c r="E695"/>
  <c r="F695"/>
  <c r="A696"/>
  <c r="B696"/>
  <c r="C696"/>
  <c r="E696"/>
  <c r="F696"/>
  <c r="A697"/>
  <c r="B697"/>
  <c r="C697"/>
  <c r="E697"/>
  <c r="F697"/>
  <c r="A698"/>
  <c r="B698"/>
  <c r="C698"/>
  <c r="E698"/>
  <c r="F698"/>
  <c r="A699"/>
  <c r="B699"/>
  <c r="C699"/>
  <c r="E699"/>
  <c r="F699"/>
  <c r="A700"/>
  <c r="B700"/>
  <c r="C700"/>
  <c r="E700"/>
  <c r="F700"/>
  <c r="A701"/>
  <c r="B701"/>
  <c r="C701"/>
  <c r="E701"/>
  <c r="F701"/>
  <c r="A702"/>
  <c r="B702"/>
  <c r="C702"/>
  <c r="E702"/>
  <c r="F702"/>
  <c r="A703"/>
  <c r="B703"/>
  <c r="C703"/>
  <c r="E703"/>
  <c r="F703"/>
  <c r="A704"/>
  <c r="B704"/>
  <c r="C704"/>
  <c r="E704"/>
  <c r="F704"/>
  <c r="A705"/>
  <c r="B705"/>
  <c r="C705"/>
  <c r="E705"/>
  <c r="F705"/>
  <c r="A706"/>
  <c r="B706"/>
  <c r="C706"/>
  <c r="E706"/>
  <c r="F706"/>
  <c r="A707"/>
  <c r="B707"/>
  <c r="C707"/>
  <c r="E707"/>
  <c r="F707"/>
  <c r="A708"/>
  <c r="B708"/>
  <c r="C708"/>
  <c r="E708"/>
  <c r="F708"/>
  <c r="A709"/>
  <c r="B709"/>
  <c r="C709"/>
  <c r="E709"/>
  <c r="F709"/>
  <c r="A710"/>
  <c r="B710"/>
  <c r="C710"/>
  <c r="E710"/>
  <c r="F710"/>
  <c r="A711"/>
  <c r="B711"/>
  <c r="C711"/>
  <c r="E711"/>
  <c r="F711"/>
  <c r="A712"/>
  <c r="B712"/>
  <c r="C712"/>
  <c r="E712"/>
  <c r="F712"/>
  <c r="A713"/>
  <c r="B713"/>
  <c r="C713"/>
  <c r="E713"/>
  <c r="F713"/>
  <c r="A714"/>
  <c r="B714"/>
  <c r="C714"/>
  <c r="E714"/>
  <c r="F714"/>
  <c r="A715"/>
  <c r="B715"/>
  <c r="C715"/>
  <c r="E715"/>
  <c r="F715"/>
  <c r="A716"/>
  <c r="B716"/>
  <c r="C716"/>
  <c r="E716"/>
  <c r="F716"/>
  <c r="A717"/>
  <c r="B717"/>
  <c r="C717"/>
  <c r="E717"/>
  <c r="F717"/>
  <c r="A718"/>
  <c r="B718"/>
  <c r="C718"/>
  <c r="E718"/>
  <c r="F718"/>
  <c r="A719"/>
  <c r="B719"/>
  <c r="C719"/>
  <c r="E719"/>
  <c r="F719"/>
  <c r="A720"/>
  <c r="B720"/>
  <c r="C720"/>
  <c r="E720"/>
  <c r="F720"/>
  <c r="A721"/>
  <c r="B721"/>
  <c r="C721"/>
  <c r="E721"/>
  <c r="F721"/>
  <c r="A722"/>
  <c r="B722"/>
  <c r="C722"/>
  <c r="E722"/>
  <c r="F722"/>
  <c r="A723"/>
  <c r="B723"/>
  <c r="C723"/>
  <c r="E723"/>
  <c r="F723"/>
  <c r="A724"/>
  <c r="B724"/>
  <c r="C724"/>
  <c r="E724"/>
  <c r="F724"/>
  <c r="A725"/>
  <c r="B725"/>
  <c r="C725"/>
  <c r="E725"/>
  <c r="F725"/>
  <c r="A726"/>
  <c r="B726"/>
  <c r="C726"/>
  <c r="E726"/>
  <c r="F726"/>
  <c r="A727"/>
  <c r="B727"/>
  <c r="C727"/>
  <c r="E727"/>
  <c r="F727"/>
  <c r="A728"/>
  <c r="B728"/>
  <c r="C728"/>
  <c r="E728"/>
  <c r="F728"/>
  <c r="A729"/>
  <c r="B729"/>
  <c r="C729"/>
  <c r="E729"/>
  <c r="F729"/>
  <c r="A730"/>
  <c r="B730"/>
  <c r="C730"/>
  <c r="E730"/>
  <c r="F730"/>
  <c r="A731"/>
  <c r="B731"/>
  <c r="C731"/>
  <c r="E731"/>
  <c r="F731"/>
  <c r="A732"/>
  <c r="B732"/>
  <c r="C732"/>
  <c r="E732"/>
  <c r="F732"/>
  <c r="A733"/>
  <c r="B733"/>
  <c r="C733"/>
  <c r="E733"/>
  <c r="F733"/>
  <c r="A734"/>
  <c r="B734"/>
  <c r="C734"/>
  <c r="E734"/>
  <c r="F734"/>
  <c r="A735"/>
  <c r="B735"/>
  <c r="C735"/>
  <c r="E735"/>
  <c r="F735"/>
  <c r="A736"/>
  <c r="B736"/>
  <c r="C736"/>
  <c r="E736"/>
  <c r="F736"/>
  <c r="A737"/>
  <c r="B737"/>
  <c r="C737"/>
  <c r="E737"/>
  <c r="F737"/>
  <c r="A738"/>
  <c r="B738"/>
  <c r="C738"/>
  <c r="E738"/>
  <c r="F738"/>
  <c r="A739"/>
  <c r="B739"/>
  <c r="C739"/>
  <c r="E739"/>
  <c r="F739"/>
  <c r="A740"/>
  <c r="B740"/>
  <c r="C740"/>
  <c r="E740"/>
  <c r="F740"/>
  <c r="A741"/>
  <c r="B741"/>
  <c r="C741"/>
  <c r="E741"/>
  <c r="F741"/>
  <c r="A742"/>
  <c r="B742"/>
  <c r="C742"/>
  <c r="E742"/>
  <c r="F742"/>
  <c r="A743"/>
  <c r="B743"/>
  <c r="C743"/>
  <c r="E743"/>
  <c r="F743"/>
  <c r="A744"/>
  <c r="B744"/>
  <c r="C744"/>
  <c r="E744"/>
  <c r="F744"/>
  <c r="A745"/>
  <c r="B745"/>
  <c r="C745"/>
  <c r="E745"/>
  <c r="F745"/>
  <c r="A746"/>
  <c r="B746"/>
  <c r="C746"/>
  <c r="E746"/>
  <c r="F746"/>
  <c r="A747"/>
  <c r="B747"/>
  <c r="C747"/>
  <c r="E747"/>
  <c r="F747"/>
  <c r="A748"/>
  <c r="B748"/>
  <c r="C748"/>
  <c r="E748"/>
  <c r="F748"/>
  <c r="A749"/>
  <c r="B749"/>
  <c r="C749"/>
  <c r="E749"/>
  <c r="F749"/>
  <c r="A750"/>
  <c r="B750"/>
  <c r="C750"/>
  <c r="E750"/>
  <c r="F750"/>
  <c r="A751"/>
  <c r="B751"/>
  <c r="C751"/>
  <c r="E751"/>
  <c r="F751"/>
  <c r="A752"/>
  <c r="B752"/>
  <c r="C752"/>
  <c r="E752"/>
  <c r="F752"/>
  <c r="A753"/>
  <c r="B753"/>
  <c r="C753"/>
  <c r="E753"/>
  <c r="F753"/>
  <c r="A754"/>
  <c r="B754"/>
  <c r="C754"/>
  <c r="E754"/>
  <c r="F754"/>
  <c r="A755"/>
  <c r="B755"/>
  <c r="C755"/>
  <c r="E755"/>
  <c r="F755"/>
  <c r="A756"/>
  <c r="B756"/>
  <c r="C756"/>
  <c r="E756"/>
  <c r="F756"/>
  <c r="A757"/>
  <c r="B757"/>
  <c r="C757"/>
  <c r="E757"/>
  <c r="F757"/>
  <c r="A758"/>
  <c r="B758"/>
  <c r="C758"/>
  <c r="E758"/>
  <c r="F758"/>
  <c r="A759"/>
  <c r="B759"/>
  <c r="C759"/>
  <c r="E759"/>
  <c r="F759"/>
  <c r="A760"/>
  <c r="B760"/>
  <c r="C760"/>
  <c r="E760"/>
  <c r="F760"/>
  <c r="A761"/>
  <c r="B761"/>
  <c r="C761"/>
  <c r="E761"/>
  <c r="F761"/>
  <c r="A762"/>
  <c r="B762"/>
  <c r="C762"/>
  <c r="E762"/>
  <c r="F762"/>
  <c r="A763"/>
  <c r="B763"/>
  <c r="C763"/>
  <c r="E763"/>
  <c r="F763"/>
  <c r="A764"/>
  <c r="B764"/>
  <c r="C764"/>
  <c r="E764"/>
  <c r="F764"/>
  <c r="A765"/>
  <c r="B765"/>
  <c r="C765"/>
  <c r="E765"/>
  <c r="F765"/>
  <c r="A766"/>
  <c r="B766"/>
  <c r="C766"/>
  <c r="E766"/>
  <c r="F766"/>
  <c r="A767"/>
  <c r="B767"/>
  <c r="C767"/>
  <c r="E767"/>
  <c r="F767"/>
  <c r="A768"/>
  <c r="B768"/>
  <c r="C768"/>
  <c r="E768"/>
  <c r="F768"/>
  <c r="A769"/>
  <c r="B769"/>
  <c r="C769"/>
  <c r="E769"/>
  <c r="F769"/>
  <c r="A770"/>
  <c r="B770"/>
  <c r="C770"/>
  <c r="E770"/>
  <c r="F770"/>
  <c r="A771"/>
  <c r="B771"/>
  <c r="C771"/>
  <c r="E771"/>
  <c r="F771"/>
  <c r="A772"/>
  <c r="B772"/>
  <c r="C772"/>
  <c r="E772"/>
  <c r="F772"/>
  <c r="A773"/>
  <c r="B773"/>
  <c r="C773"/>
  <c r="E773"/>
  <c r="F773"/>
  <c r="A774"/>
  <c r="B774"/>
  <c r="C774"/>
  <c r="E774"/>
  <c r="F774"/>
  <c r="A775"/>
  <c r="B775"/>
  <c r="C775"/>
  <c r="E775"/>
  <c r="F775"/>
  <c r="A776"/>
  <c r="B776"/>
  <c r="C776"/>
  <c r="E776"/>
  <c r="F776"/>
  <c r="A777"/>
  <c r="B777"/>
  <c r="C777"/>
  <c r="E777"/>
  <c r="F777"/>
  <c r="A778"/>
  <c r="B778"/>
  <c r="C778"/>
  <c r="E778"/>
  <c r="F778"/>
  <c r="A779"/>
  <c r="B779"/>
  <c r="C779"/>
  <c r="E779"/>
  <c r="F779"/>
  <c r="A780"/>
  <c r="B780"/>
  <c r="C780"/>
  <c r="E780"/>
  <c r="F780"/>
  <c r="A781"/>
  <c r="B781"/>
  <c r="C781"/>
  <c r="E781"/>
  <c r="F781"/>
  <c r="A782"/>
  <c r="B782"/>
  <c r="C782"/>
  <c r="E782"/>
  <c r="F782"/>
  <c r="A783"/>
  <c r="B783"/>
  <c r="C783"/>
  <c r="E783"/>
  <c r="F783"/>
  <c r="A784"/>
  <c r="B784"/>
  <c r="C784"/>
  <c r="E784"/>
  <c r="F784"/>
  <c r="A785"/>
  <c r="B785"/>
  <c r="C785"/>
  <c r="E785"/>
  <c r="F785"/>
  <c r="A786"/>
  <c r="B786"/>
  <c r="C786"/>
  <c r="E786"/>
  <c r="F786"/>
  <c r="A787"/>
  <c r="B787"/>
  <c r="C787"/>
  <c r="E787"/>
  <c r="F787"/>
  <c r="A788"/>
  <c r="B788"/>
  <c r="C788"/>
  <c r="E788"/>
  <c r="F788"/>
  <c r="A789"/>
  <c r="B789"/>
  <c r="C789"/>
  <c r="E789"/>
  <c r="F789"/>
  <c r="A790"/>
  <c r="B790"/>
  <c r="C790"/>
  <c r="E790"/>
  <c r="F790"/>
  <c r="A791"/>
  <c r="B791"/>
  <c r="C791"/>
  <c r="E791"/>
  <c r="F791"/>
  <c r="A792"/>
  <c r="B792"/>
  <c r="C792"/>
  <c r="E792"/>
  <c r="F792"/>
  <c r="A793"/>
  <c r="B793"/>
  <c r="C793"/>
  <c r="E793"/>
  <c r="F793"/>
  <c r="A794"/>
  <c r="B794"/>
  <c r="C794"/>
  <c r="E794"/>
  <c r="F794"/>
  <c r="A795"/>
  <c r="B795"/>
  <c r="C795"/>
  <c r="E795"/>
  <c r="F795"/>
  <c r="A796"/>
  <c r="B796"/>
  <c r="C796"/>
  <c r="E796"/>
  <c r="F796"/>
  <c r="A797"/>
  <c r="B797"/>
  <c r="C797"/>
  <c r="E797"/>
  <c r="F797"/>
  <c r="A798"/>
  <c r="B798"/>
  <c r="C798"/>
  <c r="E798"/>
  <c r="F798"/>
  <c r="A799"/>
  <c r="B799"/>
  <c r="C799"/>
  <c r="E799"/>
  <c r="F799"/>
  <c r="A800"/>
  <c r="B800"/>
  <c r="C800"/>
  <c r="E800"/>
  <c r="F800"/>
  <c r="A801"/>
  <c r="B801"/>
  <c r="C801"/>
  <c r="E801"/>
  <c r="F801"/>
  <c r="A802"/>
  <c r="B802"/>
  <c r="C802"/>
  <c r="E802"/>
  <c r="F802"/>
  <c r="A803"/>
  <c r="B803"/>
  <c r="C803"/>
  <c r="E803"/>
  <c r="F803"/>
  <c r="A804"/>
  <c r="B804"/>
  <c r="C804"/>
  <c r="E804"/>
  <c r="F804"/>
  <c r="A805"/>
  <c r="B805"/>
  <c r="C805"/>
  <c r="E805"/>
  <c r="F805"/>
  <c r="A806"/>
  <c r="B806"/>
  <c r="C806"/>
  <c r="E806"/>
  <c r="F806"/>
  <c r="A807"/>
  <c r="B807"/>
  <c r="C807"/>
  <c r="E807"/>
  <c r="F807"/>
  <c r="A808"/>
  <c r="B808"/>
  <c r="C808"/>
  <c r="E808"/>
  <c r="F808"/>
  <c r="A809"/>
  <c r="B809"/>
  <c r="C809"/>
  <c r="E809"/>
  <c r="F809"/>
  <c r="A810"/>
  <c r="B810"/>
  <c r="C810"/>
  <c r="E810"/>
  <c r="F810"/>
  <c r="A811"/>
  <c r="B811"/>
  <c r="C811"/>
  <c r="E811"/>
  <c r="F811"/>
  <c r="A812"/>
  <c r="B812"/>
  <c r="C812"/>
  <c r="E812"/>
  <c r="F812"/>
  <c r="A813"/>
  <c r="B813"/>
  <c r="C813"/>
  <c r="E813"/>
  <c r="F813"/>
  <c r="A814"/>
  <c r="B814"/>
  <c r="C814"/>
  <c r="E814"/>
  <c r="F814"/>
  <c r="A815"/>
  <c r="B815"/>
  <c r="C815"/>
  <c r="E815"/>
  <c r="F815"/>
  <c r="A816"/>
  <c r="B816"/>
  <c r="C816"/>
  <c r="E816"/>
  <c r="F816"/>
  <c r="A817"/>
  <c r="B817"/>
  <c r="C817"/>
  <c r="E817"/>
  <c r="F817"/>
  <c r="A818"/>
  <c r="B818"/>
  <c r="C818"/>
  <c r="E818"/>
  <c r="F818"/>
  <c r="A819"/>
  <c r="B819"/>
  <c r="C819"/>
  <c r="E819"/>
  <c r="F819"/>
  <c r="A820"/>
  <c r="B820"/>
  <c r="C820"/>
  <c r="E820"/>
  <c r="F820"/>
  <c r="A821"/>
  <c r="B821"/>
  <c r="C821"/>
  <c r="E821"/>
  <c r="F821"/>
  <c r="A822"/>
  <c r="B822"/>
  <c r="C822"/>
  <c r="E822"/>
  <c r="F822"/>
  <c r="A823"/>
  <c r="B823"/>
  <c r="C823"/>
  <c r="E823"/>
  <c r="F823"/>
  <c r="A824"/>
  <c r="B824"/>
  <c r="C824"/>
  <c r="E824"/>
  <c r="F824"/>
  <c r="A825"/>
  <c r="B825"/>
  <c r="C825"/>
  <c r="E825"/>
  <c r="F825"/>
  <c r="A826"/>
  <c r="B826"/>
  <c r="C826"/>
  <c r="E826"/>
  <c r="F826"/>
  <c r="A827"/>
  <c r="B827"/>
  <c r="C827"/>
  <c r="E827"/>
  <c r="F827"/>
  <c r="A828"/>
  <c r="B828"/>
  <c r="C828"/>
  <c r="E828"/>
  <c r="F828"/>
  <c r="A829"/>
  <c r="B829"/>
  <c r="C829"/>
  <c r="E829"/>
  <c r="F829"/>
  <c r="A830"/>
  <c r="B830"/>
  <c r="C830"/>
  <c r="E830"/>
  <c r="F830"/>
  <c r="A831"/>
  <c r="B831"/>
  <c r="C831"/>
  <c r="E831"/>
  <c r="F831"/>
  <c r="A832"/>
  <c r="B832"/>
  <c r="C832"/>
  <c r="E832"/>
  <c r="F832"/>
  <c r="A833"/>
  <c r="B833"/>
  <c r="C833"/>
  <c r="E833"/>
  <c r="F833"/>
  <c r="A834"/>
  <c r="B834"/>
  <c r="C834"/>
  <c r="E834"/>
  <c r="F834"/>
  <c r="A835"/>
  <c r="B835"/>
  <c r="C835"/>
  <c r="E835"/>
  <c r="F835"/>
  <c r="A836"/>
  <c r="B836"/>
  <c r="C836"/>
  <c r="E836"/>
  <c r="F836"/>
  <c r="A837"/>
  <c r="B837"/>
  <c r="C837"/>
  <c r="E837"/>
  <c r="F837"/>
  <c r="A838"/>
  <c r="B838"/>
  <c r="C838"/>
  <c r="E838"/>
  <c r="F838"/>
  <c r="A839"/>
  <c r="B839"/>
  <c r="C839"/>
  <c r="E839"/>
  <c r="F839"/>
  <c r="A840"/>
  <c r="B840"/>
  <c r="C840"/>
  <c r="E840"/>
  <c r="F840"/>
  <c r="A841"/>
  <c r="B841"/>
  <c r="C841"/>
  <c r="E841"/>
  <c r="F841"/>
  <c r="A842"/>
  <c r="B842"/>
  <c r="C842"/>
  <c r="E842"/>
  <c r="F842"/>
  <c r="A843"/>
  <c r="B843"/>
  <c r="C843"/>
  <c r="E843"/>
  <c r="F843"/>
  <c r="A844"/>
  <c r="B844"/>
  <c r="C844"/>
  <c r="E844"/>
  <c r="F844"/>
  <c r="A845"/>
  <c r="B845"/>
  <c r="C845"/>
  <c r="E845"/>
  <c r="F845"/>
  <c r="A846"/>
  <c r="B846"/>
  <c r="C846"/>
  <c r="E846"/>
  <c r="F846"/>
  <c r="A847"/>
  <c r="B847"/>
  <c r="C847"/>
  <c r="E847"/>
  <c r="F847"/>
  <c r="A848"/>
  <c r="B848"/>
  <c r="C848"/>
  <c r="E848"/>
  <c r="F848"/>
  <c r="A849"/>
  <c r="B849"/>
  <c r="C849"/>
  <c r="E849"/>
  <c r="F849"/>
  <c r="A850"/>
  <c r="B850"/>
  <c r="C850"/>
  <c r="E850"/>
  <c r="F850"/>
  <c r="A851"/>
  <c r="B851"/>
  <c r="C851"/>
  <c r="E851"/>
  <c r="F851"/>
  <c r="A852"/>
  <c r="B852"/>
  <c r="C852"/>
  <c r="E852"/>
  <c r="F852"/>
  <c r="A853"/>
  <c r="B853"/>
  <c r="C853"/>
  <c r="E853"/>
  <c r="F853"/>
  <c r="A854"/>
  <c r="B854"/>
  <c r="C854"/>
  <c r="E854"/>
  <c r="F854"/>
  <c r="A855"/>
  <c r="B855"/>
  <c r="C855"/>
  <c r="E855"/>
  <c r="F855"/>
  <c r="A856"/>
  <c r="B856"/>
  <c r="C856"/>
  <c r="E856"/>
  <c r="F856"/>
  <c r="A857"/>
  <c r="B857"/>
  <c r="C857"/>
  <c r="E857"/>
  <c r="F857"/>
  <c r="A858"/>
  <c r="B858"/>
  <c r="C858"/>
  <c r="E858"/>
  <c r="F858"/>
  <c r="A859"/>
  <c r="B859"/>
  <c r="C859"/>
  <c r="E859"/>
  <c r="F859"/>
  <c r="A860"/>
  <c r="B860"/>
  <c r="C860"/>
  <c r="E860"/>
  <c r="F860"/>
  <c r="A861"/>
  <c r="B861"/>
  <c r="C861"/>
  <c r="E861"/>
  <c r="F861"/>
  <c r="A862"/>
  <c r="B862"/>
  <c r="C862"/>
  <c r="E862"/>
  <c r="F862"/>
  <c r="A863"/>
  <c r="B863"/>
  <c r="C863"/>
  <c r="E863"/>
  <c r="F863"/>
  <c r="A864"/>
  <c r="B864"/>
  <c r="C864"/>
  <c r="E864"/>
  <c r="F864"/>
  <c r="A865"/>
  <c r="B865"/>
  <c r="C865"/>
  <c r="E865"/>
  <c r="F865"/>
  <c r="A866"/>
  <c r="B866"/>
  <c r="C866"/>
  <c r="E866"/>
  <c r="F866"/>
  <c r="A867"/>
  <c r="B867"/>
  <c r="C867"/>
  <c r="E867"/>
  <c r="F867"/>
  <c r="A868"/>
  <c r="B868"/>
  <c r="C868"/>
  <c r="E868"/>
  <c r="F868"/>
  <c r="A869"/>
  <c r="B869"/>
  <c r="C869"/>
  <c r="E869"/>
  <c r="F869"/>
  <c r="A870"/>
  <c r="B870"/>
  <c r="C870"/>
  <c r="E870"/>
  <c r="F870"/>
  <c r="A871"/>
  <c r="B871"/>
  <c r="C871"/>
  <c r="E871"/>
  <c r="F871"/>
  <c r="A872"/>
  <c r="B872"/>
  <c r="C872"/>
  <c r="E872"/>
  <c r="F872"/>
  <c r="A873"/>
  <c r="B873"/>
  <c r="C873"/>
  <c r="E873"/>
  <c r="F873"/>
  <c r="A874"/>
  <c r="B874"/>
  <c r="C874"/>
  <c r="E874"/>
  <c r="F874"/>
  <c r="A875"/>
  <c r="B875"/>
  <c r="C875"/>
  <c r="E875"/>
  <c r="F875"/>
  <c r="A876"/>
  <c r="B876"/>
  <c r="C876"/>
  <c r="E876"/>
  <c r="F876"/>
  <c r="A877"/>
  <c r="B877"/>
  <c r="C877"/>
  <c r="E877"/>
  <c r="F877"/>
  <c r="A878"/>
  <c r="B878"/>
  <c r="C878"/>
  <c r="E878"/>
  <c r="F878"/>
  <c r="A879"/>
  <c r="B879"/>
  <c r="C879"/>
  <c r="E879"/>
  <c r="F879"/>
  <c r="A880"/>
  <c r="B880"/>
  <c r="C880"/>
  <c r="E880"/>
  <c r="F880"/>
  <c r="A881"/>
  <c r="B881"/>
  <c r="C881"/>
  <c r="E881"/>
  <c r="F881"/>
  <c r="A882"/>
  <c r="B882"/>
  <c r="C882"/>
  <c r="E882"/>
  <c r="F882"/>
  <c r="A883"/>
  <c r="B883"/>
  <c r="C883"/>
  <c r="E883"/>
  <c r="F883"/>
  <c r="A884"/>
  <c r="B884"/>
  <c r="C884"/>
  <c r="E884"/>
  <c r="F884"/>
  <c r="A885"/>
  <c r="B885"/>
  <c r="C885"/>
  <c r="E885"/>
  <c r="F885"/>
  <c r="A886"/>
  <c r="B886"/>
  <c r="C886"/>
  <c r="E886"/>
  <c r="F886"/>
  <c r="A887"/>
  <c r="B887"/>
  <c r="C887"/>
  <c r="E887"/>
  <c r="F887"/>
  <c r="A888"/>
  <c r="B888"/>
  <c r="C888"/>
  <c r="E888"/>
  <c r="F888"/>
  <c r="A889"/>
  <c r="B889"/>
  <c r="C889"/>
  <c r="E889"/>
  <c r="F889"/>
  <c r="A890"/>
  <c r="B890"/>
  <c r="C890"/>
  <c r="E890"/>
  <c r="F890"/>
  <c r="A891"/>
  <c r="B891"/>
  <c r="C891"/>
  <c r="E891"/>
  <c r="F891"/>
  <c r="A892"/>
  <c r="B892"/>
  <c r="C892"/>
  <c r="E892"/>
  <c r="F892"/>
  <c r="A893"/>
  <c r="B893"/>
  <c r="C893"/>
  <c r="E893"/>
  <c r="F893"/>
  <c r="A894"/>
  <c r="B894"/>
  <c r="C894"/>
  <c r="E894"/>
  <c r="F894"/>
  <c r="A895"/>
  <c r="B895"/>
  <c r="C895"/>
  <c r="E895"/>
  <c r="F895"/>
  <c r="A896"/>
  <c r="B896"/>
  <c r="C896"/>
  <c r="E896"/>
  <c r="F896"/>
  <c r="A897"/>
  <c r="B897"/>
  <c r="C897"/>
  <c r="E897"/>
  <c r="F897"/>
  <c r="C898"/>
  <c r="E898"/>
  <c r="F898"/>
  <c r="C899"/>
  <c r="E899"/>
  <c r="F899"/>
  <c r="C900"/>
  <c r="E900"/>
  <c r="F900"/>
  <c r="C901"/>
  <c r="E901"/>
  <c r="F901"/>
  <c r="C902"/>
  <c r="E902"/>
  <c r="F902"/>
  <c r="A903"/>
  <c r="B903"/>
  <c r="C903"/>
  <c r="E903"/>
  <c r="F903"/>
  <c r="A904"/>
  <c r="B904"/>
  <c r="C904"/>
  <c r="E904"/>
  <c r="F904"/>
  <c r="A905"/>
  <c r="B905"/>
  <c r="C905"/>
  <c r="E905"/>
  <c r="F905"/>
  <c r="C906"/>
  <c r="E906"/>
  <c r="F906"/>
  <c r="A907"/>
  <c r="B907"/>
  <c r="C907"/>
  <c r="E907"/>
  <c r="F907"/>
  <c r="A908"/>
  <c r="B908"/>
  <c r="C908"/>
  <c r="E908"/>
  <c r="F908"/>
  <c r="A909"/>
  <c r="B909"/>
  <c r="C909"/>
  <c r="E909"/>
  <c r="F909"/>
  <c r="A910"/>
  <c r="B910"/>
  <c r="C910"/>
  <c r="E910"/>
  <c r="F910"/>
  <c r="A911"/>
  <c r="B911"/>
  <c r="C911"/>
  <c r="E911"/>
  <c r="F911"/>
  <c r="A912"/>
  <c r="B912"/>
  <c r="C912"/>
  <c r="E912"/>
  <c r="F912"/>
  <c r="A913"/>
  <c r="B913"/>
  <c r="C913"/>
  <c r="E913"/>
  <c r="F913"/>
  <c r="A914"/>
  <c r="B914"/>
  <c r="C914"/>
  <c r="E914"/>
  <c r="F914"/>
  <c r="A915"/>
  <c r="B915"/>
  <c r="C915"/>
  <c r="E915"/>
  <c r="F915"/>
  <c r="C916"/>
  <c r="E916"/>
  <c r="F916"/>
  <c r="C917"/>
  <c r="E917"/>
  <c r="F917"/>
  <c r="C918"/>
  <c r="E918"/>
  <c r="F918"/>
  <c r="C919"/>
  <c r="E919"/>
  <c r="F919"/>
  <c r="C920"/>
  <c r="E920"/>
  <c r="F920"/>
  <c r="C921"/>
  <c r="E921"/>
  <c r="F921"/>
  <c r="C922"/>
  <c r="E922"/>
  <c r="F922"/>
  <c r="A923"/>
  <c r="B923"/>
  <c r="C923"/>
  <c r="E923"/>
  <c r="F923"/>
  <c r="C924"/>
  <c r="E924"/>
  <c r="F924"/>
  <c r="C925"/>
  <c r="E925"/>
  <c r="F925"/>
  <c r="C926"/>
  <c r="E926"/>
  <c r="F926"/>
  <c r="A927"/>
  <c r="B927"/>
  <c r="C927"/>
  <c r="E927"/>
  <c r="F927"/>
  <c r="A928"/>
  <c r="B928"/>
  <c r="C928"/>
  <c r="E928"/>
  <c r="F928"/>
  <c r="C929"/>
  <c r="E929"/>
  <c r="F929"/>
  <c r="A930"/>
  <c r="B930"/>
  <c r="C930"/>
  <c r="E930"/>
  <c r="F930"/>
  <c r="A931"/>
  <c r="B931"/>
  <c r="C931"/>
  <c r="E931"/>
  <c r="F931"/>
  <c r="A932"/>
  <c r="B932"/>
  <c r="C932"/>
  <c r="E932"/>
  <c r="F932"/>
  <c r="A933"/>
  <c r="B933"/>
  <c r="C933"/>
  <c r="E933"/>
  <c r="F933"/>
  <c r="A934"/>
  <c r="B934"/>
  <c r="C934"/>
  <c r="E934"/>
  <c r="F934"/>
  <c r="A935"/>
  <c r="B935"/>
  <c r="C935"/>
  <c r="E935"/>
  <c r="F935"/>
  <c r="A936"/>
  <c r="B936"/>
  <c r="C936"/>
  <c r="E936"/>
  <c r="F936"/>
  <c r="A937"/>
  <c r="B937"/>
  <c r="C937"/>
  <c r="E937"/>
  <c r="F937"/>
  <c r="A938"/>
  <c r="B938"/>
  <c r="C938"/>
  <c r="E938"/>
  <c r="F938"/>
  <c r="A939"/>
  <c r="B939"/>
  <c r="C939"/>
  <c r="E939"/>
  <c r="F939"/>
  <c r="A940"/>
  <c r="B940"/>
  <c r="C940"/>
  <c r="E940"/>
  <c r="F940"/>
  <c r="A941"/>
  <c r="B941"/>
  <c r="C941"/>
  <c r="E941"/>
  <c r="F941"/>
  <c r="A942"/>
  <c r="B942"/>
  <c r="C942"/>
  <c r="E942"/>
  <c r="F942"/>
  <c r="A943"/>
  <c r="B943"/>
  <c r="C943"/>
  <c r="E943"/>
  <c r="F943"/>
  <c r="A944"/>
  <c r="B944"/>
  <c r="C944"/>
  <c r="E944"/>
  <c r="F944"/>
  <c r="A945"/>
  <c r="B945"/>
  <c r="C945"/>
  <c r="E945"/>
  <c r="F945"/>
  <c r="A946"/>
  <c r="B946"/>
  <c r="C946"/>
  <c r="E946"/>
  <c r="F946"/>
  <c r="A947"/>
  <c r="B947"/>
  <c r="C947"/>
  <c r="E947"/>
  <c r="F947"/>
  <c r="A948"/>
  <c r="B948"/>
  <c r="C948"/>
  <c r="E948"/>
  <c r="F948"/>
  <c r="A949"/>
  <c r="B949"/>
  <c r="C949"/>
  <c r="E949"/>
  <c r="F949"/>
  <c r="A950"/>
  <c r="B950"/>
  <c r="C950"/>
  <c r="E950"/>
  <c r="F950"/>
  <c r="A951"/>
  <c r="B951"/>
  <c r="C951"/>
  <c r="E951"/>
  <c r="F951"/>
  <c r="A952"/>
  <c r="B952"/>
  <c r="C952"/>
  <c r="E952"/>
  <c r="F952"/>
  <c r="C953"/>
  <c r="E953"/>
  <c r="F953"/>
  <c r="A954"/>
  <c r="B954"/>
  <c r="C954"/>
  <c r="E954"/>
  <c r="F954"/>
  <c r="A955"/>
  <c r="B955"/>
  <c r="C955"/>
  <c r="E955"/>
  <c r="F955"/>
  <c r="A956"/>
  <c r="B956"/>
  <c r="C956"/>
  <c r="E956"/>
  <c r="F956"/>
  <c r="A957"/>
  <c r="B957"/>
  <c r="C957"/>
  <c r="E957"/>
  <c r="F957"/>
  <c r="A958"/>
  <c r="B958"/>
  <c r="C958"/>
  <c r="E958"/>
  <c r="F958"/>
  <c r="A959"/>
  <c r="B959"/>
  <c r="C959"/>
  <c r="E959"/>
  <c r="F959"/>
  <c r="C960"/>
  <c r="E960"/>
  <c r="F960"/>
  <c r="A961"/>
  <c r="B961"/>
  <c r="C961"/>
  <c r="E961"/>
  <c r="F961"/>
  <c r="C962"/>
  <c r="E962"/>
  <c r="F962"/>
  <c r="A963"/>
  <c r="B963"/>
  <c r="C963"/>
  <c r="E963"/>
  <c r="F963"/>
  <c r="A964"/>
  <c r="B964"/>
  <c r="C964"/>
  <c r="E964"/>
  <c r="F964"/>
  <c r="A965"/>
  <c r="B965"/>
  <c r="C965"/>
  <c r="E965"/>
  <c r="F965"/>
  <c r="A966"/>
  <c r="B966"/>
  <c r="C966"/>
  <c r="E966"/>
  <c r="F966"/>
  <c r="A967"/>
  <c r="B967"/>
  <c r="C967"/>
  <c r="E967"/>
  <c r="F967"/>
  <c r="A968"/>
  <c r="B968"/>
  <c r="C968"/>
  <c r="E968"/>
  <c r="F968"/>
  <c r="A969"/>
  <c r="B969"/>
  <c r="C969"/>
  <c r="E969"/>
  <c r="F969"/>
  <c r="A970"/>
  <c r="B970"/>
  <c r="C970"/>
  <c r="E970"/>
  <c r="F970"/>
  <c r="A971"/>
  <c r="B971"/>
  <c r="C971"/>
  <c r="E971"/>
  <c r="F971"/>
  <c r="C972"/>
  <c r="E972"/>
  <c r="F972"/>
  <c r="A973"/>
  <c r="B973"/>
  <c r="C973"/>
  <c r="E973"/>
  <c r="F973"/>
  <c r="A974"/>
  <c r="B974"/>
  <c r="C974"/>
  <c r="E974"/>
  <c r="F974"/>
  <c r="A975"/>
  <c r="B975"/>
  <c r="C975"/>
  <c r="E975"/>
  <c r="F975"/>
  <c r="A976"/>
  <c r="B976"/>
  <c r="C976"/>
  <c r="E976"/>
  <c r="F976"/>
  <c r="A977"/>
  <c r="B977"/>
  <c r="C977"/>
  <c r="E977"/>
  <c r="F977"/>
  <c r="A978"/>
  <c r="B978"/>
  <c r="C978"/>
  <c r="E978"/>
  <c r="F978"/>
  <c r="A979"/>
  <c r="B979"/>
  <c r="C979"/>
  <c r="E979"/>
  <c r="F979"/>
  <c r="A980"/>
  <c r="B980"/>
  <c r="C980"/>
  <c r="E980"/>
  <c r="F980"/>
  <c r="A981"/>
  <c r="B981"/>
  <c r="C981"/>
  <c r="E981"/>
  <c r="F981"/>
  <c r="A982"/>
  <c r="B982"/>
  <c r="C982"/>
  <c r="E982"/>
  <c r="F982"/>
  <c r="A983"/>
  <c r="B983"/>
  <c r="C983"/>
  <c r="E983"/>
  <c r="F983"/>
  <c r="A984"/>
  <c r="B984"/>
  <c r="C984"/>
  <c r="E984"/>
  <c r="F984"/>
  <c r="A985"/>
  <c r="B985"/>
  <c r="C985"/>
  <c r="E985"/>
  <c r="F985"/>
  <c r="A986"/>
  <c r="B986"/>
  <c r="C986"/>
  <c r="E986"/>
  <c r="F986"/>
  <c r="A987"/>
  <c r="B987"/>
  <c r="C987"/>
  <c r="E987"/>
  <c r="F987"/>
  <c r="A988"/>
  <c r="B988"/>
  <c r="C988"/>
  <c r="E988"/>
  <c r="F988"/>
  <c r="A989"/>
  <c r="B989"/>
  <c r="C989"/>
  <c r="E989"/>
  <c r="F989"/>
  <c r="A990"/>
  <c r="B990"/>
  <c r="C990"/>
  <c r="E990"/>
  <c r="F990"/>
  <c r="A991"/>
  <c r="B991"/>
  <c r="C991"/>
  <c r="E991"/>
  <c r="F991"/>
  <c r="A992"/>
  <c r="B992"/>
  <c r="C992"/>
  <c r="E992"/>
  <c r="F992"/>
  <c r="A993"/>
  <c r="B993"/>
  <c r="C993"/>
  <c r="E993"/>
  <c r="F993"/>
  <c r="A994"/>
  <c r="B994"/>
  <c r="C994"/>
  <c r="E994"/>
  <c r="F994"/>
  <c r="A995"/>
  <c r="B995"/>
  <c r="C995"/>
  <c r="E995"/>
  <c r="F995"/>
  <c r="A996"/>
  <c r="B996"/>
  <c r="C996"/>
  <c r="E996"/>
  <c r="F996"/>
  <c r="A997"/>
  <c r="B997"/>
  <c r="C997"/>
  <c r="E997"/>
  <c r="F997"/>
  <c r="A998"/>
  <c r="B998"/>
  <c r="C998"/>
  <c r="E998"/>
  <c r="F998"/>
  <c r="A999"/>
  <c r="B999"/>
  <c r="C999"/>
  <c r="E999"/>
  <c r="F999"/>
  <c r="A1000"/>
  <c r="B1000"/>
  <c r="C1000"/>
  <c r="E1000"/>
  <c r="F1000"/>
  <c r="A1001"/>
  <c r="B1001"/>
  <c r="C1001"/>
  <c r="E1001"/>
  <c r="F1001"/>
  <c r="A1002"/>
  <c r="B1002"/>
  <c r="C1002"/>
  <c r="E1002"/>
  <c r="F1002"/>
  <c r="A1003"/>
  <c r="B1003"/>
  <c r="C1003"/>
  <c r="E1003"/>
  <c r="F1003"/>
  <c r="A1004"/>
  <c r="B1004"/>
  <c r="C1004"/>
  <c r="E1004"/>
  <c r="F1004"/>
  <c r="A1005"/>
  <c r="B1005"/>
  <c r="C1005"/>
  <c r="E1005"/>
  <c r="F1005"/>
  <c r="A1006"/>
  <c r="B1006"/>
  <c r="C1006"/>
  <c r="E1006"/>
  <c r="F1006"/>
  <c r="A1007"/>
  <c r="B1007"/>
  <c r="C1007"/>
  <c r="E1007"/>
  <c r="F1007"/>
  <c r="A1008"/>
  <c r="B1008"/>
  <c r="C1008"/>
  <c r="E1008"/>
  <c r="F1008"/>
  <c r="A1009"/>
  <c r="B1009"/>
  <c r="C1009"/>
  <c r="E1009"/>
  <c r="F1009"/>
  <c r="A1010"/>
  <c r="B1010"/>
  <c r="C1010"/>
  <c r="E1010"/>
  <c r="F1010"/>
  <c r="A1011"/>
  <c r="B1011"/>
  <c r="C1011"/>
  <c r="E1011"/>
  <c r="F1011"/>
  <c r="A1012"/>
  <c r="B1012"/>
  <c r="C1012"/>
  <c r="E1012"/>
  <c r="F1012"/>
  <c r="A1013"/>
  <c r="B1013"/>
  <c r="C1013"/>
  <c r="E1013"/>
  <c r="F1013"/>
  <c r="A1014"/>
  <c r="B1014"/>
  <c r="C1014"/>
  <c r="E1014"/>
  <c r="F1014"/>
  <c r="A1015"/>
  <c r="B1015"/>
  <c r="C1015"/>
  <c r="E1015"/>
  <c r="F1015"/>
  <c r="A1016"/>
  <c r="B1016"/>
  <c r="C1016"/>
  <c r="E1016"/>
  <c r="F1016"/>
  <c r="A1017"/>
  <c r="B1017"/>
  <c r="C1017"/>
  <c r="E1017"/>
  <c r="F1017"/>
  <c r="A1018"/>
  <c r="B1018"/>
  <c r="C1018"/>
  <c r="E1018"/>
  <c r="F1018"/>
  <c r="A1019"/>
  <c r="B1019"/>
  <c r="C1019"/>
  <c r="E1019"/>
  <c r="F1019"/>
  <c r="A1020"/>
  <c r="B1020"/>
  <c r="C1020"/>
  <c r="E1020"/>
  <c r="F1020"/>
  <c r="A1021"/>
  <c r="B1021"/>
  <c r="C1021"/>
  <c r="E1021"/>
  <c r="F1021"/>
  <c r="A1022"/>
  <c r="B1022"/>
  <c r="C1022"/>
  <c r="E1022"/>
  <c r="F1022"/>
  <c r="A1023"/>
  <c r="B1023"/>
  <c r="C1023"/>
  <c r="E1023"/>
  <c r="F1023"/>
  <c r="A1024"/>
  <c r="B1024"/>
  <c r="C1024"/>
  <c r="E1024"/>
  <c r="F1024"/>
  <c r="A1025"/>
  <c r="B1025"/>
  <c r="C1025"/>
  <c r="E1025"/>
  <c r="F1025"/>
  <c r="A1026"/>
  <c r="B1026"/>
  <c r="C1026"/>
  <c r="E1026"/>
  <c r="F1026"/>
  <c r="A1027"/>
  <c r="B1027"/>
  <c r="C1027"/>
  <c r="E1027"/>
  <c r="F1027"/>
  <c r="A1028"/>
  <c r="B1028"/>
  <c r="C1028"/>
  <c r="E1028"/>
  <c r="F1028"/>
  <c r="A1029"/>
  <c r="B1029"/>
  <c r="C1029"/>
  <c r="E1029"/>
  <c r="F1029"/>
  <c r="A1030"/>
  <c r="B1030"/>
  <c r="C1030"/>
  <c r="E1030"/>
  <c r="F1030"/>
  <c r="A1031"/>
  <c r="B1031"/>
  <c r="C1031"/>
  <c r="E1031"/>
  <c r="F1031"/>
  <c r="A1032"/>
  <c r="B1032"/>
  <c r="C1032"/>
  <c r="E1032"/>
  <c r="F1032"/>
  <c r="A1033"/>
  <c r="B1033"/>
  <c r="C1033"/>
  <c r="E1033"/>
  <c r="F1033"/>
  <c r="A1034"/>
  <c r="B1034"/>
  <c r="C1034"/>
  <c r="E1034"/>
  <c r="F1034"/>
  <c r="A1035"/>
  <c r="B1035"/>
  <c r="C1035"/>
  <c r="E1035"/>
  <c r="F1035"/>
  <c r="A1036"/>
  <c r="B1036"/>
  <c r="C1036"/>
  <c r="E1036"/>
  <c r="F1036"/>
  <c r="A1037"/>
  <c r="B1037"/>
  <c r="C1037"/>
  <c r="E1037"/>
  <c r="F1037"/>
  <c r="A1038"/>
  <c r="B1038"/>
  <c r="C1038"/>
  <c r="E1038"/>
  <c r="F1038"/>
  <c r="A1039"/>
  <c r="B1039"/>
  <c r="C1039"/>
  <c r="E1039"/>
  <c r="F1039"/>
  <c r="A1040"/>
  <c r="B1040"/>
  <c r="C1040"/>
  <c r="E1040"/>
  <c r="F1040"/>
  <c r="A1041"/>
  <c r="B1041"/>
  <c r="C1041"/>
  <c r="E1041"/>
  <c r="F1041"/>
  <c r="A1042"/>
  <c r="B1042"/>
  <c r="C1042"/>
  <c r="E1042"/>
  <c r="F1042"/>
  <c r="A1043"/>
  <c r="B1043"/>
  <c r="C1043"/>
  <c r="E1043"/>
  <c r="F1043"/>
  <c r="A1044"/>
  <c r="B1044"/>
  <c r="C1044"/>
  <c r="E1044"/>
  <c r="F1044"/>
  <c r="A1045"/>
  <c r="B1045"/>
  <c r="C1045"/>
  <c r="E1045"/>
  <c r="F1045"/>
  <c r="A1046"/>
  <c r="B1046"/>
  <c r="C1046"/>
  <c r="E1046"/>
  <c r="F1046"/>
  <c r="A1047"/>
  <c r="B1047"/>
  <c r="C1047"/>
  <c r="E1047"/>
  <c r="F1047"/>
  <c r="A1048"/>
  <c r="B1048"/>
  <c r="C1048"/>
  <c r="E1048"/>
  <c r="F1048"/>
  <c r="A1049"/>
  <c r="B1049"/>
  <c r="C1049"/>
  <c r="E1049"/>
  <c r="F1049"/>
  <c r="A1050"/>
  <c r="B1050"/>
  <c r="C1050"/>
  <c r="E1050"/>
  <c r="F1050"/>
  <c r="A1051"/>
  <c r="B1051"/>
  <c r="C1051"/>
  <c r="E1051"/>
  <c r="F1051"/>
  <c r="A1052"/>
  <c r="B1052"/>
  <c r="C1052"/>
  <c r="E1052"/>
  <c r="F1052"/>
  <c r="A1053"/>
  <c r="B1053"/>
  <c r="C1053"/>
  <c r="E1053"/>
  <c r="F1053"/>
  <c r="A1054"/>
  <c r="B1054"/>
  <c r="C1054"/>
  <c r="E1054"/>
  <c r="F1054"/>
  <c r="A1055"/>
  <c r="B1055"/>
  <c r="C1055"/>
  <c r="E1055"/>
  <c r="F1055"/>
  <c r="A1056"/>
  <c r="B1056"/>
  <c r="C1056"/>
  <c r="E1056"/>
  <c r="F1056"/>
  <c r="A1057"/>
  <c r="B1057"/>
  <c r="C1057"/>
  <c r="E1057"/>
  <c r="F1057"/>
  <c r="A1058"/>
  <c r="B1058"/>
  <c r="C1058"/>
  <c r="E1058"/>
  <c r="F1058"/>
  <c r="A1059"/>
  <c r="B1059"/>
  <c r="C1059"/>
  <c r="E1059"/>
  <c r="F1059"/>
  <c r="A1060"/>
  <c r="B1060"/>
  <c r="C1060"/>
  <c r="E1060"/>
  <c r="F1060"/>
  <c r="A1061"/>
  <c r="B1061"/>
  <c r="C1061"/>
  <c r="E1061"/>
  <c r="F1061"/>
  <c r="A1062"/>
  <c r="B1062"/>
  <c r="C1062"/>
  <c r="E1062"/>
  <c r="F1062"/>
  <c r="A1063"/>
  <c r="B1063"/>
  <c r="C1063"/>
  <c r="E1063"/>
  <c r="F1063"/>
  <c r="A1064"/>
  <c r="B1064"/>
  <c r="C1064"/>
  <c r="E1064"/>
  <c r="F1064"/>
  <c r="A1065"/>
  <c r="B1065"/>
  <c r="C1065"/>
  <c r="E1065"/>
  <c r="F1065"/>
  <c r="A1066"/>
  <c r="B1066"/>
  <c r="C1066"/>
  <c r="E1066"/>
  <c r="F1066"/>
  <c r="A1067"/>
  <c r="B1067"/>
  <c r="C1067"/>
  <c r="E1067"/>
  <c r="F1067"/>
  <c r="A1068"/>
  <c r="B1068"/>
  <c r="C1068"/>
  <c r="E1068"/>
  <c r="F1068"/>
  <c r="A1069"/>
  <c r="B1069"/>
  <c r="C1069"/>
  <c r="E1069"/>
  <c r="F1069"/>
  <c r="A1070"/>
  <c r="B1070"/>
  <c r="C1070"/>
  <c r="E1070"/>
  <c r="F1070"/>
  <c r="A1071"/>
  <c r="B1071"/>
  <c r="C1071"/>
  <c r="E1071"/>
  <c r="F1071"/>
  <c r="A1072"/>
  <c r="B1072"/>
  <c r="C1072"/>
  <c r="E1072"/>
  <c r="F1072"/>
  <c r="A1073"/>
  <c r="B1073"/>
  <c r="C1073"/>
  <c r="E1073"/>
  <c r="F1073"/>
  <c r="A1074"/>
  <c r="B1074"/>
  <c r="C1074"/>
  <c r="E1074"/>
  <c r="F1074"/>
  <c r="A1075"/>
  <c r="B1075"/>
  <c r="C1075"/>
  <c r="E1075"/>
  <c r="F1075"/>
  <c r="A1076"/>
  <c r="B1076"/>
  <c r="C1076"/>
  <c r="E1076"/>
  <c r="F1076"/>
  <c r="A1077"/>
  <c r="B1077"/>
  <c r="C1077"/>
  <c r="E1077"/>
  <c r="F1077"/>
  <c r="A1078"/>
  <c r="B1078"/>
  <c r="C1078"/>
  <c r="E1078"/>
  <c r="F1078"/>
  <c r="A1079"/>
  <c r="B1079"/>
  <c r="C1079"/>
  <c r="E1079"/>
  <c r="F1079"/>
  <c r="A1080"/>
  <c r="B1080"/>
  <c r="C1080"/>
  <c r="E1080"/>
  <c r="F1080"/>
  <c r="A1081"/>
  <c r="B1081"/>
  <c r="C1081"/>
  <c r="E1081"/>
  <c r="F1081"/>
  <c r="A1082"/>
  <c r="B1082"/>
  <c r="C1082"/>
  <c r="E1082"/>
  <c r="F1082"/>
  <c r="A1083"/>
  <c r="B1083"/>
  <c r="C1083"/>
  <c r="E1083"/>
  <c r="F1083"/>
  <c r="A1084"/>
  <c r="B1084"/>
  <c r="C1084"/>
  <c r="E1084"/>
  <c r="F1084"/>
  <c r="A1085"/>
  <c r="B1085"/>
  <c r="C1085"/>
  <c r="E1085"/>
  <c r="F1085"/>
  <c r="A1086"/>
  <c r="B1086"/>
  <c r="C1086"/>
  <c r="E1086"/>
  <c r="F1086"/>
  <c r="A1087"/>
  <c r="B1087"/>
  <c r="C1087"/>
  <c r="E1087"/>
  <c r="F1087"/>
  <c r="A1088"/>
  <c r="B1088"/>
  <c r="C1088"/>
  <c r="E1088"/>
  <c r="F1088"/>
  <c r="A1089"/>
  <c r="B1089"/>
  <c r="C1089"/>
  <c r="E1089"/>
  <c r="F1089"/>
  <c r="A1090"/>
  <c r="B1090"/>
  <c r="C1090"/>
  <c r="E1090"/>
  <c r="F1090"/>
  <c r="A1091"/>
  <c r="B1091"/>
  <c r="C1091"/>
  <c r="E1091"/>
  <c r="F1091"/>
  <c r="A1092"/>
  <c r="B1092"/>
  <c r="C1092"/>
  <c r="E1092"/>
  <c r="F1092"/>
  <c r="A1093"/>
  <c r="B1093"/>
  <c r="C1093"/>
  <c r="E1093"/>
  <c r="F1093"/>
  <c r="A1094"/>
  <c r="B1094"/>
  <c r="C1094"/>
  <c r="E1094"/>
  <c r="F1094"/>
  <c r="A1095"/>
  <c r="B1095"/>
  <c r="C1095"/>
  <c r="E1095"/>
  <c r="F1095"/>
  <c r="A1096"/>
  <c r="B1096"/>
  <c r="C1096"/>
  <c r="E1096"/>
  <c r="F1096"/>
  <c r="A1097"/>
  <c r="B1097"/>
  <c r="C1097"/>
  <c r="E1097"/>
  <c r="F1097"/>
  <c r="A1098"/>
  <c r="B1098"/>
  <c r="C1098"/>
  <c r="E1098"/>
  <c r="F1098"/>
  <c r="A1099"/>
  <c r="B1099"/>
  <c r="C1099"/>
  <c r="E1099"/>
  <c r="F1099"/>
  <c r="A1100"/>
  <c r="B1100"/>
  <c r="C1100"/>
  <c r="E1100"/>
  <c r="F1100"/>
  <c r="A1101"/>
  <c r="B1101"/>
  <c r="C1101"/>
  <c r="E1101"/>
  <c r="F1101"/>
  <c r="A1102"/>
  <c r="B1102"/>
  <c r="C1102"/>
  <c r="E1102"/>
  <c r="F1102"/>
  <c r="A1103"/>
  <c r="B1103"/>
  <c r="C1103"/>
  <c r="E1103"/>
  <c r="F1103"/>
  <c r="A1104"/>
  <c r="B1104"/>
  <c r="C1104"/>
  <c r="E1104"/>
  <c r="F1104"/>
  <c r="A1105"/>
  <c r="B1105"/>
  <c r="C1105"/>
  <c r="E1105"/>
  <c r="F1105"/>
  <c r="A1106"/>
  <c r="B1106"/>
  <c r="C1106"/>
  <c r="E1106"/>
  <c r="F1106"/>
  <c r="A1107"/>
  <c r="B1107"/>
  <c r="C1107"/>
  <c r="E1107"/>
  <c r="F1107"/>
  <c r="A1108"/>
  <c r="B1108"/>
  <c r="C1108"/>
  <c r="E1108"/>
  <c r="F1108"/>
  <c r="A1109"/>
  <c r="B1109"/>
  <c r="C1109"/>
  <c r="E1109"/>
  <c r="F1109"/>
  <c r="A1110"/>
  <c r="B1110"/>
  <c r="C1110"/>
  <c r="E1110"/>
  <c r="F1110"/>
  <c r="A1111"/>
  <c r="B1111"/>
  <c r="C1111"/>
  <c r="E1111"/>
  <c r="F1111"/>
  <c r="A1112"/>
  <c r="B1112"/>
  <c r="C1112"/>
  <c r="E1112"/>
  <c r="F1112"/>
  <c r="A1113"/>
  <c r="B1113"/>
  <c r="C1113"/>
  <c r="E1113"/>
  <c r="F1113"/>
  <c r="A1114"/>
  <c r="B1114"/>
  <c r="C1114"/>
  <c r="E1114"/>
  <c r="F1114"/>
  <c r="A1115"/>
  <c r="B1115"/>
  <c r="C1115"/>
  <c r="E1115"/>
  <c r="F1115"/>
  <c r="A1116"/>
  <c r="B1116"/>
  <c r="C1116"/>
  <c r="E1116"/>
  <c r="F1116"/>
  <c r="A1117"/>
  <c r="B1117"/>
  <c r="C1117"/>
  <c r="E1117"/>
  <c r="F1117"/>
  <c r="A1118"/>
  <c r="B1118"/>
  <c r="C1118"/>
  <c r="E1118"/>
  <c r="F1118"/>
  <c r="A1119"/>
  <c r="B1119"/>
  <c r="C1119"/>
  <c r="E1119"/>
  <c r="F1119"/>
  <c r="A1120"/>
  <c r="B1120"/>
  <c r="C1120"/>
  <c r="E1120"/>
  <c r="F1120"/>
  <c r="A1121"/>
  <c r="B1121"/>
  <c r="C1121"/>
  <c r="E1121"/>
  <c r="F1121"/>
  <c r="A1122"/>
  <c r="B1122"/>
  <c r="C1122"/>
  <c r="E1122"/>
  <c r="F1122"/>
  <c r="A1123"/>
  <c r="B1123"/>
  <c r="C1123"/>
  <c r="E1123"/>
  <c r="F1123"/>
  <c r="A1124"/>
  <c r="B1124"/>
  <c r="C1124"/>
  <c r="E1124"/>
  <c r="F1124"/>
  <c r="A1125"/>
  <c r="B1125"/>
  <c r="C1125"/>
  <c r="E1125"/>
  <c r="F1125"/>
  <c r="A1126"/>
  <c r="B1126"/>
  <c r="C1126"/>
  <c r="E1126"/>
  <c r="F1126"/>
  <c r="A1127"/>
  <c r="B1127"/>
  <c r="C1127"/>
  <c r="E1127"/>
  <c r="F1127"/>
  <c r="A1128"/>
  <c r="B1128"/>
  <c r="C1128"/>
  <c r="E1128"/>
  <c r="F1128"/>
  <c r="A1129"/>
  <c r="B1129"/>
  <c r="C1129"/>
  <c r="E1129"/>
  <c r="F1129"/>
  <c r="A1130"/>
  <c r="B1130"/>
  <c r="C1130"/>
  <c r="E1130"/>
  <c r="F1130"/>
  <c r="A1131"/>
  <c r="B1131"/>
  <c r="C1131"/>
  <c r="E1131"/>
  <c r="F1131"/>
  <c r="A1132"/>
  <c r="B1132"/>
  <c r="C1132"/>
  <c r="E1132"/>
  <c r="F1132"/>
  <c r="A1133"/>
  <c r="B1133"/>
  <c r="C1133"/>
  <c r="E1133"/>
  <c r="F1133"/>
  <c r="A1134"/>
  <c r="B1134"/>
  <c r="C1134"/>
  <c r="E1134"/>
  <c r="F1134"/>
  <c r="A1135"/>
  <c r="B1135"/>
  <c r="C1135"/>
  <c r="E1135"/>
  <c r="F1135"/>
  <c r="A1136"/>
  <c r="B1136"/>
  <c r="C1136"/>
  <c r="E1136"/>
  <c r="F1136"/>
  <c r="A1137"/>
  <c r="B1137"/>
  <c r="C1137"/>
  <c r="E1137"/>
  <c r="F1137"/>
  <c r="A1138"/>
  <c r="B1138"/>
  <c r="C1138"/>
  <c r="E1138"/>
  <c r="F1138"/>
  <c r="A1139"/>
  <c r="B1139"/>
  <c r="C1139"/>
  <c r="E1139"/>
  <c r="F1139"/>
  <c r="A1140"/>
  <c r="B1140"/>
  <c r="C1140"/>
  <c r="E1140"/>
  <c r="F1140"/>
  <c r="A1141"/>
  <c r="B1141"/>
  <c r="C1141"/>
  <c r="E1141"/>
  <c r="F1141"/>
  <c r="A1142"/>
  <c r="B1142"/>
  <c r="C1142"/>
  <c r="E1142"/>
  <c r="F1142"/>
  <c r="A1143"/>
  <c r="B1143"/>
  <c r="C1143"/>
  <c r="E1143"/>
  <c r="F1143"/>
  <c r="A1144"/>
  <c r="B1144"/>
  <c r="C1144"/>
  <c r="E1144"/>
  <c r="F1144"/>
  <c r="A1145"/>
  <c r="B1145"/>
  <c r="C1145"/>
  <c r="E1145"/>
  <c r="F1145"/>
  <c r="A1146"/>
  <c r="B1146"/>
  <c r="C1146"/>
  <c r="E1146"/>
  <c r="F1146"/>
  <c r="A1147"/>
  <c r="B1147"/>
  <c r="C1147"/>
  <c r="E1147"/>
  <c r="F1147"/>
  <c r="A1148"/>
  <c r="B1148"/>
  <c r="C1148"/>
  <c r="E1148"/>
  <c r="F1148"/>
  <c r="A1149"/>
  <c r="B1149"/>
  <c r="C1149"/>
  <c r="E1149"/>
  <c r="F1149"/>
  <c r="A1150"/>
  <c r="B1150"/>
  <c r="C1150"/>
  <c r="E1150"/>
  <c r="F1150"/>
  <c r="A1151"/>
  <c r="B1151"/>
  <c r="C1151"/>
  <c r="E1151"/>
  <c r="F1151"/>
  <c r="A1152"/>
  <c r="B1152"/>
  <c r="C1152"/>
  <c r="E1152"/>
  <c r="F1152"/>
  <c r="A1153"/>
  <c r="B1153"/>
  <c r="C1153"/>
  <c r="E1153"/>
  <c r="F1153"/>
  <c r="A1154"/>
  <c r="B1154"/>
  <c r="C1154"/>
  <c r="E1154"/>
  <c r="F1154"/>
  <c r="A1155"/>
  <c r="B1155"/>
  <c r="C1155"/>
  <c r="E1155"/>
  <c r="F1155"/>
  <c r="A1156"/>
  <c r="B1156"/>
  <c r="C1156"/>
  <c r="E1156"/>
  <c r="F1156"/>
  <c r="A1157"/>
  <c r="B1157"/>
  <c r="C1157"/>
  <c r="E1157"/>
  <c r="F1157"/>
  <c r="A1158"/>
  <c r="B1158"/>
  <c r="C1158"/>
  <c r="E1158"/>
  <c r="F1158"/>
  <c r="A1159"/>
  <c r="B1159"/>
  <c r="C1159"/>
  <c r="E1159"/>
  <c r="F1159"/>
  <c r="A1160"/>
  <c r="B1160"/>
  <c r="C1160"/>
  <c r="E1160"/>
  <c r="F1160"/>
  <c r="A1161"/>
  <c r="B1161"/>
  <c r="C1161"/>
  <c r="E1161"/>
  <c r="F1161"/>
  <c r="A1162"/>
  <c r="B1162"/>
  <c r="C1162"/>
  <c r="E1162"/>
  <c r="F1162"/>
  <c r="A1163"/>
  <c r="B1163"/>
  <c r="C1163"/>
  <c r="E1163"/>
  <c r="F1163"/>
  <c r="A1164"/>
  <c r="B1164"/>
  <c r="C1164"/>
  <c r="E1164"/>
  <c r="F1164"/>
  <c r="A1165"/>
  <c r="B1165"/>
  <c r="C1165"/>
  <c r="E1165"/>
  <c r="F1165"/>
  <c r="A1166"/>
  <c r="B1166"/>
  <c r="C1166"/>
  <c r="E1166"/>
  <c r="F1166"/>
  <c r="A1167"/>
  <c r="B1167"/>
  <c r="C1167"/>
  <c r="E1167"/>
  <c r="F1167"/>
  <c r="A1168"/>
  <c r="B1168"/>
  <c r="C1168"/>
  <c r="E1168"/>
  <c r="F1168"/>
  <c r="C1169"/>
  <c r="E1169"/>
  <c r="F1169"/>
  <c r="C1170"/>
  <c r="E1170"/>
  <c r="F1170"/>
  <c r="C1171"/>
  <c r="E1171"/>
  <c r="F1171"/>
  <c r="C1172"/>
  <c r="E1172"/>
  <c r="F1172"/>
  <c r="C1173"/>
  <c r="E1173"/>
  <c r="F1173"/>
  <c r="C1174"/>
  <c r="E1174"/>
  <c r="F1174"/>
  <c r="A1175"/>
  <c r="B1175"/>
  <c r="C1175"/>
  <c r="E1175"/>
  <c r="F1175"/>
  <c r="A1176"/>
  <c r="B1176"/>
  <c r="C1176"/>
  <c r="E1176"/>
  <c r="F1176"/>
  <c r="A1177"/>
  <c r="B1177"/>
  <c r="C1177"/>
  <c r="E1177"/>
  <c r="F1177"/>
  <c r="A1178"/>
  <c r="B1178"/>
  <c r="C1178"/>
  <c r="E1178"/>
  <c r="F1178"/>
  <c r="A1179"/>
  <c r="B1179"/>
  <c r="C1179"/>
  <c r="E1179"/>
  <c r="F1179"/>
  <c r="A1180"/>
  <c r="B1180"/>
  <c r="C1180"/>
  <c r="E1180"/>
  <c r="F1180"/>
  <c r="A1181"/>
  <c r="B1181"/>
  <c r="C1181"/>
  <c r="E1181"/>
  <c r="F1181"/>
  <c r="A1182"/>
  <c r="B1182"/>
  <c r="C1182"/>
  <c r="E1182"/>
  <c r="F1182"/>
  <c r="A1183"/>
  <c r="B1183"/>
  <c r="C1183"/>
  <c r="E1183"/>
  <c r="F1183"/>
  <c r="A1184"/>
  <c r="B1184"/>
  <c r="C1184"/>
  <c r="E1184"/>
  <c r="F1184"/>
  <c r="A1185"/>
  <c r="B1185"/>
  <c r="C1185"/>
  <c r="E1185"/>
  <c r="F1185"/>
  <c r="A1186"/>
  <c r="B1186"/>
  <c r="C1186"/>
  <c r="E1186"/>
  <c r="F1186"/>
  <c r="A1187"/>
  <c r="B1187"/>
  <c r="C1187"/>
  <c r="E1187"/>
  <c r="F1187"/>
  <c r="A1188"/>
  <c r="B1188"/>
  <c r="C1188"/>
  <c r="E1188"/>
  <c r="F1188"/>
  <c r="A1189"/>
  <c r="B1189"/>
  <c r="C1189"/>
  <c r="E1189"/>
  <c r="F1189"/>
  <c r="A1190"/>
  <c r="B1190"/>
  <c r="C1190"/>
  <c r="E1190"/>
  <c r="F1190"/>
  <c r="A1191"/>
  <c r="B1191"/>
  <c r="C1191"/>
  <c r="E1191"/>
  <c r="F1191"/>
  <c r="A1192"/>
  <c r="B1192"/>
  <c r="C1192"/>
  <c r="E1192"/>
  <c r="F1192"/>
  <c r="A1193"/>
  <c r="B1193"/>
  <c r="C1193"/>
  <c r="E1193"/>
  <c r="F1193"/>
  <c r="A1194"/>
  <c r="B1194"/>
  <c r="C1194"/>
  <c r="E1194"/>
  <c r="F1194"/>
  <c r="A1195"/>
  <c r="B1195"/>
  <c r="C1195"/>
  <c r="E1195"/>
  <c r="F1195"/>
  <c r="A1196"/>
  <c r="B1196"/>
  <c r="C1196"/>
  <c r="E1196"/>
  <c r="F1196"/>
  <c r="A1197"/>
  <c r="B1197"/>
  <c r="C1197"/>
  <c r="E1197"/>
  <c r="F1197"/>
  <c r="A1198"/>
  <c r="B1198"/>
  <c r="C1198"/>
  <c r="E1198"/>
  <c r="F1198"/>
  <c r="A1199"/>
  <c r="B1199"/>
  <c r="C1199"/>
  <c r="E1199"/>
  <c r="F1199"/>
  <c r="A1200"/>
  <c r="B1200"/>
  <c r="C1200"/>
  <c r="E1200"/>
  <c r="F1200"/>
  <c r="A1201"/>
  <c r="B1201"/>
  <c r="C1201"/>
  <c r="E1201"/>
  <c r="F1201"/>
  <c r="A1202"/>
  <c r="B1202"/>
  <c r="C1202"/>
  <c r="E1202"/>
  <c r="F1202"/>
  <c r="A1203"/>
  <c r="B1203"/>
  <c r="C1203"/>
  <c r="E1203"/>
  <c r="F1203"/>
  <c r="A1204"/>
  <c r="B1204"/>
  <c r="C1204"/>
  <c r="E1204"/>
  <c r="F1204"/>
  <c r="A1205"/>
  <c r="B1205"/>
  <c r="C1205"/>
  <c r="E1205"/>
  <c r="F1205"/>
  <c r="A1206"/>
  <c r="B1206"/>
  <c r="C1206"/>
  <c r="E1206"/>
  <c r="F1206"/>
  <c r="A1207"/>
  <c r="B1207"/>
  <c r="C1207"/>
  <c r="E1207"/>
  <c r="F1207"/>
  <c r="A1208"/>
  <c r="B1208"/>
  <c r="C1208"/>
  <c r="E1208"/>
  <c r="F1208"/>
  <c r="A1209"/>
  <c r="B1209"/>
  <c r="C1209"/>
  <c r="E1209"/>
  <c r="F1209"/>
  <c r="A1210"/>
  <c r="B1210"/>
  <c r="C1210"/>
  <c r="E1210"/>
  <c r="F1210"/>
  <c r="A1211"/>
  <c r="B1211"/>
  <c r="C1211"/>
  <c r="E1211"/>
  <c r="F1211"/>
  <c r="A1212"/>
  <c r="B1212"/>
  <c r="C1212"/>
  <c r="E1212"/>
  <c r="F1212"/>
  <c r="A1213"/>
  <c r="B1213"/>
  <c r="C1213"/>
  <c r="E1213"/>
  <c r="F1213"/>
  <c r="A1214"/>
  <c r="B1214"/>
  <c r="C1214"/>
  <c r="E1214"/>
  <c r="F1214"/>
  <c r="A1215"/>
  <c r="B1215"/>
  <c r="C1215"/>
  <c r="E1215"/>
  <c r="F1215"/>
  <c r="A1216"/>
  <c r="B1216"/>
  <c r="C1216"/>
  <c r="E1216"/>
  <c r="F1216"/>
  <c r="A1217"/>
  <c r="B1217"/>
  <c r="C1217"/>
  <c r="E1217"/>
  <c r="F1217"/>
  <c r="A1218"/>
  <c r="B1218"/>
  <c r="C1218"/>
  <c r="E1218"/>
  <c r="F1218"/>
  <c r="A1219"/>
  <c r="B1219"/>
  <c r="C1219"/>
  <c r="E1219"/>
  <c r="F1219"/>
  <c r="A1220"/>
  <c r="B1220"/>
  <c r="C1220"/>
  <c r="E1220"/>
  <c r="F1220"/>
  <c r="A1221"/>
  <c r="B1221"/>
  <c r="C1221"/>
  <c r="E1221"/>
  <c r="F1221"/>
  <c r="A1222"/>
  <c r="B1222"/>
  <c r="C1222"/>
  <c r="E1222"/>
  <c r="F1222"/>
  <c r="A1223"/>
  <c r="B1223"/>
  <c r="C1223"/>
  <c r="E1223"/>
  <c r="F1223"/>
  <c r="A1224"/>
  <c r="B1224"/>
  <c r="C1224"/>
  <c r="E1224"/>
  <c r="F1224"/>
  <c r="A1225"/>
  <c r="B1225"/>
  <c r="C1225"/>
  <c r="E1225"/>
  <c r="F1225"/>
  <c r="A1226"/>
  <c r="B1226"/>
  <c r="C1226"/>
  <c r="E1226"/>
  <c r="F1226"/>
  <c r="A1227"/>
  <c r="B1227"/>
  <c r="C1227"/>
  <c r="E1227"/>
  <c r="F1227"/>
  <c r="A1228"/>
  <c r="B1228"/>
  <c r="C1228"/>
  <c r="E1228"/>
  <c r="F1228"/>
  <c r="A1229"/>
  <c r="B1229"/>
  <c r="C1229"/>
  <c r="E1229"/>
  <c r="F1229"/>
  <c r="A1230"/>
  <c r="B1230"/>
  <c r="C1230"/>
  <c r="E1230"/>
  <c r="F1230"/>
  <c r="A1231"/>
  <c r="B1231"/>
  <c r="C1231"/>
  <c r="E1231"/>
  <c r="F1231"/>
  <c r="A1232"/>
  <c r="B1232"/>
  <c r="C1232"/>
  <c r="E1232"/>
  <c r="F1232"/>
  <c r="A1233"/>
  <c r="B1233"/>
  <c r="C1233"/>
  <c r="E1233"/>
  <c r="F1233"/>
  <c r="A1234"/>
  <c r="B1234"/>
  <c r="C1234"/>
  <c r="E1234"/>
  <c r="F1234"/>
  <c r="A1235"/>
  <c r="B1235"/>
  <c r="C1235"/>
  <c r="E1235"/>
  <c r="F1235"/>
  <c r="A1236"/>
  <c r="B1236"/>
  <c r="C1236"/>
  <c r="E1236"/>
  <c r="F1236"/>
  <c r="A1237"/>
  <c r="B1237"/>
  <c r="C1237"/>
  <c r="E1237"/>
  <c r="F1237"/>
  <c r="A1238"/>
  <c r="B1238"/>
  <c r="C1238"/>
  <c r="E1238"/>
  <c r="F1238"/>
  <c r="A1239"/>
  <c r="B1239"/>
  <c r="C1239"/>
  <c r="E1239"/>
  <c r="F1239"/>
  <c r="A1240"/>
  <c r="B1240"/>
  <c r="C1240"/>
  <c r="E1240"/>
  <c r="F1240"/>
  <c r="A1241"/>
  <c r="B1241"/>
  <c r="C1241"/>
  <c r="E1241"/>
  <c r="F1241"/>
  <c r="A1242"/>
  <c r="B1242"/>
  <c r="C1242"/>
  <c r="E1242"/>
  <c r="F1242"/>
  <c r="A1243"/>
  <c r="B1243"/>
  <c r="C1243"/>
  <c r="E1243"/>
  <c r="F1243"/>
  <c r="A1244"/>
  <c r="B1244"/>
  <c r="C1244"/>
  <c r="E1244"/>
  <c r="F1244"/>
  <c r="A1245"/>
  <c r="B1245"/>
  <c r="C1245"/>
  <c r="E1245"/>
  <c r="F1245"/>
  <c r="A1246"/>
  <c r="B1246"/>
  <c r="C1246"/>
  <c r="E1246"/>
  <c r="F1246"/>
  <c r="A1247"/>
  <c r="B1247"/>
  <c r="C1247"/>
  <c r="E1247"/>
  <c r="F1247"/>
  <c r="A1248"/>
  <c r="B1248"/>
  <c r="C1248"/>
  <c r="E1248"/>
  <c r="F1248"/>
  <c r="A1249"/>
  <c r="B1249"/>
  <c r="C1249"/>
  <c r="E1249"/>
  <c r="F1249"/>
  <c r="A1250"/>
  <c r="B1250"/>
  <c r="C1250"/>
  <c r="E1250"/>
  <c r="F1250"/>
  <c r="A1251"/>
  <c r="B1251"/>
  <c r="C1251"/>
  <c r="E1251"/>
  <c r="F1251"/>
  <c r="A1252"/>
  <c r="B1252"/>
  <c r="C1252"/>
  <c r="E1252"/>
  <c r="F1252"/>
  <c r="A1253"/>
  <c r="B1253"/>
  <c r="C1253"/>
  <c r="E1253"/>
  <c r="F1253"/>
  <c r="A1254"/>
  <c r="B1254"/>
  <c r="C1254"/>
  <c r="E1254"/>
  <c r="F1254"/>
  <c r="A1255"/>
  <c r="B1255"/>
  <c r="C1255"/>
  <c r="E1255"/>
  <c r="F1255"/>
  <c r="A1256"/>
  <c r="B1256"/>
  <c r="C1256"/>
  <c r="E1256"/>
  <c r="F1256"/>
  <c r="A1257"/>
  <c r="B1257"/>
  <c r="C1257"/>
  <c r="E1257"/>
  <c r="F1257"/>
  <c r="A1258"/>
  <c r="B1258"/>
  <c r="C1258"/>
  <c r="E1258"/>
  <c r="F1258"/>
  <c r="A1259"/>
  <c r="B1259"/>
  <c r="C1259"/>
  <c r="E1259"/>
  <c r="F1259"/>
  <c r="A1260"/>
  <c r="B1260"/>
  <c r="C1260"/>
  <c r="E1260"/>
  <c r="F1260"/>
  <c r="A1261"/>
  <c r="B1261"/>
  <c r="C1261"/>
  <c r="E1261"/>
  <c r="F1261"/>
  <c r="A1262"/>
  <c r="B1262"/>
  <c r="C1262"/>
  <c r="E1262"/>
  <c r="F1262"/>
  <c r="A1263"/>
  <c r="B1263"/>
  <c r="C1263"/>
  <c r="E1263"/>
  <c r="F1263"/>
  <c r="A1264"/>
  <c r="B1264"/>
  <c r="C1264"/>
  <c r="E1264"/>
  <c r="F1264"/>
  <c r="A1265"/>
  <c r="B1265"/>
  <c r="C1265"/>
  <c r="E1265"/>
  <c r="F1265"/>
  <c r="A1266"/>
  <c r="B1266"/>
  <c r="C1266"/>
  <c r="E1266"/>
  <c r="F1266"/>
  <c r="A1267"/>
  <c r="B1267"/>
  <c r="C1267"/>
  <c r="E1267"/>
  <c r="F1267"/>
  <c r="A1268"/>
  <c r="B1268"/>
  <c r="C1268"/>
  <c r="E1268"/>
  <c r="F1268"/>
  <c r="A1269"/>
  <c r="B1269"/>
  <c r="C1269"/>
  <c r="E1269"/>
  <c r="F1269"/>
  <c r="A1270"/>
  <c r="B1270"/>
  <c r="C1270"/>
  <c r="E1270"/>
  <c r="F1270"/>
  <c r="A1271"/>
  <c r="B1271"/>
  <c r="C1271"/>
  <c r="E1271"/>
  <c r="F1271"/>
  <c r="A1272"/>
  <c r="B1272"/>
  <c r="C1272"/>
  <c r="E1272"/>
  <c r="F1272"/>
  <c r="A1273"/>
  <c r="B1273"/>
  <c r="C1273"/>
  <c r="E1273"/>
  <c r="F1273"/>
  <c r="A1274"/>
  <c r="B1274"/>
  <c r="C1274"/>
  <c r="E1274"/>
  <c r="F1274"/>
  <c r="A1275"/>
  <c r="B1275"/>
  <c r="C1275"/>
  <c r="E1275"/>
  <c r="F1275"/>
  <c r="A1276"/>
  <c r="B1276"/>
  <c r="C1276"/>
  <c r="E1276"/>
  <c r="F1276"/>
  <c r="A1277"/>
  <c r="B1277"/>
  <c r="C1277"/>
  <c r="E1277"/>
  <c r="F1277"/>
  <c r="A1278"/>
  <c r="B1278"/>
  <c r="C1278"/>
  <c r="E1278"/>
  <c r="F1278"/>
  <c r="A1279"/>
  <c r="B1279"/>
  <c r="C1279"/>
  <c r="E1279"/>
  <c r="F1279"/>
  <c r="A1280"/>
  <c r="B1280"/>
  <c r="C1280"/>
  <c r="E1280"/>
  <c r="F1280"/>
  <c r="A1281"/>
  <c r="B1281"/>
  <c r="C1281"/>
  <c r="E1281"/>
  <c r="F1281"/>
  <c r="A1282"/>
  <c r="B1282"/>
  <c r="C1282"/>
  <c r="E1282"/>
  <c r="F1282"/>
  <c r="A1283"/>
  <c r="B1283"/>
  <c r="C1283"/>
  <c r="E1283"/>
  <c r="F1283"/>
  <c r="A1284"/>
  <c r="B1284"/>
  <c r="C1284"/>
  <c r="E1284"/>
  <c r="F1284"/>
  <c r="A1285"/>
  <c r="B1285"/>
  <c r="C1285"/>
  <c r="E1285"/>
  <c r="F1285"/>
  <c r="A1286"/>
  <c r="B1286"/>
  <c r="C1286"/>
  <c r="E1286"/>
  <c r="F1286"/>
  <c r="A1287"/>
  <c r="B1287"/>
  <c r="C1287"/>
  <c r="E1287"/>
  <c r="F1287"/>
  <c r="A1288"/>
  <c r="B1288"/>
  <c r="C1288"/>
  <c r="E1288"/>
  <c r="F1288"/>
  <c r="A1289"/>
  <c r="B1289"/>
  <c r="C1289"/>
  <c r="E1289"/>
  <c r="F1289"/>
  <c r="A1290"/>
  <c r="B1290"/>
  <c r="C1290"/>
  <c r="E1290"/>
  <c r="F1290"/>
  <c r="A1291"/>
  <c r="B1291"/>
  <c r="C1291"/>
  <c r="E1291"/>
  <c r="F1291"/>
  <c r="A1292"/>
  <c r="B1292"/>
  <c r="C1292"/>
  <c r="E1292"/>
  <c r="F1292"/>
  <c r="A1293"/>
  <c r="B1293"/>
  <c r="C1293"/>
  <c r="E1293"/>
  <c r="F1293"/>
  <c r="A1294"/>
  <c r="B1294"/>
  <c r="C1294"/>
  <c r="E1294"/>
  <c r="F1294"/>
  <c r="A1295"/>
  <c r="B1295"/>
  <c r="C1295"/>
  <c r="E1295"/>
  <c r="F1295"/>
  <c r="A1296"/>
  <c r="B1296"/>
  <c r="C1296"/>
  <c r="E1296"/>
  <c r="F1296"/>
  <c r="A1297"/>
  <c r="B1297"/>
  <c r="C1297"/>
  <c r="E1297"/>
  <c r="F1297"/>
  <c r="A1298"/>
  <c r="B1298"/>
  <c r="C1298"/>
  <c r="E1298"/>
  <c r="F1298"/>
  <c r="A1299"/>
  <c r="B1299"/>
  <c r="C1299"/>
  <c r="E1299"/>
  <c r="F1299"/>
  <c r="A1300"/>
  <c r="B1300"/>
  <c r="C1300"/>
  <c r="E1300"/>
  <c r="F1300"/>
  <c r="A1301"/>
  <c r="B1301"/>
  <c r="C1301"/>
  <c r="E1301"/>
  <c r="F1301"/>
  <c r="A1302"/>
  <c r="B1302"/>
  <c r="C1302"/>
  <c r="E1302"/>
  <c r="F1302"/>
  <c r="A1303"/>
  <c r="B1303"/>
  <c r="C1303"/>
  <c r="E1303"/>
  <c r="F1303"/>
  <c r="A1304"/>
  <c r="B1304"/>
  <c r="C1304"/>
  <c r="E1304"/>
  <c r="F1304"/>
  <c r="A1305"/>
  <c r="B1305"/>
  <c r="C1305"/>
  <c r="E1305"/>
  <c r="F1305"/>
  <c r="A1306"/>
  <c r="B1306"/>
  <c r="C1306"/>
  <c r="E1306"/>
  <c r="F1306"/>
  <c r="A1307"/>
  <c r="B1307"/>
  <c r="C1307"/>
  <c r="E1307"/>
  <c r="F1307"/>
  <c r="A1308"/>
  <c r="B1308"/>
  <c r="C1308"/>
  <c r="E1308"/>
  <c r="F1308"/>
  <c r="A1309"/>
  <c r="B1309"/>
  <c r="C1309"/>
  <c r="E1309"/>
  <c r="F1309"/>
  <c r="A1310"/>
  <c r="B1310"/>
  <c r="C1310"/>
  <c r="E1310"/>
  <c r="F1310"/>
  <c r="A1311"/>
  <c r="B1311"/>
  <c r="C1311"/>
  <c r="E1311"/>
  <c r="F1311"/>
  <c r="A1312"/>
  <c r="B1312"/>
  <c r="C1312"/>
  <c r="E1312"/>
  <c r="F1312"/>
  <c r="A1313"/>
  <c r="B1313"/>
  <c r="C1313"/>
  <c r="E1313"/>
  <c r="F1313"/>
  <c r="A1314"/>
  <c r="B1314"/>
  <c r="C1314"/>
  <c r="E1314"/>
  <c r="F1314"/>
  <c r="A1315"/>
  <c r="B1315"/>
  <c r="C1315"/>
  <c r="E1315"/>
  <c r="F1315"/>
  <c r="A1316"/>
  <c r="B1316"/>
  <c r="C1316"/>
  <c r="E1316"/>
  <c r="F1316"/>
  <c r="A1317"/>
  <c r="B1317"/>
  <c r="C1317"/>
  <c r="E1317"/>
  <c r="F1317"/>
  <c r="A1318"/>
  <c r="B1318"/>
  <c r="C1318"/>
  <c r="E1318"/>
  <c r="F1318"/>
  <c r="A1319"/>
  <c r="B1319"/>
  <c r="C1319"/>
  <c r="E1319"/>
  <c r="F1319"/>
  <c r="A1320"/>
  <c r="B1320"/>
  <c r="C1320"/>
  <c r="E1320"/>
  <c r="F1320"/>
  <c r="A1321"/>
  <c r="B1321"/>
  <c r="C1321"/>
  <c r="E1321"/>
  <c r="F1321"/>
  <c r="A1322"/>
  <c r="B1322"/>
  <c r="C1322"/>
  <c r="E1322"/>
  <c r="F1322"/>
  <c r="A1323"/>
  <c r="B1323"/>
  <c r="C1323"/>
  <c r="E1323"/>
  <c r="F1323"/>
  <c r="A1324"/>
  <c r="B1324"/>
  <c r="C1324"/>
  <c r="E1324"/>
  <c r="F1324"/>
  <c r="A1325"/>
  <c r="B1325"/>
  <c r="C1325"/>
  <c r="E1325"/>
  <c r="F1325"/>
  <c r="A1326"/>
  <c r="B1326"/>
  <c r="C1326"/>
  <c r="E1326"/>
  <c r="F1326"/>
  <c r="A1327"/>
  <c r="B1327"/>
  <c r="C1327"/>
  <c r="E1327"/>
  <c r="F1327"/>
  <c r="A1328"/>
  <c r="B1328"/>
  <c r="C1328"/>
  <c r="E1328"/>
  <c r="F1328"/>
  <c r="A1329"/>
  <c r="B1329"/>
  <c r="C1329"/>
  <c r="E1329"/>
  <c r="F1329"/>
  <c r="A1330"/>
  <c r="B1330"/>
  <c r="C1330"/>
  <c r="E1330"/>
  <c r="F1330"/>
  <c r="A1331"/>
  <c r="B1331"/>
  <c r="C1331"/>
  <c r="E1331"/>
  <c r="F1331"/>
  <c r="A1332"/>
  <c r="B1332"/>
  <c r="C1332"/>
  <c r="E1332"/>
  <c r="F1332"/>
  <c r="A1333"/>
  <c r="B1333"/>
  <c r="C1333"/>
  <c r="E1333"/>
  <c r="F1333"/>
  <c r="A1334"/>
  <c r="B1334"/>
  <c r="C1334"/>
  <c r="E1334"/>
  <c r="F1334"/>
  <c r="A1335"/>
  <c r="B1335"/>
  <c r="C1335"/>
  <c r="E1335"/>
  <c r="F1335"/>
  <c r="A1336"/>
  <c r="B1336"/>
  <c r="C1336"/>
  <c r="E1336"/>
  <c r="F1336"/>
  <c r="A1337"/>
  <c r="B1337"/>
  <c r="C1337"/>
  <c r="E1337"/>
  <c r="F1337"/>
  <c r="A1338"/>
  <c r="B1338"/>
  <c r="C1338"/>
  <c r="E1338"/>
  <c r="F1338"/>
  <c r="A1339"/>
  <c r="B1339"/>
  <c r="C1339"/>
  <c r="E1339"/>
  <c r="F1339"/>
  <c r="A1340"/>
  <c r="B1340"/>
  <c r="C1340"/>
  <c r="E1340"/>
  <c r="F1340"/>
  <c r="A1341"/>
  <c r="B1341"/>
  <c r="C1341"/>
  <c r="E1341"/>
  <c r="F1341"/>
  <c r="A1342"/>
  <c r="B1342"/>
  <c r="C1342"/>
  <c r="E1342"/>
  <c r="F1342"/>
  <c r="A1343"/>
  <c r="B1343"/>
  <c r="C1343"/>
  <c r="E1343"/>
  <c r="F1343"/>
  <c r="A1344"/>
  <c r="B1344"/>
  <c r="C1344"/>
  <c r="E1344"/>
  <c r="F1344"/>
  <c r="A1345"/>
  <c r="B1345"/>
  <c r="C1345"/>
  <c r="E1345"/>
  <c r="F1345"/>
  <c r="A1346"/>
  <c r="B1346"/>
  <c r="C1346"/>
  <c r="E1346"/>
  <c r="F1346"/>
  <c r="A1347"/>
  <c r="B1347"/>
  <c r="C1347"/>
  <c r="E1347"/>
  <c r="F1347"/>
  <c r="A1348"/>
  <c r="B1348"/>
  <c r="C1348"/>
  <c r="E1348"/>
  <c r="F1348"/>
  <c r="A1349"/>
  <c r="B1349"/>
  <c r="C1349"/>
  <c r="E1349"/>
  <c r="F1349"/>
  <c r="A1350"/>
  <c r="B1350"/>
  <c r="C1350"/>
  <c r="E1350"/>
  <c r="F1350"/>
  <c r="A1351"/>
  <c r="B1351"/>
  <c r="C1351"/>
  <c r="E1351"/>
  <c r="F1351"/>
  <c r="A1352"/>
  <c r="B1352"/>
  <c r="C1352"/>
  <c r="E1352"/>
  <c r="F1352"/>
  <c r="A1353"/>
  <c r="B1353"/>
  <c r="C1353"/>
  <c r="E1353"/>
  <c r="F1353"/>
  <c r="A1354"/>
  <c r="B1354"/>
  <c r="C1354"/>
  <c r="E1354"/>
  <c r="F1354"/>
  <c r="A1355"/>
  <c r="B1355"/>
  <c r="C1355"/>
  <c r="E1355"/>
  <c r="F1355"/>
  <c r="A1356"/>
  <c r="B1356"/>
  <c r="C1356"/>
  <c r="E1356"/>
  <c r="F1356"/>
  <c r="A1357"/>
  <c r="B1357"/>
  <c r="C1357"/>
  <c r="E1357"/>
  <c r="F1357"/>
  <c r="A1358"/>
  <c r="B1358"/>
  <c r="C1358"/>
  <c r="E1358"/>
  <c r="F1358"/>
  <c r="A1359"/>
  <c r="B1359"/>
  <c r="C1359"/>
  <c r="E1359"/>
  <c r="F1359"/>
  <c r="A1360"/>
  <c r="B1360"/>
  <c r="C1360"/>
  <c r="E1360"/>
  <c r="F1360"/>
  <c r="A1361"/>
  <c r="B1361"/>
  <c r="C1361"/>
  <c r="E1361"/>
  <c r="F1361"/>
  <c r="A1362"/>
  <c r="B1362"/>
  <c r="C1362"/>
  <c r="E1362"/>
  <c r="F1362"/>
  <c r="A1363"/>
  <c r="B1363"/>
  <c r="C1363"/>
  <c r="E1363"/>
  <c r="F1363"/>
  <c r="A1364"/>
  <c r="B1364"/>
  <c r="C1364"/>
  <c r="E1364"/>
  <c r="F1364"/>
  <c r="A1365"/>
  <c r="B1365"/>
  <c r="C1365"/>
  <c r="E1365"/>
  <c r="F1365"/>
  <c r="A1366"/>
  <c r="B1366"/>
  <c r="C1366"/>
  <c r="E1366"/>
  <c r="F1366"/>
  <c r="A1367"/>
  <c r="B1367"/>
  <c r="C1367"/>
  <c r="E1367"/>
  <c r="F1367"/>
  <c r="A1368"/>
  <c r="B1368"/>
  <c r="C1368"/>
  <c r="E1368"/>
  <c r="F1368"/>
  <c r="A1369"/>
  <c r="B1369"/>
  <c r="C1369"/>
  <c r="E1369"/>
  <c r="F1369"/>
  <c r="A1370"/>
  <c r="B1370"/>
  <c r="C1370"/>
  <c r="E1370"/>
  <c r="F1370"/>
  <c r="A1371"/>
  <c r="B1371"/>
  <c r="C1371"/>
  <c r="E1371"/>
  <c r="F1371"/>
  <c r="A1372"/>
  <c r="B1372"/>
  <c r="C1372"/>
  <c r="E1372"/>
  <c r="F1372"/>
  <c r="A1373"/>
  <c r="B1373"/>
  <c r="C1373"/>
  <c r="E1373"/>
  <c r="F1373"/>
  <c r="A1374"/>
  <c r="B1374"/>
  <c r="C1374"/>
  <c r="E1374"/>
  <c r="F1374"/>
  <c r="A1375"/>
  <c r="B1375"/>
  <c r="C1375"/>
  <c r="E1375"/>
  <c r="F1375"/>
  <c r="A1376"/>
  <c r="B1376"/>
  <c r="C1376"/>
  <c r="E1376"/>
  <c r="F1376"/>
  <c r="A1377"/>
  <c r="B1377"/>
  <c r="C1377"/>
  <c r="E1377"/>
  <c r="F1377"/>
  <c r="A1378"/>
  <c r="B1378"/>
  <c r="C1378"/>
  <c r="E1378"/>
  <c r="F1378"/>
  <c r="A1379"/>
  <c r="B1379"/>
  <c r="C1379"/>
  <c r="E1379"/>
  <c r="F1379"/>
  <c r="A1380"/>
  <c r="B1380"/>
  <c r="C1380"/>
  <c r="E1380"/>
  <c r="F1380"/>
  <c r="A1381"/>
  <c r="B1381"/>
  <c r="C1381"/>
  <c r="E1381"/>
  <c r="F1381"/>
  <c r="A1382"/>
  <c r="B1382"/>
  <c r="C1382"/>
  <c r="E1382"/>
  <c r="F1382"/>
  <c r="A1383"/>
  <c r="B1383"/>
  <c r="C1383"/>
  <c r="E1383"/>
  <c r="F1383"/>
  <c r="A1384"/>
  <c r="B1384"/>
  <c r="C1384"/>
  <c r="E1384"/>
  <c r="F1384"/>
  <c r="A1385"/>
  <c r="B1385"/>
  <c r="C1385"/>
  <c r="E1385"/>
  <c r="F1385"/>
  <c r="A1386"/>
  <c r="B1386"/>
  <c r="C1386"/>
  <c r="E1386"/>
  <c r="F1386"/>
  <c r="A1387"/>
  <c r="B1387"/>
  <c r="C1387"/>
  <c r="E1387"/>
  <c r="F1387"/>
  <c r="A1388"/>
  <c r="B1388"/>
  <c r="C1388"/>
  <c r="E1388"/>
  <c r="F1388"/>
  <c r="A1389"/>
  <c r="B1389"/>
  <c r="C1389"/>
  <c r="E1389"/>
  <c r="F1389"/>
  <c r="A1390"/>
  <c r="B1390"/>
  <c r="C1390"/>
  <c r="E1390"/>
  <c r="F1390"/>
  <c r="A1391"/>
  <c r="B1391"/>
  <c r="C1391"/>
  <c r="E1391"/>
  <c r="F1391"/>
  <c r="A1392"/>
  <c r="B1392"/>
  <c r="C1392"/>
  <c r="E1392"/>
  <c r="F1392"/>
  <c r="A1393"/>
  <c r="B1393"/>
  <c r="C1393"/>
  <c r="E1393"/>
  <c r="F1393"/>
  <c r="A1394"/>
  <c r="B1394"/>
  <c r="C1394"/>
  <c r="E1394"/>
  <c r="F1394"/>
  <c r="A1395"/>
  <c r="B1395"/>
  <c r="C1395"/>
  <c r="E1395"/>
  <c r="F1395"/>
  <c r="A1396"/>
  <c r="B1396"/>
  <c r="C1396"/>
  <c r="E1396"/>
  <c r="F1396"/>
  <c r="A1397"/>
  <c r="B1397"/>
  <c r="C1397"/>
  <c r="E1397"/>
  <c r="F1397"/>
  <c r="A1398"/>
  <c r="B1398"/>
  <c r="C1398"/>
  <c r="E1398"/>
  <c r="F1398"/>
  <c r="A1399"/>
  <c r="B1399"/>
  <c r="C1399"/>
  <c r="E1399"/>
  <c r="F1399"/>
  <c r="A1400"/>
  <c r="B1400"/>
  <c r="C1400"/>
  <c r="E1400"/>
  <c r="F1400"/>
  <c r="A1401"/>
  <c r="B1401"/>
  <c r="C1401"/>
  <c r="E1401"/>
  <c r="F1401"/>
  <c r="A1402"/>
  <c r="B1402"/>
  <c r="C1402"/>
  <c r="E1402"/>
  <c r="F1402"/>
  <c r="A1403"/>
  <c r="B1403"/>
  <c r="C1403"/>
  <c r="E1403"/>
  <c r="F1403"/>
  <c r="A1404"/>
  <c r="B1404"/>
  <c r="C1404"/>
  <c r="E1404"/>
  <c r="F1404"/>
  <c r="A1405"/>
  <c r="B1405"/>
  <c r="C1405"/>
  <c r="E1405"/>
  <c r="F1405"/>
  <c r="A1406"/>
  <c r="B1406"/>
  <c r="C1406"/>
  <c r="E1406"/>
  <c r="F1406"/>
  <c r="A1407"/>
  <c r="B1407"/>
  <c r="C1407"/>
  <c r="E1407"/>
  <c r="F1407"/>
  <c r="A1408"/>
  <c r="B1408"/>
  <c r="C1408"/>
  <c r="E1408"/>
  <c r="F1408"/>
  <c r="A1409"/>
  <c r="B1409"/>
  <c r="C1409"/>
  <c r="E1409"/>
  <c r="F1409"/>
  <c r="A1410"/>
  <c r="B1410"/>
  <c r="C1410"/>
  <c r="E1410"/>
  <c r="F1410"/>
  <c r="A1411"/>
  <c r="B1411"/>
  <c r="C1411"/>
  <c r="E1411"/>
  <c r="F1411"/>
  <c r="A1412"/>
  <c r="B1412"/>
  <c r="C1412"/>
  <c r="E1412"/>
  <c r="F1412"/>
  <c r="A1413"/>
  <c r="B1413"/>
  <c r="C1413"/>
  <c r="E1413"/>
  <c r="F1413"/>
  <c r="A1414"/>
  <c r="B1414"/>
  <c r="C1414"/>
  <c r="E1414"/>
  <c r="F1414"/>
  <c r="A1415"/>
  <c r="B1415"/>
  <c r="C1415"/>
  <c r="E1415"/>
  <c r="F1415"/>
  <c r="A1416"/>
  <c r="B1416"/>
  <c r="C1416"/>
  <c r="E1416"/>
  <c r="F1416"/>
  <c r="A1417"/>
  <c r="B1417"/>
  <c r="C1417"/>
  <c r="E1417"/>
  <c r="F1417"/>
  <c r="A1418"/>
  <c r="B1418"/>
  <c r="C1418"/>
  <c r="E1418"/>
  <c r="F1418"/>
  <c r="A1419"/>
  <c r="B1419"/>
  <c r="C1419"/>
  <c r="E1419"/>
  <c r="F1419"/>
  <c r="A1420"/>
  <c r="B1420"/>
  <c r="C1420"/>
  <c r="E1420"/>
  <c r="F1420"/>
  <c r="A1421"/>
  <c r="B1421"/>
  <c r="C1421"/>
  <c r="E1421"/>
  <c r="F1421"/>
  <c r="A1422"/>
  <c r="B1422"/>
  <c r="C1422"/>
  <c r="E1422"/>
  <c r="F1422"/>
  <c r="A1423"/>
  <c r="B1423"/>
  <c r="C1423"/>
  <c r="E1423"/>
  <c r="F1423"/>
  <c r="A1424"/>
  <c r="B1424"/>
  <c r="C1424"/>
  <c r="E1424"/>
  <c r="F1424"/>
  <c r="A1425"/>
  <c r="B1425"/>
  <c r="C1425"/>
  <c r="E1425"/>
  <c r="F1425"/>
  <c r="A1426"/>
  <c r="B1426"/>
  <c r="C1426"/>
  <c r="E1426"/>
  <c r="F1426"/>
  <c r="A1427"/>
  <c r="B1427"/>
  <c r="C1427"/>
  <c r="E1427"/>
  <c r="F1427"/>
  <c r="A1428"/>
  <c r="B1428"/>
  <c r="C1428"/>
  <c r="E1428"/>
  <c r="F1428"/>
  <c r="A1429"/>
  <c r="B1429"/>
  <c r="C1429"/>
  <c r="E1429"/>
  <c r="F1429"/>
  <c r="A1430"/>
  <c r="B1430"/>
  <c r="C1430"/>
  <c r="E1430"/>
  <c r="F1430"/>
  <c r="C1431"/>
  <c r="E1431"/>
  <c r="F1431"/>
  <c r="C1432"/>
  <c r="E1432"/>
  <c r="F1432"/>
  <c r="C1433"/>
  <c r="E1433"/>
  <c r="F1433"/>
  <c r="C1434"/>
  <c r="E1434"/>
  <c r="F1434"/>
  <c r="C1435"/>
  <c r="E1435"/>
  <c r="F1435"/>
  <c r="C1436"/>
  <c r="E1436"/>
  <c r="F1436"/>
  <c r="C1437"/>
  <c r="E1437"/>
  <c r="F1437"/>
  <c r="C1438"/>
  <c r="E1438"/>
  <c r="F1438"/>
  <c r="A1439"/>
  <c r="B1439"/>
  <c r="C1439"/>
  <c r="E1439"/>
  <c r="F1439"/>
  <c r="C1440"/>
  <c r="E1440"/>
  <c r="F1440"/>
  <c r="C1441"/>
  <c r="E1441"/>
  <c r="F1441"/>
  <c r="C1442"/>
  <c r="E1442"/>
  <c r="F1442"/>
  <c r="C1443"/>
  <c r="E1443"/>
  <c r="F1443"/>
  <c r="C1444"/>
  <c r="E1444"/>
  <c r="F1444"/>
  <c r="C1445"/>
  <c r="E1445"/>
  <c r="F1445"/>
  <c r="C1446"/>
  <c r="E1446"/>
  <c r="F1446"/>
  <c r="C1447"/>
  <c r="E1447"/>
  <c r="F1447"/>
  <c r="A1448"/>
  <c r="B1448"/>
  <c r="C1448"/>
  <c r="E1448"/>
  <c r="F1448"/>
  <c r="C1449"/>
  <c r="E1449"/>
  <c r="F1449"/>
  <c r="C1450"/>
  <c r="E1450"/>
  <c r="F1450"/>
  <c r="C1451"/>
  <c r="E1451"/>
  <c r="F1451"/>
  <c r="C1452"/>
  <c r="E1452"/>
  <c r="F1452"/>
  <c r="C1453"/>
  <c r="E1453"/>
  <c r="F1453"/>
  <c r="C1454"/>
  <c r="E1454"/>
  <c r="F1454"/>
  <c r="C1455"/>
  <c r="E1455"/>
  <c r="F1455"/>
  <c r="C1456"/>
  <c r="E1456"/>
  <c r="F1456"/>
  <c r="A1457"/>
  <c r="B1457"/>
  <c r="C1457"/>
  <c r="E1457"/>
  <c r="F1457"/>
  <c r="C1458"/>
  <c r="E1458"/>
  <c r="F1458"/>
  <c r="A1459"/>
  <c r="B1459"/>
  <c r="C1459"/>
  <c r="E1459"/>
  <c r="F1459"/>
  <c r="C1460"/>
  <c r="E1460"/>
  <c r="F1460"/>
  <c r="A1461"/>
  <c r="B1461"/>
  <c r="C1461"/>
  <c r="E1461"/>
  <c r="F1461"/>
  <c r="C1462"/>
  <c r="E1462"/>
  <c r="F1462"/>
  <c r="A1463"/>
  <c r="B1463"/>
  <c r="C1463"/>
  <c r="E1463"/>
  <c r="F1463"/>
  <c r="C1464"/>
  <c r="E1464"/>
  <c r="F1464"/>
  <c r="A1465"/>
  <c r="B1465"/>
  <c r="C1465"/>
  <c r="E1465"/>
  <c r="F1465"/>
  <c r="C1466"/>
  <c r="E1466"/>
  <c r="F1466"/>
  <c r="A1467"/>
  <c r="B1467"/>
  <c r="C1467"/>
  <c r="E1467"/>
  <c r="F1467"/>
  <c r="C1468"/>
  <c r="E1468"/>
  <c r="F1468"/>
  <c r="A1469"/>
  <c r="B1469"/>
  <c r="C1469"/>
  <c r="E1469"/>
  <c r="F1469"/>
  <c r="C1470"/>
  <c r="E1470"/>
  <c r="F1470"/>
  <c r="A1471"/>
  <c r="B1471"/>
  <c r="C1471"/>
  <c r="E1471"/>
  <c r="F1471"/>
  <c r="C1472"/>
  <c r="E1472"/>
  <c r="F1472"/>
  <c r="A1473"/>
  <c r="B1473"/>
  <c r="C1473"/>
  <c r="E1473"/>
  <c r="F1473"/>
  <c r="C1474"/>
  <c r="E1474"/>
  <c r="F1474"/>
  <c r="A1475"/>
  <c r="B1475"/>
  <c r="C1475"/>
  <c r="E1475"/>
  <c r="F1475"/>
  <c r="C1476"/>
  <c r="E1476"/>
  <c r="F1476"/>
  <c r="A1477"/>
  <c r="B1477"/>
  <c r="C1477"/>
  <c r="E1477"/>
  <c r="F1477"/>
  <c r="C1478"/>
  <c r="E1478"/>
  <c r="F1478"/>
  <c r="A1479"/>
  <c r="B1479"/>
  <c r="C1479"/>
  <c r="E1479"/>
  <c r="F1479"/>
  <c r="C1480"/>
  <c r="E1480"/>
  <c r="F1480"/>
  <c r="A1481"/>
  <c r="B1481"/>
  <c r="C1481"/>
  <c r="E1481"/>
  <c r="F1481"/>
  <c r="C1482"/>
  <c r="E1482"/>
  <c r="F1482"/>
  <c r="A1483"/>
  <c r="B1483"/>
  <c r="C1483"/>
  <c r="E1483"/>
  <c r="F1483"/>
  <c r="C1484"/>
  <c r="E1484"/>
  <c r="F1484"/>
  <c r="A1485"/>
  <c r="B1485"/>
  <c r="C1485"/>
  <c r="E1485"/>
  <c r="F1485"/>
  <c r="C1486"/>
  <c r="E1486"/>
  <c r="F1486"/>
  <c r="A1487"/>
  <c r="B1487"/>
  <c r="C1487"/>
  <c r="E1487"/>
  <c r="F1487"/>
  <c r="C1488"/>
  <c r="E1488"/>
  <c r="F1488"/>
  <c r="A1489"/>
  <c r="B1489"/>
  <c r="C1489"/>
  <c r="E1489"/>
  <c r="F1489"/>
  <c r="C1490"/>
  <c r="E1490"/>
  <c r="F1490"/>
  <c r="A1491"/>
  <c r="B1491"/>
  <c r="C1491"/>
  <c r="E1491"/>
  <c r="F1491"/>
  <c r="C1492"/>
  <c r="E1492"/>
  <c r="F1492"/>
  <c r="A1493"/>
  <c r="B1493"/>
  <c r="C1493"/>
  <c r="E1493"/>
  <c r="F1493"/>
  <c r="C1494"/>
  <c r="E1494"/>
  <c r="F1494"/>
  <c r="A1495"/>
  <c r="B1495"/>
  <c r="C1495"/>
  <c r="E1495"/>
  <c r="F1495"/>
  <c r="C1496"/>
  <c r="E1496"/>
  <c r="F1496"/>
  <c r="A1497"/>
  <c r="B1497"/>
  <c r="C1497"/>
  <c r="E1497"/>
  <c r="F1497"/>
  <c r="C1498"/>
  <c r="E1498"/>
  <c r="F1498"/>
  <c r="A1499"/>
  <c r="B1499"/>
  <c r="C1499"/>
  <c r="E1499"/>
  <c r="F1499"/>
  <c r="C1500"/>
  <c r="E1500"/>
  <c r="F1500"/>
  <c r="A1501"/>
  <c r="B1501"/>
  <c r="C1501"/>
  <c r="E1501"/>
  <c r="F1501"/>
  <c r="C1502"/>
  <c r="E1502"/>
  <c r="F1502"/>
  <c r="A1503"/>
  <c r="B1503"/>
  <c r="C1503"/>
  <c r="E1503"/>
  <c r="F1503"/>
  <c r="C1504"/>
  <c r="E1504"/>
  <c r="F1504"/>
  <c r="A1505"/>
  <c r="B1505"/>
  <c r="C1505"/>
  <c r="E1505"/>
  <c r="F1505"/>
  <c r="C1506"/>
  <c r="E1506"/>
  <c r="F1506"/>
  <c r="A1507"/>
  <c r="B1507"/>
  <c r="C1507"/>
  <c r="E1507"/>
  <c r="F1507"/>
  <c r="C1508"/>
  <c r="E1508"/>
  <c r="F1508"/>
  <c r="A1509"/>
  <c r="B1509"/>
  <c r="C1509"/>
  <c r="E1509"/>
  <c r="F1509"/>
  <c r="C1510"/>
  <c r="E1510"/>
  <c r="F1510"/>
  <c r="A1511"/>
  <c r="B1511"/>
  <c r="C1511"/>
  <c r="E1511"/>
  <c r="F1511"/>
  <c r="C1512"/>
  <c r="E1512"/>
  <c r="F1512"/>
  <c r="A1513"/>
  <c r="B1513"/>
  <c r="C1513"/>
  <c r="E1513"/>
  <c r="F1513"/>
  <c r="C1514"/>
  <c r="E1514"/>
  <c r="F1514"/>
  <c r="A1515"/>
  <c r="B1515"/>
  <c r="C1515"/>
  <c r="E1515"/>
  <c r="F1515"/>
  <c r="C1516"/>
  <c r="E1516"/>
  <c r="F1516"/>
  <c r="A1517"/>
  <c r="B1517"/>
  <c r="C1517"/>
  <c r="E1517"/>
  <c r="F1517"/>
  <c r="C1518"/>
  <c r="E1518"/>
  <c r="F1518"/>
  <c r="A1519"/>
  <c r="B1519"/>
  <c r="C1519"/>
  <c r="E1519"/>
  <c r="F1519"/>
  <c r="C1520"/>
  <c r="E1520"/>
  <c r="F1520"/>
  <c r="A1521"/>
  <c r="B1521"/>
  <c r="C1521"/>
  <c r="E1521"/>
  <c r="F1521"/>
  <c r="C1522"/>
  <c r="E1522"/>
  <c r="F1522"/>
  <c r="A1523"/>
  <c r="B1523"/>
  <c r="C1523"/>
  <c r="E1523"/>
  <c r="F1523"/>
  <c r="C1524"/>
  <c r="E1524"/>
  <c r="F1524"/>
  <c r="A1525"/>
  <c r="B1525"/>
  <c r="C1525"/>
  <c r="E1525"/>
  <c r="F1525"/>
  <c r="C1526"/>
  <c r="E1526"/>
  <c r="F1526"/>
  <c r="A1527"/>
  <c r="B1527"/>
  <c r="C1527"/>
  <c r="E1527"/>
  <c r="F1527"/>
  <c r="C1528"/>
  <c r="E1528"/>
  <c r="F1528"/>
  <c r="A1529"/>
  <c r="B1529"/>
  <c r="C1529"/>
  <c r="E1529"/>
  <c r="F1529"/>
  <c r="C1530"/>
  <c r="E1530"/>
  <c r="F1530"/>
  <c r="A1531"/>
  <c r="B1531"/>
  <c r="C1531"/>
  <c r="E1531"/>
  <c r="F1531"/>
  <c r="C1532"/>
  <c r="E1532"/>
  <c r="F1532"/>
  <c r="A1533"/>
  <c r="B1533"/>
  <c r="C1533"/>
  <c r="E1533"/>
  <c r="F1533"/>
  <c r="C1534"/>
  <c r="E1534"/>
  <c r="F1534"/>
  <c r="A1535"/>
  <c r="B1535"/>
  <c r="C1535"/>
  <c r="E1535"/>
  <c r="F1535"/>
  <c r="C1536"/>
  <c r="E1536"/>
  <c r="F1536"/>
  <c r="A1537"/>
  <c r="B1537"/>
  <c r="C1537"/>
  <c r="E1537"/>
  <c r="F1537"/>
  <c r="C1538"/>
  <c r="E1538"/>
  <c r="F1538"/>
  <c r="A1539"/>
  <c r="B1539"/>
  <c r="C1539"/>
  <c r="E1539"/>
  <c r="F1539"/>
  <c r="C1540"/>
  <c r="E1540"/>
  <c r="F1540"/>
  <c r="A1541"/>
  <c r="B1541"/>
  <c r="C1541"/>
  <c r="E1541"/>
  <c r="F1541"/>
  <c r="C1542"/>
  <c r="E1542"/>
  <c r="F1542"/>
  <c r="A1543"/>
  <c r="B1543"/>
  <c r="C1543"/>
  <c r="E1543"/>
  <c r="F1543"/>
  <c r="C1544"/>
  <c r="E1544"/>
  <c r="F1544"/>
  <c r="A1545"/>
  <c r="B1545"/>
  <c r="C1545"/>
  <c r="E1545"/>
  <c r="F1545"/>
  <c r="C1546"/>
  <c r="E1546"/>
  <c r="F1546"/>
  <c r="A1547"/>
  <c r="B1547"/>
  <c r="C1547"/>
  <c r="E1547"/>
  <c r="F1547"/>
  <c r="C1548"/>
  <c r="E1548"/>
  <c r="F1548"/>
  <c r="A1549"/>
  <c r="B1549"/>
  <c r="C1549"/>
  <c r="E1549"/>
  <c r="F1549"/>
  <c r="C1550"/>
  <c r="E1550"/>
  <c r="F1550"/>
  <c r="A1551"/>
  <c r="B1551"/>
  <c r="C1551"/>
  <c r="E1551"/>
  <c r="F1551"/>
  <c r="C1552"/>
  <c r="E1552"/>
  <c r="F1552"/>
  <c r="A1553"/>
  <c r="B1553"/>
  <c r="C1553"/>
  <c r="E1553"/>
  <c r="F1553"/>
  <c r="C1554"/>
  <c r="E1554"/>
  <c r="F1554"/>
  <c r="A1555"/>
  <c r="B1555"/>
  <c r="C1555"/>
  <c r="E1555"/>
  <c r="F1555"/>
  <c r="C1556"/>
  <c r="E1556"/>
  <c r="F1556"/>
  <c r="A1557"/>
  <c r="B1557"/>
  <c r="C1557"/>
  <c r="E1557"/>
  <c r="F1557"/>
  <c r="C1558"/>
  <c r="E1558"/>
  <c r="F1558"/>
  <c r="A1559"/>
  <c r="B1559"/>
  <c r="C1559"/>
  <c r="E1559"/>
  <c r="F1559"/>
  <c r="C1560"/>
  <c r="E1560"/>
  <c r="F1560"/>
  <c r="A1561"/>
  <c r="B1561"/>
  <c r="C1561"/>
  <c r="E1561"/>
  <c r="F1561"/>
  <c r="C1562"/>
  <c r="E1562"/>
  <c r="F1562"/>
  <c r="A1563"/>
  <c r="B1563"/>
  <c r="C1563"/>
  <c r="E1563"/>
  <c r="F1563"/>
  <c r="C1564"/>
  <c r="E1564"/>
  <c r="F1564"/>
  <c r="A1565"/>
  <c r="B1565"/>
  <c r="C1565"/>
  <c r="E1565"/>
  <c r="F1565"/>
  <c r="C1566"/>
  <c r="E1566"/>
  <c r="F1566"/>
  <c r="A1567"/>
  <c r="B1567"/>
  <c r="C1567"/>
  <c r="E1567"/>
  <c r="F1567"/>
  <c r="C1568"/>
  <c r="E1568"/>
  <c r="F1568"/>
  <c r="A1569"/>
  <c r="B1569"/>
  <c r="C1569"/>
  <c r="E1569"/>
  <c r="F1569"/>
  <c r="C1570"/>
  <c r="E1570"/>
  <c r="F1570"/>
  <c r="A1571"/>
  <c r="B1571"/>
  <c r="C1571"/>
  <c r="E1571"/>
  <c r="F1571"/>
  <c r="C1572"/>
  <c r="E1572"/>
  <c r="F1572"/>
  <c r="A1573"/>
  <c r="B1573"/>
  <c r="C1573"/>
  <c r="E1573"/>
  <c r="F1573"/>
  <c r="C1574"/>
  <c r="E1574"/>
  <c r="F1574"/>
  <c r="A1575"/>
  <c r="B1575"/>
  <c r="C1575"/>
  <c r="E1575"/>
  <c r="F1575"/>
  <c r="C1576"/>
  <c r="E1576"/>
  <c r="F1576"/>
  <c r="A1577"/>
  <c r="B1577"/>
  <c r="C1577"/>
  <c r="E1577"/>
  <c r="F1577"/>
  <c r="C1578"/>
  <c r="E1578"/>
  <c r="F1578"/>
  <c r="A1579"/>
  <c r="B1579"/>
  <c r="C1579"/>
  <c r="E1579"/>
  <c r="F1579"/>
  <c r="C1580"/>
  <c r="E1580"/>
  <c r="F1580"/>
  <c r="A1581"/>
  <c r="B1581"/>
  <c r="C1581"/>
  <c r="E1581"/>
  <c r="F1581"/>
  <c r="C1582"/>
  <c r="E1582"/>
  <c r="F1582"/>
  <c r="A1583"/>
  <c r="B1583"/>
  <c r="C1583"/>
  <c r="E1583"/>
  <c r="F1583"/>
  <c r="C1584"/>
  <c r="E1584"/>
  <c r="F1584"/>
  <c r="A1585"/>
  <c r="B1585"/>
  <c r="C1585"/>
  <c r="E1585"/>
  <c r="F1585"/>
  <c r="C1586"/>
  <c r="E1586"/>
  <c r="F1586"/>
  <c r="A1587"/>
  <c r="B1587"/>
  <c r="C1587"/>
  <c r="E1587"/>
  <c r="F1587"/>
  <c r="C1588"/>
  <c r="E1588"/>
  <c r="F1588"/>
  <c r="A1589"/>
  <c r="B1589"/>
  <c r="C1589"/>
  <c r="E1589"/>
  <c r="F1589"/>
  <c r="C1590"/>
  <c r="E1590"/>
  <c r="F1590"/>
  <c r="A1591"/>
  <c r="B1591"/>
  <c r="C1591"/>
  <c r="E1591"/>
  <c r="F1591"/>
  <c r="C1592"/>
  <c r="E1592"/>
  <c r="F1592"/>
  <c r="A1593"/>
  <c r="B1593"/>
  <c r="C1593"/>
  <c r="E1593"/>
  <c r="F1593"/>
  <c r="C1594"/>
  <c r="E1594"/>
  <c r="F1594"/>
  <c r="A1595"/>
  <c r="B1595"/>
  <c r="C1595"/>
  <c r="E1595"/>
  <c r="F1595"/>
  <c r="C1596"/>
  <c r="E1596"/>
  <c r="F1596"/>
  <c r="A1597"/>
  <c r="B1597"/>
  <c r="C1597"/>
  <c r="E1597"/>
  <c r="F1597"/>
  <c r="C1598"/>
  <c r="E1598"/>
  <c r="F1598"/>
  <c r="A1599"/>
  <c r="B1599"/>
  <c r="C1599"/>
  <c r="E1599"/>
  <c r="F1599"/>
  <c r="C1600"/>
  <c r="E1600"/>
  <c r="F1600"/>
  <c r="A1601"/>
  <c r="B1601"/>
  <c r="C1601"/>
  <c r="E1601"/>
  <c r="F1601"/>
  <c r="C1602"/>
  <c r="E1602"/>
  <c r="F1602"/>
  <c r="A1603"/>
  <c r="B1603"/>
  <c r="C1603"/>
  <c r="E1603"/>
  <c r="F1603"/>
  <c r="C1604"/>
  <c r="E1604"/>
  <c r="F1604"/>
  <c r="A1605"/>
  <c r="B1605"/>
  <c r="C1605"/>
  <c r="E1605"/>
  <c r="F1605"/>
  <c r="C1606"/>
  <c r="E1606"/>
  <c r="F1606"/>
  <c r="A1607"/>
  <c r="B1607"/>
  <c r="C1607"/>
  <c r="E1607"/>
  <c r="F1607"/>
  <c r="C1608"/>
  <c r="E1608"/>
  <c r="F1608"/>
  <c r="A1609"/>
  <c r="B1609"/>
  <c r="C1609"/>
  <c r="E1609"/>
  <c r="F1609"/>
  <c r="C1610"/>
  <c r="E1610"/>
  <c r="F1610"/>
  <c r="A1611"/>
  <c r="B1611"/>
  <c r="C1611"/>
  <c r="E1611"/>
  <c r="F1611"/>
  <c r="C1612"/>
  <c r="E1612"/>
  <c r="F1612"/>
  <c r="A1613"/>
  <c r="B1613"/>
  <c r="C1613"/>
  <c r="E1613"/>
  <c r="F1613"/>
  <c r="C1614"/>
  <c r="E1614"/>
  <c r="F1614"/>
  <c r="A1615"/>
  <c r="B1615"/>
  <c r="C1615"/>
  <c r="E1615"/>
  <c r="F1615"/>
  <c r="C1616"/>
  <c r="E1616"/>
  <c r="F1616"/>
  <c r="A1617"/>
  <c r="B1617"/>
  <c r="C1617"/>
  <c r="E1617"/>
  <c r="F1617"/>
  <c r="C1618"/>
  <c r="E1618"/>
  <c r="F1618"/>
  <c r="A1619"/>
  <c r="B1619"/>
  <c r="C1619"/>
  <c r="E1619"/>
  <c r="F1619"/>
  <c r="C1620"/>
  <c r="E1620"/>
  <c r="F1620"/>
  <c r="A1621"/>
  <c r="B1621"/>
  <c r="C1621"/>
  <c r="E1621"/>
  <c r="F1621"/>
  <c r="C1622"/>
  <c r="E1622"/>
  <c r="F1622"/>
  <c r="A1623"/>
  <c r="B1623"/>
  <c r="C1623"/>
  <c r="E1623"/>
  <c r="F1623"/>
  <c r="C1624"/>
  <c r="E1624"/>
  <c r="F1624"/>
  <c r="A1625"/>
  <c r="B1625"/>
  <c r="C1625"/>
  <c r="E1625"/>
  <c r="F1625"/>
  <c r="C1626"/>
  <c r="E1626"/>
  <c r="F1626"/>
  <c r="A1627"/>
  <c r="B1627"/>
  <c r="C1627"/>
  <c r="E1627"/>
  <c r="F1627"/>
  <c r="C1628"/>
  <c r="E1628"/>
  <c r="F1628"/>
  <c r="A1629"/>
  <c r="B1629"/>
  <c r="C1629"/>
  <c r="E1629"/>
  <c r="F1629"/>
  <c r="C1630"/>
  <c r="E1630"/>
  <c r="F1630"/>
  <c r="A1631"/>
  <c r="B1631"/>
  <c r="C1631"/>
  <c r="E1631"/>
  <c r="F1631"/>
  <c r="C1632"/>
  <c r="E1632"/>
  <c r="F1632"/>
  <c r="A1633"/>
  <c r="B1633"/>
  <c r="C1633"/>
  <c r="E1633"/>
  <c r="F1633"/>
  <c r="C1634"/>
  <c r="E1634"/>
  <c r="F1634"/>
  <c r="A1635"/>
  <c r="B1635"/>
  <c r="C1635"/>
  <c r="E1635"/>
  <c r="F1635"/>
  <c r="C1636"/>
  <c r="E1636"/>
  <c r="F1636"/>
  <c r="A1637"/>
  <c r="B1637"/>
  <c r="C1637"/>
  <c r="E1637"/>
  <c r="F1637"/>
  <c r="C1638"/>
  <c r="E1638"/>
  <c r="F1638"/>
  <c r="A1639"/>
  <c r="B1639"/>
  <c r="C1639"/>
  <c r="E1639"/>
  <c r="F1639"/>
  <c r="C1640"/>
  <c r="E1640"/>
  <c r="F1640"/>
  <c r="A1641"/>
  <c r="B1641"/>
  <c r="C1641"/>
  <c r="E1641"/>
  <c r="F1641"/>
  <c r="C1642"/>
  <c r="E1642"/>
  <c r="F1642"/>
  <c r="A1643"/>
  <c r="B1643"/>
  <c r="C1643"/>
  <c r="E1643"/>
  <c r="F1643"/>
  <c r="C1644"/>
  <c r="E1644"/>
  <c r="F1644"/>
  <c r="A1645"/>
  <c r="B1645"/>
  <c r="C1645"/>
  <c r="E1645"/>
  <c r="F1645"/>
  <c r="C1646"/>
  <c r="E1646"/>
  <c r="F1646"/>
  <c r="A1647"/>
  <c r="B1647"/>
  <c r="C1647"/>
  <c r="E1647"/>
  <c r="F1647"/>
  <c r="C1648"/>
  <c r="E1648"/>
  <c r="F1648"/>
  <c r="A1649"/>
  <c r="B1649"/>
  <c r="C1649"/>
  <c r="E1649"/>
  <c r="F1649"/>
  <c r="C1650"/>
  <c r="E1650"/>
  <c r="F1650"/>
  <c r="A1651"/>
  <c r="B1651"/>
  <c r="C1651"/>
  <c r="E1651"/>
  <c r="F1651"/>
  <c r="C1652"/>
  <c r="E1652"/>
  <c r="F1652"/>
  <c r="A1653"/>
  <c r="B1653"/>
  <c r="C1653"/>
  <c r="E1653"/>
  <c r="F1653"/>
  <c r="C1654"/>
  <c r="E1654"/>
  <c r="F1654"/>
  <c r="A1655"/>
  <c r="B1655"/>
  <c r="C1655"/>
  <c r="E1655"/>
  <c r="F1655"/>
  <c r="C1656"/>
  <c r="E1656"/>
  <c r="F1656"/>
  <c r="A1657"/>
  <c r="B1657"/>
  <c r="C1657"/>
  <c r="E1657"/>
  <c r="F1657"/>
  <c r="C1658"/>
  <c r="E1658"/>
  <c r="F1658"/>
  <c r="A1659"/>
  <c r="B1659"/>
  <c r="C1659"/>
  <c r="E1659"/>
  <c r="F1659"/>
  <c r="C1660"/>
  <c r="E1660"/>
  <c r="F1660"/>
  <c r="A1661"/>
  <c r="B1661"/>
  <c r="C1661"/>
  <c r="E1661"/>
  <c r="F1661"/>
  <c r="C1662"/>
  <c r="E1662"/>
  <c r="F1662"/>
  <c r="A1663"/>
  <c r="B1663"/>
  <c r="C1663"/>
  <c r="E1663"/>
  <c r="F1663"/>
  <c r="C1664"/>
  <c r="E1664"/>
  <c r="F1664"/>
  <c r="A1665"/>
  <c r="B1665"/>
  <c r="C1665"/>
  <c r="E1665"/>
  <c r="F1665"/>
  <c r="C1666"/>
  <c r="E1666"/>
  <c r="F1666"/>
  <c r="A1667"/>
  <c r="B1667"/>
  <c r="C1667"/>
  <c r="E1667"/>
  <c r="F1667"/>
  <c r="C1668"/>
  <c r="E1668"/>
  <c r="F1668"/>
  <c r="A1669"/>
  <c r="B1669"/>
  <c r="C1669"/>
  <c r="E1669"/>
  <c r="F1669"/>
  <c r="C1670"/>
  <c r="E1670"/>
  <c r="F1670"/>
  <c r="A1671"/>
  <c r="B1671"/>
  <c r="C1671"/>
  <c r="E1671"/>
  <c r="F1671"/>
  <c r="C1672"/>
  <c r="E1672"/>
  <c r="F1672"/>
  <c r="A1673"/>
  <c r="B1673"/>
  <c r="C1673"/>
  <c r="E1673"/>
  <c r="F1673"/>
  <c r="C1674"/>
  <c r="E1674"/>
  <c r="F1674"/>
  <c r="A1675"/>
  <c r="B1675"/>
  <c r="C1675"/>
  <c r="E1675"/>
  <c r="F1675"/>
  <c r="C1676"/>
  <c r="E1676"/>
  <c r="F1676"/>
  <c r="A1677"/>
  <c r="B1677"/>
  <c r="C1677"/>
  <c r="E1677"/>
  <c r="F1677"/>
  <c r="C1678"/>
  <c r="E1678"/>
  <c r="F1678"/>
  <c r="A1679"/>
  <c r="B1679"/>
  <c r="C1679"/>
  <c r="E1679"/>
  <c r="F1679"/>
  <c r="C1680"/>
  <c r="E1680"/>
  <c r="F1680"/>
  <c r="A1681"/>
  <c r="B1681"/>
  <c r="C1681"/>
  <c r="E1681"/>
  <c r="F1681"/>
  <c r="C1682"/>
  <c r="E1682"/>
  <c r="F1682"/>
  <c r="A1683"/>
  <c r="B1683"/>
  <c r="C1683"/>
  <c r="E1683"/>
  <c r="F1683"/>
  <c r="C1684"/>
  <c r="E1684"/>
  <c r="F1684"/>
  <c r="A1685"/>
  <c r="B1685"/>
  <c r="C1685"/>
  <c r="E1685"/>
  <c r="F1685"/>
  <c r="A1686"/>
  <c r="B1686"/>
  <c r="C1686"/>
  <c r="E1686"/>
  <c r="F1686"/>
  <c r="A1687"/>
  <c r="B1687"/>
  <c r="C1687"/>
  <c r="E1687"/>
  <c r="F1687"/>
  <c r="A1688"/>
  <c r="B1688"/>
  <c r="C1688"/>
  <c r="E1688"/>
  <c r="F1688"/>
  <c r="A1689"/>
  <c r="B1689"/>
  <c r="C1689"/>
  <c r="E1689"/>
  <c r="F1689"/>
  <c r="A1690"/>
  <c r="B1690"/>
  <c r="C1690"/>
  <c r="E1690"/>
  <c r="F1690"/>
  <c r="A1691"/>
  <c r="B1691"/>
  <c r="C1691"/>
  <c r="E1691"/>
  <c r="F1691"/>
  <c r="A1692"/>
  <c r="B1692"/>
  <c r="C1692"/>
  <c r="E1692"/>
  <c r="F1692"/>
  <c r="A1693"/>
  <c r="B1693"/>
  <c r="C1693"/>
  <c r="E1693"/>
  <c r="F1693"/>
  <c r="A1694"/>
  <c r="B1694"/>
  <c r="C1694"/>
  <c r="E1694"/>
  <c r="F1694"/>
  <c r="A1695"/>
  <c r="B1695"/>
  <c r="C1695"/>
  <c r="E1695"/>
  <c r="F1695"/>
  <c r="A1696"/>
  <c r="B1696"/>
  <c r="C1696"/>
  <c r="E1696"/>
  <c r="F1696"/>
  <c r="A1697"/>
  <c r="B1697"/>
  <c r="C1697"/>
  <c r="E1697"/>
  <c r="F1697"/>
  <c r="A1698"/>
  <c r="B1698"/>
  <c r="C1698"/>
  <c r="E1698"/>
  <c r="F1698"/>
  <c r="A1699"/>
  <c r="B1699"/>
  <c r="C1699"/>
  <c r="E1699"/>
  <c r="F1699"/>
  <c r="A1700"/>
  <c r="B1700"/>
  <c r="C1700"/>
  <c r="E1700"/>
  <c r="F1700"/>
  <c r="A1701"/>
  <c r="B1701"/>
  <c r="C1701"/>
  <c r="E1701"/>
  <c r="F1701"/>
  <c r="A1702"/>
  <c r="B1702"/>
  <c r="C1702"/>
  <c r="E1702"/>
  <c r="F1702"/>
  <c r="A1703"/>
  <c r="B1703"/>
  <c r="C1703"/>
  <c r="E1703"/>
  <c r="F1703"/>
  <c r="A1704"/>
  <c r="B1704"/>
  <c r="C1704"/>
  <c r="E1704"/>
  <c r="F1704"/>
  <c r="A1705"/>
  <c r="B1705"/>
  <c r="C1705"/>
  <c r="E1705"/>
  <c r="F1705"/>
  <c r="A1706"/>
  <c r="B1706"/>
  <c r="C1706"/>
  <c r="E1706"/>
  <c r="F1706"/>
  <c r="A1707"/>
  <c r="B1707"/>
  <c r="C1707"/>
  <c r="E1707"/>
  <c r="F1707"/>
  <c r="A1708"/>
  <c r="B1708"/>
  <c r="C1708"/>
  <c r="E1708"/>
  <c r="F1708"/>
  <c r="A1709"/>
  <c r="B1709"/>
  <c r="C1709"/>
  <c r="E1709"/>
  <c r="F1709"/>
  <c r="A1710"/>
  <c r="B1710"/>
  <c r="C1710"/>
  <c r="E1710"/>
  <c r="F1710"/>
  <c r="A1711"/>
  <c r="B1711"/>
  <c r="C1711"/>
  <c r="E1711"/>
  <c r="F1711"/>
  <c r="A1712"/>
  <c r="B1712"/>
  <c r="C1712"/>
  <c r="E1712"/>
  <c r="F1712"/>
  <c r="A1713"/>
  <c r="B1713"/>
  <c r="C1713"/>
  <c r="E1713"/>
  <c r="F1713"/>
  <c r="A1714"/>
  <c r="B1714"/>
  <c r="C1714"/>
  <c r="E1714"/>
  <c r="F1714"/>
  <c r="A1715"/>
  <c r="B1715"/>
  <c r="C1715"/>
  <c r="E1715"/>
  <c r="F1715"/>
  <c r="A1716"/>
  <c r="B1716"/>
  <c r="C1716"/>
  <c r="E1716"/>
  <c r="F1716"/>
  <c r="A1717"/>
  <c r="B1717"/>
  <c r="C1717"/>
  <c r="E1717"/>
  <c r="F1717"/>
  <c r="A1718"/>
  <c r="B1718"/>
  <c r="C1718"/>
  <c r="E1718"/>
  <c r="F1718"/>
  <c r="A1719"/>
  <c r="B1719"/>
  <c r="C1719"/>
  <c r="E1719"/>
  <c r="F1719"/>
  <c r="A1720"/>
  <c r="B1720"/>
  <c r="C1720"/>
  <c r="E1720"/>
  <c r="F1720"/>
  <c r="A1721"/>
  <c r="B1721"/>
  <c r="C1721"/>
  <c r="E1721"/>
  <c r="F1721"/>
  <c r="A1722"/>
  <c r="B1722"/>
  <c r="C1722"/>
  <c r="E1722"/>
  <c r="F1722"/>
  <c r="A1723"/>
  <c r="B1723"/>
  <c r="C1723"/>
  <c r="E1723"/>
  <c r="F1723"/>
  <c r="A1724"/>
  <c r="B1724"/>
  <c r="C1724"/>
  <c r="E1724"/>
  <c r="F1724"/>
  <c r="A1725"/>
  <c r="B1725"/>
  <c r="C1725"/>
  <c r="E1725"/>
  <c r="F1725"/>
  <c r="A1726"/>
  <c r="B1726"/>
  <c r="C1726"/>
  <c r="E1726"/>
  <c r="F1726"/>
  <c r="A1727"/>
  <c r="B1727"/>
  <c r="C1727"/>
  <c r="E1727"/>
  <c r="F1727"/>
  <c r="A1728"/>
  <c r="B1728"/>
  <c r="C1728"/>
  <c r="E1728"/>
  <c r="F1728"/>
  <c r="A1729"/>
  <c r="B1729"/>
  <c r="C1729"/>
  <c r="E1729"/>
  <c r="F1729"/>
  <c r="A1730"/>
  <c r="B1730"/>
  <c r="C1730"/>
  <c r="E1730"/>
  <c r="F1730"/>
  <c r="A1731"/>
  <c r="B1731"/>
  <c r="C1731"/>
  <c r="E1731"/>
  <c r="F1731"/>
  <c r="A1732"/>
  <c r="B1732"/>
  <c r="C1732"/>
  <c r="E1732"/>
  <c r="F1732"/>
  <c r="A1733"/>
  <c r="B1733"/>
  <c r="C1733"/>
  <c r="E1733"/>
  <c r="F1733"/>
  <c r="A1734"/>
  <c r="B1734"/>
  <c r="C1734"/>
  <c r="E1734"/>
  <c r="F1734"/>
  <c r="A1735"/>
  <c r="B1735"/>
  <c r="C1735"/>
  <c r="E1735"/>
  <c r="F1735"/>
  <c r="A1736"/>
  <c r="B1736"/>
  <c r="C1736"/>
  <c r="E1736"/>
  <c r="F1736"/>
  <c r="A1737"/>
  <c r="B1737"/>
  <c r="C1737"/>
  <c r="E1737"/>
  <c r="F1737"/>
  <c r="A1738"/>
  <c r="B1738"/>
  <c r="C1738"/>
  <c r="E1738"/>
  <c r="F1738"/>
  <c r="A1739"/>
  <c r="B1739"/>
  <c r="C1739"/>
  <c r="E1739"/>
  <c r="F1739"/>
  <c r="A1740"/>
  <c r="B1740"/>
  <c r="C1740"/>
  <c r="E1740"/>
  <c r="F1740"/>
  <c r="A1741"/>
  <c r="B1741"/>
  <c r="C1741"/>
  <c r="E1741"/>
  <c r="F1741"/>
  <c r="A1742"/>
  <c r="B1742"/>
  <c r="C1742"/>
  <c r="E1742"/>
  <c r="F1742"/>
  <c r="A1743"/>
  <c r="B1743"/>
  <c r="C1743"/>
  <c r="E1743"/>
  <c r="F1743"/>
  <c r="A1744"/>
  <c r="B1744"/>
  <c r="C1744"/>
  <c r="E1744"/>
  <c r="F1744"/>
  <c r="A1745"/>
  <c r="B1745"/>
  <c r="C1745"/>
  <c r="E1745"/>
  <c r="F1745"/>
  <c r="A1746"/>
  <c r="B1746"/>
  <c r="C1746"/>
  <c r="E1746"/>
  <c r="F1746"/>
  <c r="A1747"/>
  <c r="B1747"/>
  <c r="C1747"/>
  <c r="E1747"/>
  <c r="F1747"/>
  <c r="A1748"/>
  <c r="B1748"/>
  <c r="C1748"/>
  <c r="E1748"/>
  <c r="F1748"/>
  <c r="A1749"/>
  <c r="B1749"/>
  <c r="C1749"/>
  <c r="E1749"/>
  <c r="F1749"/>
  <c r="A1750"/>
  <c r="B1750"/>
  <c r="C1750"/>
  <c r="E1750"/>
  <c r="F1750"/>
  <c r="A1751"/>
  <c r="B1751"/>
  <c r="C1751"/>
  <c r="E1751"/>
  <c r="F1751"/>
  <c r="A1752"/>
  <c r="B1752"/>
  <c r="C1752"/>
  <c r="E1752"/>
  <c r="F1752"/>
  <c r="A1753"/>
  <c r="B1753"/>
  <c r="C1753"/>
  <c r="E1753"/>
  <c r="F1753"/>
  <c r="A1754"/>
  <c r="B1754"/>
  <c r="C1754"/>
  <c r="E1754"/>
  <c r="F1754"/>
  <c r="A1755"/>
  <c r="B1755"/>
  <c r="C1755"/>
  <c r="E1755"/>
  <c r="F1755"/>
  <c r="A1756"/>
  <c r="B1756"/>
  <c r="C1756"/>
  <c r="E1756"/>
  <c r="F1756"/>
  <c r="A1757"/>
  <c r="B1757"/>
  <c r="C1757"/>
  <c r="E1757"/>
  <c r="F1757"/>
  <c r="A1758"/>
  <c r="B1758"/>
  <c r="C1758"/>
  <c r="E1758"/>
  <c r="F1758"/>
  <c r="A1759"/>
  <c r="B1759"/>
  <c r="C1759"/>
  <c r="E1759"/>
  <c r="F1759"/>
  <c r="A1760"/>
  <c r="B1760"/>
  <c r="C1760"/>
  <c r="E1760"/>
  <c r="F1760"/>
  <c r="A1761"/>
  <c r="B1761"/>
  <c r="C1761"/>
  <c r="E1761"/>
  <c r="F1761"/>
  <c r="A1762"/>
  <c r="B1762"/>
  <c r="C1762"/>
  <c r="E1762"/>
  <c r="F1762"/>
  <c r="A1763"/>
  <c r="B1763"/>
  <c r="C1763"/>
  <c r="E1763"/>
  <c r="F1763"/>
  <c r="A1764"/>
  <c r="B1764"/>
  <c r="C1764"/>
  <c r="E1764"/>
  <c r="F1764"/>
  <c r="A1765"/>
  <c r="B1765"/>
  <c r="C1765"/>
  <c r="E1765"/>
  <c r="F1765"/>
  <c r="A1766"/>
  <c r="B1766"/>
  <c r="C1766"/>
  <c r="E1766"/>
  <c r="F1766"/>
  <c r="A1767"/>
  <c r="B1767"/>
  <c r="C1767"/>
  <c r="E1767"/>
  <c r="F1767"/>
  <c r="A1768"/>
  <c r="B1768"/>
  <c r="C1768"/>
  <c r="E1768"/>
  <c r="F1768"/>
  <c r="A1769"/>
  <c r="B1769"/>
  <c r="C1769"/>
  <c r="E1769"/>
  <c r="F1769"/>
  <c r="A1770"/>
  <c r="B1770"/>
  <c r="C1770"/>
  <c r="E1770"/>
  <c r="F1770"/>
  <c r="A1771"/>
  <c r="B1771"/>
  <c r="C1771"/>
  <c r="E1771"/>
  <c r="F1771"/>
  <c r="A1772"/>
  <c r="B1772"/>
  <c r="C1772"/>
  <c r="E1772"/>
  <c r="F1772"/>
  <c r="A1773"/>
  <c r="B1773"/>
  <c r="C1773"/>
  <c r="E1773"/>
  <c r="F1773"/>
  <c r="A1774"/>
  <c r="B1774"/>
  <c r="C1774"/>
  <c r="E1774"/>
  <c r="F1774"/>
  <c r="A1775"/>
  <c r="B1775"/>
  <c r="C1775"/>
  <c r="E1775"/>
  <c r="F1775"/>
  <c r="A1776"/>
  <c r="B1776"/>
  <c r="C1776"/>
  <c r="E1776"/>
  <c r="F1776"/>
  <c r="A1777"/>
  <c r="B1777"/>
  <c r="C1777"/>
  <c r="E1777"/>
  <c r="F1777"/>
  <c r="A1778"/>
  <c r="B1778"/>
  <c r="C1778"/>
  <c r="E1778"/>
  <c r="F1778"/>
  <c r="A1779"/>
  <c r="B1779"/>
  <c r="C1779"/>
  <c r="E1779"/>
  <c r="F1779"/>
  <c r="A1780"/>
  <c r="B1780"/>
  <c r="C1780"/>
  <c r="E1780"/>
  <c r="F1780"/>
  <c r="A1781"/>
  <c r="B1781"/>
  <c r="C1781"/>
  <c r="E1781"/>
  <c r="F1781"/>
  <c r="A1782"/>
  <c r="B1782"/>
  <c r="C1782"/>
  <c r="E1782"/>
  <c r="F1782"/>
  <c r="A1783"/>
  <c r="B1783"/>
  <c r="C1783"/>
  <c r="E1783"/>
  <c r="F1783"/>
  <c r="A1784"/>
  <c r="B1784"/>
  <c r="C1784"/>
  <c r="E1784"/>
  <c r="F1784"/>
  <c r="A1785"/>
  <c r="B1785"/>
  <c r="C1785"/>
  <c r="E1785"/>
  <c r="F1785"/>
  <c r="A1786"/>
  <c r="B1786"/>
  <c r="C1786"/>
  <c r="E1786"/>
  <c r="F1786"/>
  <c r="A1787"/>
  <c r="B1787"/>
  <c r="C1787"/>
  <c r="E1787"/>
  <c r="F1787"/>
  <c r="A1788"/>
  <c r="B1788"/>
  <c r="C1788"/>
  <c r="E1788"/>
  <c r="F1788"/>
  <c r="A1789"/>
  <c r="B1789"/>
  <c r="C1789"/>
  <c r="E1789"/>
  <c r="F1789"/>
  <c r="A1790"/>
  <c r="B1790"/>
  <c r="C1790"/>
  <c r="E1790"/>
  <c r="F1790"/>
  <c r="A1791"/>
  <c r="B1791"/>
  <c r="C1791"/>
  <c r="E1791"/>
  <c r="F1791"/>
  <c r="A1792"/>
  <c r="B1792"/>
  <c r="C1792"/>
  <c r="E1792"/>
  <c r="F1792"/>
  <c r="A1793"/>
  <c r="B1793"/>
  <c r="C1793"/>
  <c r="E1793"/>
  <c r="F1793"/>
  <c r="A1794"/>
  <c r="B1794"/>
  <c r="C1794"/>
  <c r="E1794"/>
  <c r="F1794"/>
  <c r="A1795"/>
  <c r="B1795"/>
  <c r="C1795"/>
  <c r="E1795"/>
  <c r="F1795"/>
  <c r="A1796"/>
  <c r="B1796"/>
  <c r="C1796"/>
  <c r="E1796"/>
  <c r="F1796"/>
  <c r="A1797"/>
  <c r="B1797"/>
  <c r="C1797"/>
  <c r="E1797"/>
  <c r="F1797"/>
  <c r="A1798"/>
  <c r="B1798"/>
  <c r="C1798"/>
  <c r="E1798"/>
  <c r="F1798"/>
  <c r="A1799"/>
  <c r="B1799"/>
  <c r="C1799"/>
  <c r="E1799"/>
  <c r="F1799"/>
  <c r="A1800"/>
  <c r="B1800"/>
  <c r="C1800"/>
  <c r="E1800"/>
  <c r="F1800"/>
  <c r="A1801"/>
  <c r="B1801"/>
  <c r="C1801"/>
  <c r="E1801"/>
  <c r="F1801"/>
  <c r="A1802"/>
  <c r="B1802"/>
  <c r="C1802"/>
  <c r="E1802"/>
  <c r="F1802"/>
  <c r="A1803"/>
  <c r="B1803"/>
  <c r="C1803"/>
  <c r="E1803"/>
  <c r="F1803"/>
  <c r="A1804"/>
  <c r="B1804"/>
  <c r="C1804"/>
  <c r="E1804"/>
  <c r="F1804"/>
  <c r="A1805"/>
  <c r="B1805"/>
  <c r="C1805"/>
  <c r="E1805"/>
  <c r="F1805"/>
  <c r="A1806"/>
  <c r="B1806"/>
  <c r="C1806"/>
  <c r="E1806"/>
  <c r="F1806"/>
  <c r="A1807"/>
  <c r="B1807"/>
  <c r="C1807"/>
  <c r="E1807"/>
  <c r="F1807"/>
  <c r="A1808"/>
  <c r="B1808"/>
  <c r="C1808"/>
  <c r="E1808"/>
  <c r="F1808"/>
  <c r="A1809"/>
  <c r="B1809"/>
  <c r="C1809"/>
  <c r="E1809"/>
  <c r="F1809"/>
  <c r="A1810"/>
  <c r="B1810"/>
  <c r="C1810"/>
  <c r="E1810"/>
  <c r="F1810"/>
  <c r="A1811"/>
  <c r="B1811"/>
  <c r="C1811"/>
  <c r="E1811"/>
  <c r="F1811"/>
  <c r="A1812"/>
  <c r="B1812"/>
  <c r="C1812"/>
  <c r="E1812"/>
  <c r="F1812"/>
  <c r="A1813"/>
  <c r="B1813"/>
  <c r="C1813"/>
  <c r="E1813"/>
  <c r="F1813"/>
  <c r="A1814"/>
  <c r="B1814"/>
  <c r="C1814"/>
  <c r="E1814"/>
  <c r="F1814"/>
  <c r="A1815"/>
  <c r="B1815"/>
  <c r="C1815"/>
  <c r="E1815"/>
  <c r="F1815"/>
  <c r="A1816"/>
  <c r="B1816"/>
  <c r="C1816"/>
  <c r="E1816"/>
  <c r="F1816"/>
  <c r="A1817"/>
  <c r="B1817"/>
  <c r="C1817"/>
  <c r="E1817"/>
  <c r="F1817"/>
  <c r="A1818"/>
  <c r="B1818"/>
  <c r="C1818"/>
  <c r="E1818"/>
  <c r="F1818"/>
  <c r="A1819"/>
  <c r="B1819"/>
  <c r="C1819"/>
  <c r="E1819"/>
  <c r="F1819"/>
  <c r="A1820"/>
  <c r="B1820"/>
  <c r="C1820"/>
  <c r="E1820"/>
  <c r="F1820"/>
  <c r="C1821"/>
  <c r="E1821"/>
  <c r="F1821"/>
  <c r="C1822"/>
  <c r="E1822"/>
  <c r="F1822"/>
  <c r="C1823"/>
  <c r="E1823"/>
  <c r="F1823"/>
  <c r="C1824"/>
  <c r="E1824"/>
  <c r="F1824"/>
  <c r="A1825"/>
  <c r="B1825"/>
  <c r="C1825"/>
  <c r="E1825"/>
  <c r="F1825"/>
  <c r="A1826"/>
  <c r="B1826"/>
  <c r="C1826"/>
  <c r="E1826"/>
  <c r="F1826"/>
  <c r="A1827"/>
  <c r="B1827"/>
  <c r="C1827"/>
  <c r="E1827"/>
  <c r="F1827"/>
  <c r="A1828"/>
  <c r="B1828"/>
  <c r="C1828"/>
  <c r="E1828"/>
  <c r="F1828"/>
  <c r="A1829"/>
  <c r="B1829"/>
  <c r="C1829"/>
  <c r="E1829"/>
  <c r="F1829"/>
  <c r="A1830"/>
  <c r="B1830"/>
  <c r="C1830"/>
  <c r="E1830"/>
  <c r="F1830"/>
  <c r="A1831"/>
  <c r="B1831"/>
  <c r="C1831"/>
  <c r="E1831"/>
  <c r="F1831"/>
  <c r="A1832"/>
  <c r="B1832"/>
  <c r="C1832"/>
  <c r="E1832"/>
  <c r="F1832"/>
  <c r="A1833"/>
  <c r="B1833"/>
  <c r="C1833"/>
  <c r="E1833"/>
  <c r="F1833"/>
  <c r="A1834"/>
  <c r="B1834"/>
  <c r="C1834"/>
  <c r="E1834"/>
  <c r="F1834"/>
  <c r="A1835"/>
  <c r="B1835"/>
  <c r="C1835"/>
  <c r="E1835"/>
  <c r="F1835"/>
  <c r="A1836"/>
  <c r="B1836"/>
  <c r="C1836"/>
  <c r="E1836"/>
  <c r="F1836"/>
  <c r="A1837"/>
  <c r="B1837"/>
  <c r="C1837"/>
  <c r="E1837"/>
  <c r="F1837"/>
  <c r="A1838"/>
  <c r="B1838"/>
  <c r="C1838"/>
  <c r="E1838"/>
  <c r="F1838"/>
  <c r="A1839"/>
  <c r="B1839"/>
  <c r="C1839"/>
  <c r="E1839"/>
  <c r="F1839"/>
  <c r="A1840"/>
  <c r="B1840"/>
  <c r="C1840"/>
  <c r="E1840"/>
  <c r="F1840"/>
  <c r="A1841"/>
  <c r="B1841"/>
  <c r="C1841"/>
  <c r="E1841"/>
  <c r="F1841"/>
  <c r="A1842"/>
  <c r="B1842"/>
  <c r="C1842"/>
  <c r="E1842"/>
  <c r="F1842"/>
  <c r="A1843"/>
  <c r="B1843"/>
  <c r="C1843"/>
  <c r="E1843"/>
  <c r="F1843"/>
  <c r="A1844"/>
  <c r="B1844"/>
  <c r="C1844"/>
  <c r="E1844"/>
  <c r="F1844"/>
  <c r="A1845"/>
  <c r="B1845"/>
  <c r="C1845"/>
  <c r="E1845"/>
  <c r="F1845"/>
  <c r="A1846"/>
  <c r="B1846"/>
  <c r="C1846"/>
  <c r="E1846"/>
  <c r="F1846"/>
  <c r="A1847"/>
  <c r="B1847"/>
  <c r="C1847"/>
  <c r="E1847"/>
  <c r="F1847"/>
  <c r="A1848"/>
  <c r="B1848"/>
  <c r="C1848"/>
  <c r="E1848"/>
  <c r="F1848"/>
  <c r="A1849"/>
  <c r="B1849"/>
  <c r="C1849"/>
  <c r="E1849"/>
  <c r="F1849"/>
  <c r="A1850"/>
  <c r="B1850"/>
  <c r="C1850"/>
  <c r="E1850"/>
  <c r="F1850"/>
  <c r="A1851"/>
  <c r="B1851"/>
  <c r="C1851"/>
  <c r="E1851"/>
  <c r="F1851"/>
  <c r="A1852"/>
  <c r="B1852"/>
  <c r="C1852"/>
  <c r="E1852"/>
  <c r="F1852"/>
  <c r="A1853"/>
  <c r="B1853"/>
  <c r="C1853"/>
  <c r="E1853"/>
  <c r="F1853"/>
  <c r="A1854"/>
  <c r="B1854"/>
  <c r="C1854"/>
  <c r="E1854"/>
  <c r="F1854"/>
  <c r="A1855"/>
  <c r="B1855"/>
  <c r="C1855"/>
  <c r="E1855"/>
  <c r="F1855"/>
  <c r="A1856"/>
  <c r="B1856"/>
  <c r="C1856"/>
  <c r="E1856"/>
  <c r="F1856"/>
  <c r="A1857"/>
  <c r="B1857"/>
  <c r="C1857"/>
  <c r="E1857"/>
  <c r="F1857"/>
  <c r="A1858"/>
  <c r="B1858"/>
  <c r="C1858"/>
  <c r="E1858"/>
  <c r="F1858"/>
  <c r="A1859"/>
  <c r="B1859"/>
  <c r="C1859"/>
  <c r="E1859"/>
  <c r="F1859"/>
  <c r="A1860"/>
  <c r="B1860"/>
  <c r="C1860"/>
  <c r="E1860"/>
  <c r="F1860"/>
  <c r="A1861"/>
  <c r="B1861"/>
  <c r="C1861"/>
  <c r="E1861"/>
  <c r="F1861"/>
  <c r="A1862"/>
  <c r="B1862"/>
  <c r="C1862"/>
  <c r="E1862"/>
  <c r="F1862"/>
  <c r="A1863"/>
  <c r="B1863"/>
  <c r="C1863"/>
  <c r="E1863"/>
  <c r="F1863"/>
  <c r="A1864"/>
  <c r="B1864"/>
  <c r="C1864"/>
  <c r="E1864"/>
  <c r="F1864"/>
  <c r="A1865"/>
  <c r="B1865"/>
  <c r="C1865"/>
  <c r="E1865"/>
  <c r="F1865"/>
  <c r="A1866"/>
  <c r="B1866"/>
  <c r="C1866"/>
  <c r="E1866"/>
  <c r="F1866"/>
  <c r="A1867"/>
  <c r="B1867"/>
  <c r="C1867"/>
  <c r="E1867"/>
  <c r="F1867"/>
  <c r="A1868"/>
  <c r="B1868"/>
  <c r="C1868"/>
  <c r="E1868"/>
  <c r="F1868"/>
  <c r="A1869"/>
  <c r="B1869"/>
  <c r="C1869"/>
  <c r="E1869"/>
  <c r="F1869"/>
  <c r="A1870"/>
  <c r="B1870"/>
  <c r="C1870"/>
  <c r="E1870"/>
  <c r="F1870"/>
  <c r="A1871"/>
  <c r="B1871"/>
  <c r="C1871"/>
  <c r="E1871"/>
  <c r="F1871"/>
  <c r="A1872"/>
  <c r="B1872"/>
  <c r="C1872"/>
  <c r="E1872"/>
  <c r="F1872"/>
  <c r="A1873"/>
  <c r="B1873"/>
  <c r="C1873"/>
  <c r="E1873"/>
  <c r="F1873"/>
  <c r="A1874"/>
  <c r="B1874"/>
  <c r="C1874"/>
  <c r="E1874"/>
  <c r="F1874"/>
  <c r="A1875"/>
  <c r="B1875"/>
  <c r="C1875"/>
  <c r="E1875"/>
  <c r="F1875"/>
  <c r="A1876"/>
  <c r="B1876"/>
  <c r="C1876"/>
  <c r="E1876"/>
  <c r="F1876"/>
  <c r="A1877"/>
  <c r="B1877"/>
  <c r="C1877"/>
  <c r="E1877"/>
  <c r="F1877"/>
  <c r="A1878"/>
  <c r="B1878"/>
  <c r="C1878"/>
  <c r="E1878"/>
  <c r="F1878"/>
  <c r="A1879"/>
  <c r="B1879"/>
  <c r="C1879"/>
  <c r="E1879"/>
  <c r="F1879"/>
  <c r="A1880"/>
  <c r="B1880"/>
  <c r="C1880"/>
  <c r="E1880"/>
  <c r="F1880"/>
  <c r="A1881"/>
  <c r="B1881"/>
  <c r="C1881"/>
  <c r="E1881"/>
  <c r="F1881"/>
  <c r="A1882"/>
  <c r="B1882"/>
  <c r="C1882"/>
  <c r="E1882"/>
  <c r="F1882"/>
  <c r="A1883"/>
  <c r="B1883"/>
  <c r="C1883"/>
  <c r="E1883"/>
  <c r="F1883"/>
  <c r="A1884"/>
  <c r="B1884"/>
  <c r="C1884"/>
  <c r="E1884"/>
  <c r="F1884"/>
  <c r="A1885"/>
  <c r="B1885"/>
  <c r="C1885"/>
  <c r="E1885"/>
  <c r="F1885"/>
  <c r="A1886"/>
  <c r="B1886"/>
  <c r="C1886"/>
  <c r="E1886"/>
  <c r="F1886"/>
  <c r="A1887"/>
  <c r="B1887"/>
  <c r="C1887"/>
  <c r="E1887"/>
  <c r="F1887"/>
  <c r="A1888"/>
  <c r="B1888"/>
  <c r="C1888"/>
  <c r="E1888"/>
  <c r="F1888"/>
  <c r="A1889"/>
  <c r="B1889"/>
  <c r="C1889"/>
  <c r="E1889"/>
  <c r="F1889"/>
  <c r="A1890"/>
  <c r="B1890"/>
  <c r="C1890"/>
  <c r="E1890"/>
  <c r="F1890"/>
  <c r="A1891"/>
  <c r="B1891"/>
  <c r="C1891"/>
  <c r="E1891"/>
  <c r="F1891"/>
  <c r="A1892"/>
  <c r="B1892"/>
  <c r="C1892"/>
  <c r="E1892"/>
  <c r="F1892"/>
  <c r="A1893"/>
  <c r="B1893"/>
  <c r="C1893"/>
  <c r="E1893"/>
  <c r="F1893"/>
  <c r="A1894"/>
  <c r="B1894"/>
  <c r="C1894"/>
  <c r="E1894"/>
  <c r="F1894"/>
  <c r="A1895"/>
  <c r="B1895"/>
  <c r="C1895"/>
  <c r="E1895"/>
  <c r="F1895"/>
  <c r="A1896"/>
  <c r="B1896"/>
  <c r="C1896"/>
  <c r="E1896"/>
  <c r="F1896"/>
  <c r="A1897"/>
  <c r="B1897"/>
  <c r="C1897"/>
  <c r="E1897"/>
  <c r="F1897"/>
  <c r="A1898"/>
  <c r="B1898"/>
  <c r="C1898"/>
  <c r="E1898"/>
  <c r="F1898"/>
  <c r="A1899"/>
  <c r="B1899"/>
  <c r="C1899"/>
  <c r="E1899"/>
  <c r="F1899"/>
  <c r="A1900"/>
  <c r="B1900"/>
  <c r="C1900"/>
  <c r="E1900"/>
  <c r="F1900"/>
  <c r="A1901"/>
  <c r="B1901"/>
  <c r="C1901"/>
  <c r="E1901"/>
  <c r="F1901"/>
  <c r="A1902"/>
  <c r="B1902"/>
  <c r="C1902"/>
  <c r="E1902"/>
  <c r="F1902"/>
  <c r="A1903"/>
  <c r="B1903"/>
  <c r="C1903"/>
  <c r="E1903"/>
  <c r="F1903"/>
  <c r="A1904"/>
  <c r="B1904"/>
  <c r="C1904"/>
  <c r="E1904"/>
  <c r="F1904"/>
  <c r="A1905"/>
  <c r="B1905"/>
  <c r="C1905"/>
  <c r="E1905"/>
  <c r="F1905"/>
  <c r="A1906"/>
  <c r="B1906"/>
  <c r="C1906"/>
  <c r="E1906"/>
  <c r="F1906"/>
  <c r="A1907"/>
  <c r="B1907"/>
  <c r="C1907"/>
  <c r="E1907"/>
  <c r="F1907"/>
  <c r="A1908"/>
  <c r="B1908"/>
  <c r="C1908"/>
  <c r="E1908"/>
  <c r="F1908"/>
  <c r="A1909"/>
  <c r="B1909"/>
  <c r="C1909"/>
  <c r="E1909"/>
  <c r="F1909"/>
  <c r="A1910"/>
  <c r="B1910"/>
  <c r="C1910"/>
  <c r="E1910"/>
  <c r="F1910"/>
  <c r="A1911"/>
  <c r="B1911"/>
  <c r="C1911"/>
  <c r="E1911"/>
  <c r="F1911"/>
  <c r="A1912"/>
  <c r="B1912"/>
  <c r="C1912"/>
  <c r="E1912"/>
  <c r="F1912"/>
  <c r="A1913"/>
  <c r="B1913"/>
  <c r="C1913"/>
  <c r="E1913"/>
  <c r="F1913"/>
  <c r="A1914"/>
  <c r="B1914"/>
  <c r="C1914"/>
  <c r="E1914"/>
  <c r="F1914"/>
  <c r="A1915"/>
  <c r="B1915"/>
  <c r="C1915"/>
  <c r="E1915"/>
  <c r="F1915"/>
  <c r="A1916"/>
  <c r="B1916"/>
  <c r="C1916"/>
  <c r="E1916"/>
  <c r="F1916"/>
  <c r="A1917"/>
  <c r="B1917"/>
  <c r="C1917"/>
  <c r="E1917"/>
  <c r="F1917"/>
  <c r="A1918"/>
  <c r="B1918"/>
  <c r="C1918"/>
  <c r="E1918"/>
  <c r="F1918"/>
  <c r="A1919"/>
  <c r="B1919"/>
  <c r="C1919"/>
  <c r="E1919"/>
  <c r="F1919"/>
  <c r="A1920"/>
  <c r="B1920"/>
  <c r="C1920"/>
  <c r="E1920"/>
  <c r="F1920"/>
  <c r="A1921"/>
  <c r="B1921"/>
  <c r="C1921"/>
  <c r="E1921"/>
  <c r="F1921"/>
  <c r="A1922"/>
  <c r="B1922"/>
  <c r="C1922"/>
  <c r="E1922"/>
  <c r="F1922"/>
  <c r="A1923"/>
  <c r="B1923"/>
  <c r="C1923"/>
  <c r="E1923"/>
  <c r="F1923"/>
  <c r="A1924"/>
  <c r="B1924"/>
  <c r="C1924"/>
  <c r="E1924"/>
  <c r="F1924"/>
  <c r="A1925"/>
  <c r="B1925"/>
  <c r="C1925"/>
  <c r="E1925"/>
  <c r="F1925"/>
  <c r="A1926"/>
  <c r="B1926"/>
  <c r="C1926"/>
  <c r="E1926"/>
  <c r="F1926"/>
  <c r="A1927"/>
  <c r="B1927"/>
  <c r="C1927"/>
  <c r="E1927"/>
  <c r="F1927"/>
  <c r="A1928"/>
  <c r="B1928"/>
  <c r="C1928"/>
  <c r="E1928"/>
  <c r="F1928"/>
  <c r="A1929"/>
  <c r="B1929"/>
  <c r="C1929"/>
  <c r="E1929"/>
  <c r="F1929"/>
  <c r="A1930"/>
  <c r="B1930"/>
  <c r="C1930"/>
  <c r="E1930"/>
  <c r="F1930"/>
  <c r="A1931"/>
  <c r="B1931"/>
  <c r="C1931"/>
  <c r="E1931"/>
  <c r="F1931"/>
  <c r="A1932"/>
  <c r="B1932"/>
  <c r="C1932"/>
  <c r="E1932"/>
  <c r="F1932"/>
  <c r="A1933"/>
  <c r="B1933"/>
  <c r="C1933"/>
  <c r="E1933"/>
  <c r="F1933"/>
  <c r="A1934"/>
  <c r="B1934"/>
  <c r="C1934"/>
  <c r="E1934"/>
  <c r="F1934"/>
  <c r="A1935"/>
  <c r="B1935"/>
  <c r="C1935"/>
  <c r="E1935"/>
  <c r="F1935"/>
  <c r="A1936"/>
  <c r="B1936"/>
  <c r="C1936"/>
  <c r="E1936"/>
  <c r="F1936"/>
  <c r="A1937"/>
  <c r="B1937"/>
  <c r="C1937"/>
  <c r="E1937"/>
  <c r="F1937"/>
  <c r="A1938"/>
  <c r="B1938"/>
  <c r="C1938"/>
  <c r="E1938"/>
  <c r="F1938"/>
  <c r="A1939"/>
  <c r="B1939"/>
  <c r="C1939"/>
  <c r="E1939"/>
  <c r="F1939"/>
  <c r="A1940"/>
  <c r="B1940"/>
  <c r="C1940"/>
  <c r="E1940"/>
  <c r="F1940"/>
  <c r="A1941"/>
  <c r="B1941"/>
  <c r="C1941"/>
  <c r="E1941"/>
  <c r="F1941"/>
  <c r="A1942"/>
  <c r="B1942"/>
  <c r="C1942"/>
  <c r="E1942"/>
  <c r="F1942"/>
  <c r="A1943"/>
  <c r="B1943"/>
  <c r="C1943"/>
  <c r="E1943"/>
  <c r="F1943"/>
  <c r="A1944"/>
  <c r="B1944"/>
  <c r="C1944"/>
  <c r="E1944"/>
  <c r="F1944"/>
  <c r="A1945"/>
  <c r="B1945"/>
  <c r="C1945"/>
  <c r="E1945"/>
  <c r="F1945"/>
  <c r="A1946"/>
  <c r="B1946"/>
  <c r="C1946"/>
  <c r="E1946"/>
  <c r="F1946"/>
  <c r="A1947"/>
  <c r="B1947"/>
  <c r="C1947"/>
  <c r="E1947"/>
  <c r="F1947"/>
  <c r="A1948"/>
  <c r="B1948"/>
  <c r="C1948"/>
  <c r="E1948"/>
  <c r="F1948"/>
  <c r="A1949"/>
  <c r="B1949"/>
  <c r="C1949"/>
  <c r="E1949"/>
  <c r="F1949"/>
  <c r="A1950"/>
  <c r="B1950"/>
  <c r="C1950"/>
  <c r="E1950"/>
  <c r="F1950"/>
  <c r="A1951"/>
  <c r="B1951"/>
  <c r="C1951"/>
  <c r="E1951"/>
  <c r="F1951"/>
  <c r="A1952"/>
  <c r="B1952"/>
  <c r="C1952"/>
  <c r="E1952"/>
  <c r="F1952"/>
  <c r="A1953"/>
  <c r="B1953"/>
  <c r="C1953"/>
  <c r="E1953"/>
  <c r="F1953"/>
  <c r="A1954"/>
  <c r="B1954"/>
  <c r="C1954"/>
  <c r="E1954"/>
  <c r="F1954"/>
  <c r="A1955"/>
  <c r="B1955"/>
  <c r="C1955"/>
  <c r="E1955"/>
  <c r="F1955"/>
  <c r="A1956"/>
  <c r="B1956"/>
  <c r="C1956"/>
  <c r="E1956"/>
  <c r="F1956"/>
  <c r="A1957"/>
  <c r="B1957"/>
  <c r="C1957"/>
  <c r="E1957"/>
  <c r="F1957"/>
  <c r="A1958"/>
  <c r="B1958"/>
  <c r="C1958"/>
  <c r="E1958"/>
  <c r="F1958"/>
  <c r="A1959"/>
  <c r="B1959"/>
  <c r="C1959"/>
  <c r="E1959"/>
  <c r="F1959"/>
  <c r="A1960"/>
  <c r="B1960"/>
  <c r="C1960"/>
  <c r="E1960"/>
  <c r="F1960"/>
  <c r="A1961"/>
  <c r="B1961"/>
  <c r="C1961"/>
  <c r="E1961"/>
  <c r="F1961"/>
  <c r="A1962"/>
  <c r="B1962"/>
  <c r="C1962"/>
  <c r="E1962"/>
  <c r="F1962"/>
  <c r="A1963"/>
  <c r="B1963"/>
  <c r="C1963"/>
  <c r="E1963"/>
  <c r="F1963"/>
  <c r="A1964"/>
  <c r="B1964"/>
  <c r="C1964"/>
  <c r="E1964"/>
  <c r="F1964"/>
  <c r="A1965"/>
  <c r="B1965"/>
  <c r="C1965"/>
  <c r="E1965"/>
  <c r="F1965"/>
  <c r="A1966"/>
  <c r="B1966"/>
  <c r="C1966"/>
  <c r="E1966"/>
  <c r="F1966"/>
  <c r="A1967"/>
  <c r="B1967"/>
  <c r="C1967"/>
  <c r="E1967"/>
  <c r="F1967"/>
  <c r="A1968"/>
  <c r="B1968"/>
  <c r="C1968"/>
  <c r="E1968"/>
  <c r="F1968"/>
  <c r="A1969"/>
  <c r="B1969"/>
  <c r="C1969"/>
  <c r="E1969"/>
  <c r="F1969"/>
  <c r="A1970"/>
  <c r="B1970"/>
  <c r="C1970"/>
  <c r="E1970"/>
  <c r="F1970"/>
  <c r="A1971"/>
  <c r="B1971"/>
  <c r="C1971"/>
  <c r="E1971"/>
  <c r="F1971"/>
  <c r="A1972"/>
  <c r="B1972"/>
  <c r="C1972"/>
  <c r="E1972"/>
  <c r="F1972"/>
  <c r="A1973"/>
  <c r="B1973"/>
  <c r="C1973"/>
  <c r="E1973"/>
  <c r="F1973"/>
  <c r="A1974"/>
  <c r="B1974"/>
  <c r="C1974"/>
  <c r="E1974"/>
  <c r="F1974"/>
  <c r="A1975"/>
  <c r="B1975"/>
  <c r="C1975"/>
  <c r="E1975"/>
  <c r="F1975"/>
  <c r="A1976"/>
  <c r="B1976"/>
  <c r="C1976"/>
  <c r="E1976"/>
  <c r="F1976"/>
  <c r="A1977"/>
  <c r="B1977"/>
  <c r="C1977"/>
  <c r="E1977"/>
  <c r="F1977"/>
  <c r="A1978"/>
  <c r="B1978"/>
  <c r="C1978"/>
  <c r="E1978"/>
  <c r="F1978"/>
  <c r="A1979"/>
  <c r="B1979"/>
  <c r="C1979"/>
  <c r="E1979"/>
  <c r="F1979"/>
  <c r="A1980"/>
  <c r="B1980"/>
  <c r="C1980"/>
  <c r="E1980"/>
  <c r="F1980"/>
  <c r="A1981"/>
  <c r="B1981"/>
  <c r="C1981"/>
  <c r="E1981"/>
  <c r="F1981"/>
  <c r="A1982"/>
  <c r="B1982"/>
  <c r="C1982"/>
  <c r="E1982"/>
  <c r="F1982"/>
  <c r="A1983"/>
  <c r="B1983"/>
  <c r="C1983"/>
  <c r="E1983"/>
  <c r="F1983"/>
  <c r="A1984"/>
  <c r="B1984"/>
  <c r="C1984"/>
  <c r="E1984"/>
  <c r="F1984"/>
  <c r="A1985"/>
  <c r="B1985"/>
  <c r="C1985"/>
  <c r="E1985"/>
  <c r="F1985"/>
  <c r="A1986"/>
  <c r="B1986"/>
  <c r="C1986"/>
  <c r="E1986"/>
  <c r="F1986"/>
  <c r="A1987"/>
  <c r="B1987"/>
  <c r="C1987"/>
  <c r="E1987"/>
  <c r="F1987"/>
  <c r="A1988"/>
  <c r="B1988"/>
  <c r="C1988"/>
  <c r="E1988"/>
  <c r="F1988"/>
  <c r="A1989"/>
  <c r="B1989"/>
  <c r="C1989"/>
  <c r="E1989"/>
  <c r="F1989"/>
  <c r="A1990"/>
  <c r="B1990"/>
  <c r="C1990"/>
  <c r="E1990"/>
  <c r="F1990"/>
  <c r="A1991"/>
  <c r="B1991"/>
  <c r="C1991"/>
  <c r="E1991"/>
  <c r="F1991"/>
  <c r="A1992"/>
  <c r="B1992"/>
  <c r="C1992"/>
  <c r="E1992"/>
  <c r="F1992"/>
  <c r="A1993"/>
  <c r="B1993"/>
  <c r="C1993"/>
  <c r="E1993"/>
  <c r="F1993"/>
  <c r="A1994"/>
  <c r="B1994"/>
  <c r="C1994"/>
  <c r="E1994"/>
  <c r="F1994"/>
  <c r="A1995"/>
  <c r="B1995"/>
  <c r="C1995"/>
  <c r="E1995"/>
  <c r="F1995"/>
  <c r="A1996"/>
  <c r="B1996"/>
  <c r="C1996"/>
  <c r="E1996"/>
  <c r="F1996"/>
  <c r="A1997"/>
  <c r="B1997"/>
  <c r="C1997"/>
  <c r="E1997"/>
  <c r="F1997"/>
  <c r="A1998"/>
  <c r="B1998"/>
  <c r="C1998"/>
  <c r="E1998"/>
  <c r="F1998"/>
  <c r="A1999"/>
  <c r="B1999"/>
  <c r="C1999"/>
  <c r="E1999"/>
  <c r="F1999"/>
  <c r="A2000"/>
  <c r="B2000"/>
  <c r="C2000"/>
  <c r="E2000"/>
  <c r="F2000"/>
  <c r="A2001"/>
  <c r="B2001"/>
  <c r="C2001"/>
  <c r="E2001"/>
  <c r="F2001"/>
  <c r="A2002"/>
  <c r="B2002"/>
  <c r="C2002"/>
  <c r="E2002"/>
  <c r="F2002"/>
  <c r="A2003"/>
  <c r="B2003"/>
  <c r="C2003"/>
  <c r="E2003"/>
  <c r="F2003"/>
  <c r="A2004"/>
  <c r="B2004"/>
  <c r="C2004"/>
  <c r="E2004"/>
  <c r="F2004"/>
  <c r="A2005"/>
  <c r="B2005"/>
  <c r="C2005"/>
  <c r="E2005"/>
  <c r="F2005"/>
  <c r="A2006"/>
  <c r="B2006"/>
  <c r="C2006"/>
  <c r="E2006"/>
  <c r="F2006"/>
  <c r="A2007"/>
  <c r="B2007"/>
  <c r="C2007"/>
  <c r="E2007"/>
  <c r="F2007"/>
  <c r="A2008"/>
  <c r="B2008"/>
  <c r="C2008"/>
  <c r="E2008"/>
  <c r="F2008"/>
  <c r="A2009"/>
  <c r="B2009"/>
  <c r="C2009"/>
  <c r="E2009"/>
  <c r="F2009"/>
  <c r="A2010"/>
  <c r="B2010"/>
  <c r="C2010"/>
  <c r="E2010"/>
  <c r="F2010"/>
  <c r="A2011"/>
  <c r="B2011"/>
  <c r="C2011"/>
  <c r="E2011"/>
  <c r="F2011"/>
  <c r="A2012"/>
  <c r="B2012"/>
  <c r="C2012"/>
  <c r="E2012"/>
  <c r="F2012"/>
  <c r="A2013"/>
  <c r="B2013"/>
  <c r="C2013"/>
  <c r="E2013"/>
  <c r="F2013"/>
  <c r="A2014"/>
  <c r="B2014"/>
  <c r="C2014"/>
  <c r="E2014"/>
  <c r="F2014"/>
  <c r="A2015"/>
  <c r="B2015"/>
  <c r="C2015"/>
  <c r="E2015"/>
  <c r="F2015"/>
  <c r="A2016"/>
  <c r="B2016"/>
  <c r="C2016"/>
  <c r="E2016"/>
  <c r="F2016"/>
  <c r="A2017"/>
  <c r="B2017"/>
  <c r="C2017"/>
  <c r="E2017"/>
  <c r="F2017"/>
  <c r="A2018"/>
  <c r="B2018"/>
  <c r="C2018"/>
  <c r="E2018"/>
  <c r="F2018"/>
  <c r="A2019"/>
  <c r="B2019"/>
  <c r="C2019"/>
  <c r="E2019"/>
  <c r="F2019"/>
  <c r="A2020"/>
  <c r="B2020"/>
  <c r="C2020"/>
  <c r="E2020"/>
  <c r="F2020"/>
  <c r="A2021"/>
  <c r="B2021"/>
  <c r="C2021"/>
  <c r="E2021"/>
  <c r="F2021"/>
  <c r="A2022"/>
  <c r="B2022"/>
  <c r="C2022"/>
  <c r="E2022"/>
  <c r="F2022"/>
  <c r="A2023"/>
  <c r="B2023"/>
  <c r="C2023"/>
  <c r="E2023"/>
  <c r="F2023"/>
  <c r="A2024"/>
  <c r="B2024"/>
  <c r="C2024"/>
  <c r="E2024"/>
  <c r="F2024"/>
  <c r="A2025"/>
  <c r="B2025"/>
  <c r="C2025"/>
  <c r="E2025"/>
  <c r="F2025"/>
  <c r="A2026"/>
  <c r="B2026"/>
  <c r="C2026"/>
  <c r="E2026"/>
  <c r="F2026"/>
  <c r="A2027"/>
  <c r="B2027"/>
  <c r="C2027"/>
  <c r="E2027"/>
  <c r="F2027"/>
  <c r="A2028"/>
  <c r="B2028"/>
  <c r="C2028"/>
  <c r="E2028"/>
  <c r="F2028"/>
  <c r="A2029"/>
  <c r="B2029"/>
  <c r="C2029"/>
  <c r="E2029"/>
  <c r="F2029"/>
  <c r="A2030"/>
  <c r="B2030"/>
  <c r="C2030"/>
  <c r="E2030"/>
  <c r="F2030"/>
  <c r="A2031"/>
  <c r="B2031"/>
  <c r="C2031"/>
  <c r="E2031"/>
  <c r="F2031"/>
  <c r="A2032"/>
  <c r="B2032"/>
  <c r="C2032"/>
  <c r="E2032"/>
  <c r="F2032"/>
  <c r="A2033"/>
  <c r="B2033"/>
  <c r="C2033"/>
  <c r="E2033"/>
  <c r="F2033"/>
  <c r="A2034"/>
  <c r="B2034"/>
  <c r="C2034"/>
  <c r="E2034"/>
  <c r="F2034"/>
  <c r="A2035"/>
  <c r="B2035"/>
  <c r="C2035"/>
  <c r="E2035"/>
  <c r="F2035"/>
  <c r="A2036"/>
  <c r="B2036"/>
  <c r="C2036"/>
  <c r="E2036"/>
  <c r="F2036"/>
  <c r="A2037"/>
  <c r="B2037"/>
  <c r="C2037"/>
  <c r="E2037"/>
  <c r="F2037"/>
  <c r="A2038"/>
  <c r="B2038"/>
  <c r="C2038"/>
  <c r="E2038"/>
  <c r="F2038"/>
  <c r="A2039"/>
  <c r="B2039"/>
  <c r="C2039"/>
  <c r="E2039"/>
  <c r="F2039"/>
  <c r="A2040"/>
  <c r="B2040"/>
  <c r="C2040"/>
  <c r="E2040"/>
  <c r="F2040"/>
  <c r="A2041"/>
  <c r="B2041"/>
  <c r="C2041"/>
  <c r="E2041"/>
  <c r="F2041"/>
  <c r="A2042"/>
  <c r="B2042"/>
  <c r="C2042"/>
  <c r="E2042"/>
  <c r="F2042"/>
  <c r="A2043"/>
  <c r="B2043"/>
  <c r="C2043"/>
  <c r="E2043"/>
  <c r="F2043"/>
  <c r="A2044"/>
  <c r="B2044"/>
  <c r="C2044"/>
  <c r="E2044"/>
  <c r="F2044"/>
  <c r="A2045"/>
  <c r="B2045"/>
  <c r="C2045"/>
  <c r="E2045"/>
  <c r="F2045"/>
  <c r="A2046"/>
  <c r="B2046"/>
  <c r="C2046"/>
  <c r="E2046"/>
  <c r="F2046"/>
  <c r="A2047"/>
  <c r="B2047"/>
  <c r="C2047"/>
  <c r="E2047"/>
  <c r="F2047"/>
  <c r="A2048"/>
  <c r="B2048"/>
  <c r="C2048"/>
  <c r="E2048"/>
  <c r="F2048"/>
  <c r="A2049"/>
  <c r="B2049"/>
  <c r="C2049"/>
  <c r="E2049"/>
  <c r="F2049"/>
  <c r="A2050"/>
  <c r="B2050"/>
  <c r="C2050"/>
  <c r="E2050"/>
  <c r="F2050"/>
  <c r="A2051"/>
  <c r="B2051"/>
  <c r="C2051"/>
  <c r="E2051"/>
  <c r="F2051"/>
  <c r="A2052"/>
  <c r="B2052"/>
  <c r="C2052"/>
  <c r="E2052"/>
  <c r="F2052"/>
  <c r="A2053"/>
  <c r="B2053"/>
  <c r="C2053"/>
  <c r="E2053"/>
  <c r="F2053"/>
  <c r="A2054"/>
  <c r="B2054"/>
  <c r="C2054"/>
  <c r="E2054"/>
  <c r="F2054"/>
  <c r="A2055"/>
  <c r="B2055"/>
  <c r="C2055"/>
  <c r="E2055"/>
  <c r="F2055"/>
  <c r="A2056"/>
  <c r="B2056"/>
  <c r="C2056"/>
  <c r="E2056"/>
  <c r="F2056"/>
  <c r="A2057"/>
  <c r="B2057"/>
  <c r="C2057"/>
  <c r="E2057"/>
  <c r="F2057"/>
  <c r="A2058"/>
  <c r="B2058"/>
  <c r="C2058"/>
  <c r="E2058"/>
  <c r="F2058"/>
  <c r="A2059"/>
  <c r="B2059"/>
  <c r="C2059"/>
  <c r="E2059"/>
  <c r="F2059"/>
  <c r="A2060"/>
  <c r="B2060"/>
  <c r="C2060"/>
  <c r="E2060"/>
  <c r="F2060"/>
  <c r="A2061"/>
  <c r="B2061"/>
  <c r="C2061"/>
  <c r="E2061"/>
  <c r="F2061"/>
  <c r="A2062"/>
  <c r="B2062"/>
  <c r="C2062"/>
  <c r="E2062"/>
  <c r="F2062"/>
  <c r="A2063"/>
  <c r="B2063"/>
  <c r="C2063"/>
  <c r="E2063"/>
  <c r="F2063"/>
  <c r="A2064"/>
  <c r="B2064"/>
  <c r="C2064"/>
  <c r="E2064"/>
  <c r="F2064"/>
  <c r="A2065"/>
  <c r="B2065"/>
  <c r="C2065"/>
  <c r="E2065"/>
  <c r="F2065"/>
  <c r="A2066"/>
  <c r="B2066"/>
  <c r="C2066"/>
  <c r="E2066"/>
  <c r="F2066"/>
  <c r="A2067"/>
  <c r="B2067"/>
  <c r="C2067"/>
  <c r="E2067"/>
  <c r="F2067"/>
  <c r="A2068"/>
  <c r="B2068"/>
  <c r="C2068"/>
  <c r="E2068"/>
  <c r="F2068"/>
  <c r="A2069"/>
  <c r="B2069"/>
  <c r="C2069"/>
  <c r="E2069"/>
  <c r="F2069"/>
  <c r="A2070"/>
  <c r="B2070"/>
  <c r="C2070"/>
  <c r="E2070"/>
  <c r="F2070"/>
  <c r="A2071"/>
  <c r="B2071"/>
  <c r="C2071"/>
  <c r="E2071"/>
  <c r="F2071"/>
  <c r="A2072"/>
  <c r="B2072"/>
  <c r="C2072"/>
  <c r="E2072"/>
  <c r="F2072"/>
  <c r="A2073"/>
  <c r="B2073"/>
  <c r="C2073"/>
  <c r="E2073"/>
  <c r="F2073"/>
  <c r="A2074"/>
  <c r="B2074"/>
  <c r="C2074"/>
  <c r="E2074"/>
  <c r="F2074"/>
  <c r="A2075"/>
  <c r="B2075"/>
  <c r="C2075"/>
  <c r="E2075"/>
  <c r="F2075"/>
  <c r="A2076"/>
  <c r="B2076"/>
  <c r="C2076"/>
  <c r="E2076"/>
  <c r="F2076"/>
  <c r="A2077"/>
  <c r="B2077"/>
  <c r="C2077"/>
  <c r="E2077"/>
  <c r="F2077"/>
  <c r="A2078"/>
  <c r="B2078"/>
  <c r="C2078"/>
  <c r="E2078"/>
  <c r="F2078"/>
  <c r="A2079"/>
  <c r="B2079"/>
  <c r="C2079"/>
  <c r="E2079"/>
  <c r="F2079"/>
  <c r="A2080"/>
  <c r="B2080"/>
  <c r="C2080"/>
  <c r="E2080"/>
  <c r="F2080"/>
  <c r="A2081"/>
  <c r="B2081"/>
  <c r="C2081"/>
  <c r="E2081"/>
  <c r="F2081"/>
  <c r="A2082"/>
  <c r="B2082"/>
  <c r="C2082"/>
  <c r="E2082"/>
  <c r="F2082"/>
  <c r="A2083"/>
  <c r="B2083"/>
  <c r="C2083"/>
  <c r="E2083"/>
  <c r="F2083"/>
  <c r="A2084"/>
  <c r="B2084"/>
  <c r="C2084"/>
  <c r="E2084"/>
  <c r="F2084"/>
  <c r="A2085"/>
  <c r="B2085"/>
  <c r="C2085"/>
  <c r="E2085"/>
  <c r="F2085"/>
  <c r="A2086"/>
  <c r="B2086"/>
  <c r="C2086"/>
  <c r="E2086"/>
  <c r="F2086"/>
  <c r="A2087"/>
  <c r="B2087"/>
  <c r="C2087"/>
  <c r="E2087"/>
  <c r="F2087"/>
  <c r="A2088"/>
  <c r="B2088"/>
  <c r="C2088"/>
  <c r="E2088"/>
  <c r="F2088"/>
  <c r="A2089"/>
  <c r="B2089"/>
  <c r="C2089"/>
  <c r="E2089"/>
  <c r="F2089"/>
  <c r="A2090"/>
  <c r="B2090"/>
  <c r="C2090"/>
  <c r="E2090"/>
  <c r="F2090"/>
  <c r="A2091"/>
  <c r="B2091"/>
  <c r="C2091"/>
  <c r="E2091"/>
  <c r="F2091"/>
  <c r="A2092"/>
  <c r="B2092"/>
  <c r="C2092"/>
  <c r="E2092"/>
  <c r="F2092"/>
  <c r="A2093"/>
  <c r="B2093"/>
  <c r="C2093"/>
  <c r="E2093"/>
  <c r="F2093"/>
  <c r="A2094"/>
  <c r="B2094"/>
  <c r="C2094"/>
  <c r="E2094"/>
  <c r="F2094"/>
  <c r="A2095"/>
  <c r="B2095"/>
  <c r="C2095"/>
  <c r="E2095"/>
  <c r="F2095"/>
  <c r="A2096"/>
  <c r="B2096"/>
  <c r="C2096"/>
  <c r="E2096"/>
  <c r="F2096"/>
  <c r="A2097"/>
  <c r="B2097"/>
  <c r="C2097"/>
  <c r="E2097"/>
  <c r="F2097"/>
  <c r="A2098"/>
  <c r="B2098"/>
  <c r="C2098"/>
  <c r="E2098"/>
  <c r="F2098"/>
  <c r="A2099"/>
  <c r="B2099"/>
  <c r="C2099"/>
  <c r="E2099"/>
  <c r="F2099"/>
  <c r="A2100"/>
  <c r="B2100"/>
  <c r="C2100"/>
  <c r="E2100"/>
  <c r="F2100"/>
  <c r="A2101"/>
  <c r="B2101"/>
  <c r="C2101"/>
  <c r="E2101"/>
  <c r="F2101"/>
  <c r="A2102"/>
  <c r="B2102"/>
  <c r="C2102"/>
  <c r="E2102"/>
  <c r="F2102"/>
  <c r="A2103"/>
  <c r="B2103"/>
  <c r="C2103"/>
  <c r="E2103"/>
  <c r="F2103"/>
  <c r="A2104"/>
  <c r="B2104"/>
  <c r="C2104"/>
  <c r="E2104"/>
  <c r="F2104"/>
  <c r="A2105"/>
  <c r="B2105"/>
  <c r="C2105"/>
  <c r="E2105"/>
  <c r="F2105"/>
  <c r="A2106"/>
  <c r="B2106"/>
  <c r="C2106"/>
  <c r="E2106"/>
  <c r="F2106"/>
  <c r="A2107"/>
  <c r="B2107"/>
  <c r="C2107"/>
  <c r="E2107"/>
  <c r="F2107"/>
  <c r="A2108"/>
  <c r="B2108"/>
  <c r="C2108"/>
  <c r="E2108"/>
  <c r="F2108"/>
  <c r="A2109"/>
  <c r="B2109"/>
  <c r="C2109"/>
  <c r="E2109"/>
  <c r="F2109"/>
  <c r="A2110"/>
  <c r="B2110"/>
  <c r="C2110"/>
  <c r="E2110"/>
  <c r="F2110"/>
  <c r="A2111"/>
  <c r="B2111"/>
  <c r="C2111"/>
  <c r="E2111"/>
  <c r="F2111"/>
  <c r="A2112"/>
  <c r="B2112"/>
  <c r="C2112"/>
  <c r="E2112"/>
  <c r="F2112"/>
  <c r="A2113"/>
  <c r="B2113"/>
  <c r="C2113"/>
  <c r="E2113"/>
  <c r="F2113"/>
  <c r="A2114"/>
  <c r="B2114"/>
  <c r="C2114"/>
  <c r="E2114"/>
  <c r="F2114"/>
  <c r="A2115"/>
  <c r="B2115"/>
  <c r="C2115"/>
  <c r="E2115"/>
  <c r="F2115"/>
  <c r="A2116"/>
  <c r="B2116"/>
  <c r="C2116"/>
  <c r="E2116"/>
  <c r="F2116"/>
  <c r="A2117"/>
  <c r="B2117"/>
  <c r="C2117"/>
  <c r="E2117"/>
  <c r="F2117"/>
  <c r="A2118"/>
  <c r="B2118"/>
  <c r="C2118"/>
  <c r="E2118"/>
  <c r="F2118"/>
  <c r="A2119"/>
  <c r="B2119"/>
  <c r="C2119"/>
  <c r="E2119"/>
  <c r="F2119"/>
  <c r="A2120"/>
  <c r="B2120"/>
  <c r="C2120"/>
  <c r="E2120"/>
  <c r="F2120"/>
  <c r="A2121"/>
  <c r="B2121"/>
  <c r="C2121"/>
  <c r="E2121"/>
  <c r="F2121"/>
  <c r="A2122"/>
  <c r="B2122"/>
  <c r="C2122"/>
  <c r="E2122"/>
  <c r="F2122"/>
  <c r="A2123"/>
  <c r="B2123"/>
  <c r="C2123"/>
  <c r="E2123"/>
  <c r="F2123"/>
  <c r="A2124"/>
  <c r="B2124"/>
  <c r="C2124"/>
  <c r="E2124"/>
  <c r="F2124"/>
  <c r="A2125"/>
  <c r="B2125"/>
  <c r="C2125"/>
  <c r="E2125"/>
  <c r="F2125"/>
  <c r="A2126"/>
  <c r="B2126"/>
  <c r="C2126"/>
  <c r="E2126"/>
  <c r="F2126"/>
  <c r="A2127"/>
  <c r="B2127"/>
  <c r="C2127"/>
  <c r="E2127"/>
  <c r="F2127"/>
  <c r="A2128"/>
  <c r="B2128"/>
  <c r="C2128"/>
  <c r="E2128"/>
  <c r="F2128"/>
  <c r="A2129"/>
  <c r="B2129"/>
  <c r="C2129"/>
  <c r="E2129"/>
  <c r="F2129"/>
  <c r="A2130"/>
  <c r="B2130"/>
  <c r="C2130"/>
  <c r="E2130"/>
  <c r="F2130"/>
  <c r="A2131"/>
  <c r="B2131"/>
  <c r="C2131"/>
  <c r="E2131"/>
  <c r="F2131"/>
  <c r="A2132"/>
  <c r="B2132"/>
  <c r="C2132"/>
  <c r="E2132"/>
  <c r="F2132"/>
  <c r="A2133"/>
  <c r="B2133"/>
  <c r="C2133"/>
  <c r="E2133"/>
  <c r="F2133"/>
  <c r="A2134"/>
  <c r="B2134"/>
  <c r="C2134"/>
  <c r="E2134"/>
  <c r="F2134"/>
  <c r="A2135"/>
  <c r="B2135"/>
  <c r="C2135"/>
  <c r="E2135"/>
  <c r="F2135"/>
  <c r="A2136"/>
  <c r="B2136"/>
  <c r="C2136"/>
  <c r="E2136"/>
  <c r="F2136"/>
  <c r="A2137"/>
  <c r="B2137"/>
  <c r="C2137"/>
  <c r="E2137"/>
  <c r="F2137"/>
  <c r="A2138"/>
  <c r="B2138"/>
  <c r="C2138"/>
  <c r="E2138"/>
  <c r="F2138"/>
  <c r="A2139"/>
  <c r="B2139"/>
  <c r="C2139"/>
  <c r="E2139"/>
  <c r="F2139"/>
  <c r="A2140"/>
  <c r="B2140"/>
  <c r="C2140"/>
  <c r="E2140"/>
  <c r="F2140"/>
  <c r="A2141"/>
  <c r="B2141"/>
  <c r="C2141"/>
  <c r="E2141"/>
  <c r="F2141"/>
  <c r="A2142"/>
  <c r="B2142"/>
  <c r="C2142"/>
  <c r="E2142"/>
  <c r="F2142"/>
  <c r="A2143"/>
  <c r="B2143"/>
  <c r="C2143"/>
  <c r="E2143"/>
  <c r="F2143"/>
  <c r="A2144"/>
  <c r="B2144"/>
  <c r="C2144"/>
  <c r="E2144"/>
  <c r="F2144"/>
  <c r="A2145"/>
  <c r="B2145"/>
  <c r="C2145"/>
  <c r="E2145"/>
  <c r="F2145"/>
  <c r="A2146"/>
  <c r="B2146"/>
  <c r="C2146"/>
  <c r="E2146"/>
  <c r="F2146"/>
  <c r="A2147"/>
  <c r="B2147"/>
  <c r="C2147"/>
  <c r="E2147"/>
  <c r="F2147"/>
  <c r="A2148"/>
  <c r="B2148"/>
  <c r="C2148"/>
  <c r="E2148"/>
  <c r="F2148"/>
  <c r="A2149"/>
  <c r="B2149"/>
  <c r="C2149"/>
  <c r="E2149"/>
  <c r="F2149"/>
  <c r="A2150"/>
  <c r="B2150"/>
  <c r="C2150"/>
  <c r="E2150"/>
  <c r="F2150"/>
  <c r="A2151"/>
  <c r="B2151"/>
  <c r="C2151"/>
  <c r="E2151"/>
  <c r="F2151"/>
  <c r="A2152"/>
  <c r="B2152"/>
  <c r="C2152"/>
  <c r="E2152"/>
  <c r="F2152"/>
  <c r="A2153"/>
  <c r="B2153"/>
  <c r="C2153"/>
  <c r="E2153"/>
  <c r="F2153"/>
  <c r="A2154"/>
  <c r="B2154"/>
  <c r="C2154"/>
  <c r="E2154"/>
  <c r="F2154"/>
  <c r="A2155"/>
  <c r="B2155"/>
  <c r="C2155"/>
  <c r="E2155"/>
  <c r="F2155"/>
  <c r="A2156"/>
  <c r="B2156"/>
  <c r="C2156"/>
  <c r="E2156"/>
  <c r="F2156"/>
  <c r="A2157"/>
  <c r="B2157"/>
  <c r="C2157"/>
  <c r="E2157"/>
  <c r="F2157"/>
  <c r="A2158"/>
  <c r="B2158"/>
  <c r="C2158"/>
  <c r="E2158"/>
  <c r="F2158"/>
  <c r="A2159"/>
  <c r="B2159"/>
  <c r="C2159"/>
  <c r="E2159"/>
  <c r="F2159"/>
  <c r="A2160"/>
  <c r="B2160"/>
  <c r="C2160"/>
  <c r="E2160"/>
  <c r="F2160"/>
  <c r="A2161"/>
  <c r="B2161"/>
  <c r="C2161"/>
  <c r="E2161"/>
  <c r="F2161"/>
  <c r="A2162"/>
  <c r="B2162"/>
  <c r="C2162"/>
  <c r="E2162"/>
  <c r="F2162"/>
  <c r="A2163"/>
  <c r="B2163"/>
  <c r="C2163"/>
  <c r="E2163"/>
  <c r="F2163"/>
  <c r="A2164"/>
  <c r="B2164"/>
  <c r="C2164"/>
  <c r="E2164"/>
  <c r="F2164"/>
  <c r="A2165"/>
  <c r="B2165"/>
  <c r="C2165"/>
  <c r="E2165"/>
  <c r="F2165"/>
  <c r="A2166"/>
  <c r="B2166"/>
  <c r="C2166"/>
  <c r="E2166"/>
  <c r="F2166"/>
  <c r="A2167"/>
  <c r="B2167"/>
  <c r="C2167"/>
  <c r="E2167"/>
  <c r="F2167"/>
  <c r="A2168"/>
  <c r="B2168"/>
  <c r="C2168"/>
  <c r="E2168"/>
  <c r="F2168"/>
  <c r="A2169"/>
  <c r="B2169"/>
  <c r="C2169"/>
  <c r="E2169"/>
  <c r="F2169"/>
  <c r="A2170"/>
  <c r="B2170"/>
  <c r="C2170"/>
  <c r="E2170"/>
  <c r="F2170"/>
  <c r="A2171"/>
  <c r="B2171"/>
  <c r="C2171"/>
  <c r="E2171"/>
  <c r="F2171"/>
  <c r="A2172"/>
  <c r="B2172"/>
  <c r="C2172"/>
  <c r="E2172"/>
  <c r="F2172"/>
  <c r="A2173"/>
  <c r="B2173"/>
  <c r="C2173"/>
  <c r="E2173"/>
  <c r="F2173"/>
  <c r="A2174"/>
  <c r="B2174"/>
  <c r="C2174"/>
  <c r="E2174"/>
  <c r="F2174"/>
  <c r="A2175"/>
  <c r="B2175"/>
  <c r="C2175"/>
  <c r="E2175"/>
  <c r="F2175"/>
  <c r="A2176"/>
  <c r="B2176"/>
  <c r="C2176"/>
  <c r="E2176"/>
  <c r="F2176"/>
  <c r="A2177"/>
  <c r="B2177"/>
  <c r="C2177"/>
  <c r="E2177"/>
  <c r="F2177"/>
  <c r="A2178"/>
  <c r="B2178"/>
  <c r="C2178"/>
  <c r="E2178"/>
  <c r="F2178"/>
  <c r="A2179"/>
  <c r="B2179"/>
  <c r="C2179"/>
  <c r="E2179"/>
  <c r="F2179"/>
  <c r="A2180"/>
  <c r="B2180"/>
  <c r="C2180"/>
  <c r="E2180"/>
  <c r="F2180"/>
  <c r="A2181"/>
  <c r="B2181"/>
  <c r="C2181"/>
  <c r="E2181"/>
  <c r="F2181"/>
  <c r="A2182"/>
  <c r="B2182"/>
  <c r="C2182"/>
  <c r="E2182"/>
  <c r="F2182"/>
  <c r="A2183"/>
  <c r="B2183"/>
  <c r="C2183"/>
  <c r="E2183"/>
  <c r="F2183"/>
  <c r="A2184"/>
  <c r="B2184"/>
  <c r="C2184"/>
  <c r="E2184"/>
  <c r="F2184"/>
  <c r="A2185"/>
  <c r="B2185"/>
  <c r="C2185"/>
  <c r="E2185"/>
  <c r="F2185"/>
  <c r="A2186"/>
  <c r="B2186"/>
  <c r="C2186"/>
  <c r="E2186"/>
  <c r="F2186"/>
  <c r="A2187"/>
  <c r="B2187"/>
  <c r="C2187"/>
  <c r="E2187"/>
  <c r="F2187"/>
  <c r="A2188"/>
  <c r="B2188"/>
  <c r="C2188"/>
  <c r="E2188"/>
  <c r="F2188"/>
  <c r="A2189"/>
  <c r="B2189"/>
  <c r="C2189"/>
  <c r="E2189"/>
  <c r="F2189"/>
  <c r="A2190"/>
  <c r="B2190"/>
  <c r="C2190"/>
  <c r="E2190"/>
  <c r="F2190"/>
  <c r="A2191"/>
  <c r="B2191"/>
  <c r="C2191"/>
  <c r="E2191"/>
  <c r="F2191"/>
  <c r="A2192"/>
  <c r="B2192"/>
  <c r="C2192"/>
  <c r="E2192"/>
  <c r="F2192"/>
  <c r="A2193"/>
  <c r="B2193"/>
  <c r="C2193"/>
  <c r="E2193"/>
  <c r="F2193"/>
  <c r="A2194"/>
  <c r="B2194"/>
  <c r="C2194"/>
  <c r="E2194"/>
  <c r="F2194"/>
  <c r="A2195"/>
  <c r="B2195"/>
  <c r="C2195"/>
  <c r="E2195"/>
  <c r="F2195"/>
  <c r="A2196"/>
  <c r="B2196"/>
  <c r="C2196"/>
  <c r="E2196"/>
  <c r="F2196"/>
  <c r="A2197"/>
  <c r="B2197"/>
  <c r="C2197"/>
  <c r="E2197"/>
  <c r="F2197"/>
  <c r="A2198"/>
  <c r="B2198"/>
  <c r="C2198"/>
  <c r="E2198"/>
  <c r="F2198"/>
  <c r="A2199"/>
  <c r="B2199"/>
  <c r="C2199"/>
  <c r="E2199"/>
  <c r="F2199"/>
  <c r="A2200"/>
  <c r="B2200"/>
  <c r="C2200"/>
  <c r="E2200"/>
  <c r="F2200"/>
  <c r="A2201"/>
  <c r="B2201"/>
  <c r="C2201"/>
  <c r="E2201"/>
  <c r="F2201"/>
  <c r="A2202"/>
  <c r="B2202"/>
  <c r="C2202"/>
  <c r="E2202"/>
  <c r="F2202"/>
  <c r="A2203"/>
  <c r="B2203"/>
  <c r="C2203"/>
  <c r="E2203"/>
  <c r="F2203"/>
  <c r="A2204"/>
  <c r="B2204"/>
  <c r="C2204"/>
  <c r="E2204"/>
  <c r="F2204"/>
  <c r="A2205"/>
  <c r="B2205"/>
  <c r="C2205"/>
  <c r="E2205"/>
  <c r="F2205"/>
  <c r="A2206"/>
  <c r="B2206"/>
  <c r="C2206"/>
  <c r="E2206"/>
  <c r="F2206"/>
  <c r="A2207"/>
  <c r="B2207"/>
  <c r="C2207"/>
  <c r="E2207"/>
  <c r="F2207"/>
  <c r="A2208"/>
  <c r="B2208"/>
  <c r="C2208"/>
  <c r="E2208"/>
  <c r="F2208"/>
  <c r="A2209"/>
  <c r="B2209"/>
  <c r="C2209"/>
  <c r="E2209"/>
  <c r="F2209"/>
  <c r="A2210"/>
  <c r="B2210"/>
  <c r="C2210"/>
  <c r="E2210"/>
  <c r="F2210"/>
  <c r="A2211"/>
  <c r="B2211"/>
  <c r="C2211"/>
  <c r="E2211"/>
  <c r="F2211"/>
  <c r="A2212"/>
  <c r="B2212"/>
  <c r="C2212"/>
  <c r="E2212"/>
  <c r="F2212"/>
  <c r="A2213"/>
  <c r="B2213"/>
  <c r="C2213"/>
  <c r="E2213"/>
  <c r="F2213"/>
  <c r="A2214"/>
  <c r="B2214"/>
  <c r="C2214"/>
  <c r="E2214"/>
  <c r="F2214"/>
  <c r="A2215"/>
  <c r="B2215"/>
  <c r="C2215"/>
  <c r="E2215"/>
  <c r="F2215"/>
  <c r="A2216"/>
  <c r="B2216"/>
  <c r="C2216"/>
  <c r="E2216"/>
  <c r="F2216"/>
  <c r="A2217"/>
  <c r="B2217"/>
  <c r="C2217"/>
  <c r="E2217"/>
  <c r="F2217"/>
  <c r="C2218"/>
  <c r="E2218"/>
  <c r="F2218"/>
  <c r="C2219"/>
  <c r="E2219"/>
  <c r="F2219"/>
  <c r="C2220"/>
  <c r="E2220"/>
  <c r="F2220"/>
  <c r="C2221"/>
  <c r="E2221"/>
  <c r="F2221"/>
  <c r="C2222"/>
  <c r="E2222"/>
  <c r="F2222"/>
  <c r="C2223"/>
  <c r="E2223"/>
  <c r="F2223"/>
  <c r="C2224"/>
  <c r="E2224"/>
  <c r="F2224"/>
  <c r="C2225"/>
  <c r="E2225"/>
  <c r="F2225"/>
  <c r="C2226"/>
  <c r="E2226"/>
  <c r="F2226"/>
  <c r="C2227"/>
  <c r="E2227"/>
  <c r="F2227"/>
  <c r="C2228"/>
  <c r="E2228"/>
  <c r="F2228"/>
  <c r="C2229"/>
  <c r="E2229"/>
  <c r="F2229"/>
  <c r="C2230"/>
  <c r="E2230"/>
  <c r="F2230"/>
  <c r="C2231"/>
  <c r="E2231"/>
  <c r="F2231"/>
  <c r="A2232"/>
  <c r="B2232"/>
  <c r="C2232"/>
  <c r="E2232"/>
  <c r="F2232"/>
  <c r="C2233"/>
  <c r="E2233"/>
  <c r="F2233"/>
  <c r="C2234"/>
  <c r="E2234"/>
  <c r="F2234"/>
  <c r="C2235"/>
  <c r="E2235"/>
  <c r="F2235"/>
  <c r="C2236"/>
  <c r="E2236"/>
  <c r="F2236"/>
  <c r="C2237"/>
  <c r="E2237"/>
  <c r="F2237"/>
  <c r="C2238"/>
  <c r="E2238"/>
  <c r="F2238"/>
  <c r="C2239"/>
  <c r="E2239"/>
  <c r="F2239"/>
  <c r="C2240"/>
  <c r="E2240"/>
  <c r="F2240"/>
  <c r="A2241"/>
  <c r="B2241"/>
  <c r="C2241"/>
  <c r="E2241"/>
  <c r="F2241"/>
  <c r="C2242"/>
  <c r="E2242"/>
  <c r="F2242"/>
  <c r="A2243"/>
  <c r="B2243"/>
  <c r="C2243"/>
  <c r="E2243"/>
  <c r="F2243"/>
  <c r="A2244"/>
  <c r="B2244"/>
  <c r="C2244"/>
  <c r="E2244"/>
  <c r="F2244"/>
  <c r="A2245"/>
  <c r="B2245"/>
  <c r="C2245"/>
  <c r="E2245"/>
  <c r="F2245"/>
  <c r="A2246"/>
  <c r="B2246"/>
  <c r="C2246"/>
  <c r="E2246"/>
  <c r="F2246"/>
  <c r="A2247"/>
  <c r="B2247"/>
  <c r="C2247"/>
  <c r="E2247"/>
  <c r="F2247"/>
  <c r="A2248"/>
  <c r="B2248"/>
  <c r="C2248"/>
  <c r="E2248"/>
  <c r="F2248"/>
  <c r="A2249"/>
  <c r="B2249"/>
  <c r="C2249"/>
  <c r="E2249"/>
  <c r="F2249"/>
  <c r="A2250"/>
  <c r="B2250"/>
  <c r="C2250"/>
  <c r="E2250"/>
  <c r="F2250"/>
  <c r="A2251"/>
  <c r="B2251"/>
  <c r="C2251"/>
  <c r="E2251"/>
  <c r="F2251"/>
  <c r="A2252"/>
  <c r="B2252"/>
  <c r="C2252"/>
  <c r="E2252"/>
  <c r="F2252"/>
  <c r="A2253"/>
  <c r="B2253"/>
  <c r="C2253"/>
  <c r="E2253"/>
  <c r="F2253"/>
  <c r="A2254"/>
  <c r="B2254"/>
  <c r="C2254"/>
  <c r="E2254"/>
  <c r="F2254"/>
  <c r="A2255"/>
  <c r="B2255"/>
  <c r="C2255"/>
  <c r="E2255"/>
  <c r="F2255"/>
  <c r="A2256"/>
  <c r="B2256"/>
  <c r="C2256"/>
  <c r="E2256"/>
  <c r="F2256"/>
  <c r="A2257"/>
  <c r="B2257"/>
  <c r="C2257"/>
  <c r="E2257"/>
  <c r="F2257"/>
  <c r="A2258"/>
  <c r="B2258"/>
  <c r="C2258"/>
  <c r="E2258"/>
  <c r="F2258"/>
  <c r="A2259"/>
  <c r="B2259"/>
  <c r="C2259"/>
  <c r="E2259"/>
  <c r="F2259"/>
  <c r="A2260"/>
  <c r="B2260"/>
  <c r="C2260"/>
  <c r="E2260"/>
  <c r="F2260"/>
  <c r="C2261"/>
  <c r="E2261"/>
  <c r="F2261"/>
  <c r="C2262"/>
  <c r="E2262"/>
  <c r="F2262"/>
  <c r="C2263"/>
  <c r="E2263"/>
  <c r="F2263"/>
  <c r="A2264"/>
  <c r="B2264"/>
  <c r="C2264"/>
  <c r="E2264"/>
  <c r="F2264"/>
  <c r="A2265"/>
  <c r="B2265"/>
  <c r="C2265"/>
  <c r="E2265"/>
  <c r="F2265"/>
  <c r="A2266"/>
  <c r="B2266"/>
  <c r="C2266"/>
  <c r="E2266"/>
  <c r="F2266"/>
  <c r="A2267"/>
  <c r="B2267"/>
  <c r="C2267"/>
  <c r="E2267"/>
  <c r="F2267"/>
  <c r="A2268"/>
  <c r="B2268"/>
  <c r="C2268"/>
  <c r="E2268"/>
  <c r="F2268"/>
  <c r="A2269"/>
  <c r="B2269"/>
  <c r="C2269"/>
  <c r="E2269"/>
  <c r="F2269"/>
  <c r="A2270"/>
  <c r="B2270"/>
  <c r="C2270"/>
  <c r="E2270"/>
  <c r="F2270"/>
  <c r="A2271"/>
  <c r="B2271"/>
  <c r="C2271"/>
  <c r="E2271"/>
  <c r="F2271"/>
  <c r="A2272"/>
  <c r="B2272"/>
  <c r="C2272"/>
  <c r="E2272"/>
  <c r="F2272"/>
  <c r="A2273"/>
  <c r="B2273"/>
  <c r="C2273"/>
  <c r="E2273"/>
  <c r="F2273"/>
  <c r="A2274"/>
  <c r="B2274"/>
  <c r="C2274"/>
  <c r="E2274"/>
  <c r="F2274"/>
  <c r="A2275"/>
  <c r="B2275"/>
  <c r="C2275"/>
  <c r="E2275"/>
  <c r="F2275"/>
  <c r="A2276"/>
  <c r="B2276"/>
  <c r="C2276"/>
  <c r="E2276"/>
  <c r="F2276"/>
  <c r="A2277"/>
  <c r="B2277"/>
  <c r="C2277"/>
  <c r="E2277"/>
  <c r="F2277"/>
  <c r="A2278"/>
  <c r="B2278"/>
  <c r="C2278"/>
  <c r="E2278"/>
  <c r="F2278"/>
  <c r="A2279"/>
  <c r="B2279"/>
  <c r="C2279"/>
  <c r="E2279"/>
  <c r="F2279"/>
  <c r="A2280"/>
  <c r="B2280"/>
  <c r="C2280"/>
  <c r="E2280"/>
  <c r="F2280"/>
  <c r="A2281"/>
  <c r="B2281"/>
  <c r="C2281"/>
  <c r="E2281"/>
  <c r="F2281"/>
  <c r="A2282"/>
  <c r="B2282"/>
  <c r="C2282"/>
  <c r="E2282"/>
  <c r="F2282"/>
  <c r="A2283"/>
  <c r="B2283"/>
  <c r="C2283"/>
  <c r="E2283"/>
  <c r="F2283"/>
  <c r="A2284"/>
  <c r="B2284"/>
  <c r="C2284"/>
  <c r="E2284"/>
  <c r="F2284"/>
  <c r="A2285"/>
  <c r="B2285"/>
  <c r="C2285"/>
  <c r="E2285"/>
  <c r="F2285"/>
  <c r="A2286"/>
  <c r="B2286"/>
  <c r="C2286"/>
  <c r="E2286"/>
  <c r="F2286"/>
  <c r="A2287"/>
  <c r="B2287"/>
  <c r="C2287"/>
  <c r="E2287"/>
  <c r="F2287"/>
  <c r="A2288"/>
  <c r="B2288"/>
  <c r="C2288"/>
  <c r="E2288"/>
  <c r="F2288"/>
  <c r="A2289"/>
  <c r="B2289"/>
  <c r="C2289"/>
  <c r="E2289"/>
  <c r="F2289"/>
  <c r="A2290"/>
  <c r="B2290"/>
  <c r="C2290"/>
  <c r="E2290"/>
  <c r="F2290"/>
  <c r="A2291"/>
  <c r="B2291"/>
  <c r="C2291"/>
  <c r="E2291"/>
  <c r="F2291"/>
  <c r="A2292"/>
  <c r="B2292"/>
  <c r="C2292"/>
  <c r="E2292"/>
  <c r="F2292"/>
  <c r="A2293"/>
  <c r="B2293"/>
  <c r="C2293"/>
  <c r="E2293"/>
  <c r="F2293"/>
  <c r="A2294"/>
  <c r="B2294"/>
  <c r="C2294"/>
  <c r="E2294"/>
  <c r="F2294"/>
  <c r="A2295"/>
  <c r="B2295"/>
  <c r="C2295"/>
  <c r="E2295"/>
  <c r="F2295"/>
  <c r="A2296"/>
  <c r="B2296"/>
  <c r="C2296"/>
  <c r="E2296"/>
  <c r="F2296"/>
  <c r="A2297"/>
  <c r="B2297"/>
  <c r="C2297"/>
  <c r="E2297"/>
  <c r="F2297"/>
  <c r="A2298"/>
  <c r="B2298"/>
  <c r="C2298"/>
  <c r="E2298"/>
  <c r="F2298"/>
  <c r="A2299"/>
  <c r="B2299"/>
  <c r="C2299"/>
  <c r="E2299"/>
  <c r="F2299"/>
  <c r="A2300"/>
  <c r="B2300"/>
  <c r="C2300"/>
  <c r="E2300"/>
  <c r="F2300"/>
  <c r="A2301"/>
  <c r="B2301"/>
  <c r="C2301"/>
  <c r="E2301"/>
  <c r="F2301"/>
  <c r="A2302"/>
  <c r="B2302"/>
  <c r="C2302"/>
  <c r="E2302"/>
  <c r="F2302"/>
  <c r="A2303"/>
  <c r="B2303"/>
  <c r="C2303"/>
  <c r="E2303"/>
  <c r="F2303"/>
  <c r="A2304"/>
  <c r="B2304"/>
  <c r="C2304"/>
  <c r="E2304"/>
  <c r="F2304"/>
  <c r="A2305"/>
  <c r="B2305"/>
  <c r="C2305"/>
  <c r="E2305"/>
  <c r="F2305"/>
  <c r="A2306"/>
  <c r="B2306"/>
  <c r="C2306"/>
  <c r="E2306"/>
  <c r="F2306"/>
  <c r="A2307"/>
  <c r="B2307"/>
  <c r="C2307"/>
  <c r="E2307"/>
  <c r="F2307"/>
  <c r="A2308"/>
  <c r="B2308"/>
  <c r="C2308"/>
  <c r="E2308"/>
  <c r="F2308"/>
  <c r="A2309"/>
  <c r="B2309"/>
  <c r="C2309"/>
  <c r="E2309"/>
  <c r="F2309"/>
  <c r="A2310"/>
  <c r="B2310"/>
  <c r="C2310"/>
  <c r="E2310"/>
  <c r="F2310"/>
  <c r="A2311"/>
  <c r="B2311"/>
  <c r="C2311"/>
  <c r="E2311"/>
  <c r="F2311"/>
  <c r="A2312"/>
  <c r="B2312"/>
  <c r="C2312"/>
  <c r="E2312"/>
  <c r="F2312"/>
  <c r="A2313"/>
  <c r="B2313"/>
  <c r="C2313"/>
  <c r="E2313"/>
  <c r="F2313"/>
  <c r="A2314"/>
  <c r="B2314"/>
  <c r="C2314"/>
  <c r="E2314"/>
  <c r="F2314"/>
  <c r="A2315"/>
  <c r="B2315"/>
  <c r="C2315"/>
  <c r="E2315"/>
  <c r="F2315"/>
  <c r="A2316"/>
  <c r="B2316"/>
  <c r="C2316"/>
  <c r="E2316"/>
  <c r="F2316"/>
  <c r="A2317"/>
  <c r="B2317"/>
  <c r="C2317"/>
  <c r="E2317"/>
  <c r="F2317"/>
  <c r="A2318"/>
  <c r="B2318"/>
  <c r="C2318"/>
  <c r="E2318"/>
  <c r="F2318"/>
  <c r="A2319"/>
  <c r="B2319"/>
  <c r="C2319"/>
  <c r="E2319"/>
  <c r="F2319"/>
  <c r="A2320"/>
  <c r="B2320"/>
  <c r="C2320"/>
  <c r="E2320"/>
  <c r="F2320"/>
  <c r="A2321"/>
  <c r="B2321"/>
  <c r="C2321"/>
  <c r="E2321"/>
  <c r="F2321"/>
  <c r="A2322"/>
  <c r="B2322"/>
  <c r="C2322"/>
  <c r="E2322"/>
  <c r="F2322"/>
  <c r="A2323"/>
  <c r="B2323"/>
  <c r="C2323"/>
  <c r="E2323"/>
  <c r="F2323"/>
  <c r="A2324"/>
  <c r="B2324"/>
  <c r="C2324"/>
  <c r="E2324"/>
  <c r="F2324"/>
  <c r="A2325"/>
  <c r="B2325"/>
  <c r="C2325"/>
  <c r="E2325"/>
  <c r="F2325"/>
  <c r="A2326"/>
  <c r="B2326"/>
  <c r="C2326"/>
  <c r="E2326"/>
  <c r="F2326"/>
  <c r="A2327"/>
  <c r="B2327"/>
  <c r="C2327"/>
  <c r="E2327"/>
  <c r="F2327"/>
  <c r="A2328"/>
  <c r="B2328"/>
  <c r="C2328"/>
  <c r="E2328"/>
  <c r="F2328"/>
  <c r="A2329"/>
  <c r="B2329"/>
  <c r="C2329"/>
  <c r="E2329"/>
  <c r="F2329"/>
  <c r="A2330"/>
  <c r="B2330"/>
  <c r="C2330"/>
  <c r="E2330"/>
  <c r="F2330"/>
  <c r="A2331"/>
  <c r="B2331"/>
  <c r="C2331"/>
  <c r="E2331"/>
  <c r="F2331"/>
  <c r="A2332"/>
  <c r="B2332"/>
  <c r="C2332"/>
  <c r="E2332"/>
  <c r="F2332"/>
  <c r="A2333"/>
  <c r="B2333"/>
  <c r="C2333"/>
  <c r="E2333"/>
  <c r="F2333"/>
  <c r="A2334"/>
  <c r="B2334"/>
  <c r="C2334"/>
  <c r="E2334"/>
  <c r="F2334"/>
  <c r="A2335"/>
  <c r="B2335"/>
  <c r="C2335"/>
  <c r="E2335"/>
  <c r="F2335"/>
  <c r="A2336"/>
  <c r="B2336"/>
  <c r="C2336"/>
  <c r="E2336"/>
  <c r="F2336"/>
  <c r="A2337"/>
  <c r="B2337"/>
  <c r="C2337"/>
  <c r="E2337"/>
  <c r="F2337"/>
  <c r="A2338"/>
  <c r="B2338"/>
  <c r="C2338"/>
  <c r="E2338"/>
  <c r="F2338"/>
  <c r="A2339"/>
  <c r="B2339"/>
  <c r="C2339"/>
  <c r="E2339"/>
  <c r="F2339"/>
  <c r="A2340"/>
  <c r="B2340"/>
  <c r="C2340"/>
  <c r="E2340"/>
  <c r="F2340"/>
  <c r="A2341"/>
  <c r="B2341"/>
  <c r="C2341"/>
  <c r="E2341"/>
  <c r="F2341"/>
  <c r="A2342"/>
  <c r="B2342"/>
  <c r="C2342"/>
  <c r="E2342"/>
  <c r="F2342"/>
  <c r="A2343"/>
  <c r="B2343"/>
  <c r="C2343"/>
  <c r="E2343"/>
  <c r="F2343"/>
  <c r="A2344"/>
  <c r="B2344"/>
  <c r="C2344"/>
  <c r="E2344"/>
  <c r="F2344"/>
  <c r="A2345"/>
  <c r="B2345"/>
  <c r="C2345"/>
  <c r="E2345"/>
  <c r="F2345"/>
  <c r="A2346"/>
  <c r="B2346"/>
  <c r="C2346"/>
  <c r="E2346"/>
  <c r="F2346"/>
  <c r="A2347"/>
  <c r="B2347"/>
  <c r="C2347"/>
  <c r="E2347"/>
  <c r="F2347"/>
  <c r="A2348"/>
  <c r="B2348"/>
  <c r="C2348"/>
  <c r="E2348"/>
  <c r="F2348"/>
  <c r="A2349"/>
  <c r="B2349"/>
  <c r="C2349"/>
  <c r="E2349"/>
  <c r="F2349"/>
  <c r="A2350"/>
  <c r="B2350"/>
  <c r="C2350"/>
  <c r="E2350"/>
  <c r="F2350"/>
  <c r="A2351"/>
  <c r="B2351"/>
  <c r="C2351"/>
  <c r="E2351"/>
  <c r="F2351"/>
  <c r="A2352"/>
  <c r="B2352"/>
  <c r="C2352"/>
  <c r="E2352"/>
  <c r="F2352"/>
  <c r="A2353"/>
  <c r="B2353"/>
  <c r="C2353"/>
  <c r="E2353"/>
  <c r="F2353"/>
  <c r="A2354"/>
  <c r="B2354"/>
  <c r="C2354"/>
  <c r="E2354"/>
  <c r="F2354"/>
  <c r="A2355"/>
  <c r="B2355"/>
  <c r="C2355"/>
  <c r="E2355"/>
  <c r="F2355"/>
  <c r="A2356"/>
  <c r="B2356"/>
  <c r="C2356"/>
  <c r="E2356"/>
  <c r="F2356"/>
  <c r="A2357"/>
  <c r="B2357"/>
  <c r="C2357"/>
  <c r="E2357"/>
  <c r="F2357"/>
  <c r="A2358"/>
  <c r="B2358"/>
  <c r="C2358"/>
  <c r="E2358"/>
  <c r="F2358"/>
  <c r="A2359"/>
  <c r="B2359"/>
  <c r="C2359"/>
  <c r="E2359"/>
  <c r="F2359"/>
  <c r="A2360"/>
  <c r="B2360"/>
  <c r="C2360"/>
  <c r="E2360"/>
  <c r="F2360"/>
  <c r="A2361"/>
  <c r="B2361"/>
  <c r="C2361"/>
  <c r="E2361"/>
  <c r="F2361"/>
  <c r="A2362"/>
  <c r="B2362"/>
  <c r="C2362"/>
  <c r="E2362"/>
  <c r="F2362"/>
  <c r="A2363"/>
  <c r="B2363"/>
  <c r="C2363"/>
  <c r="E2363"/>
  <c r="F2363"/>
  <c r="A2364"/>
  <c r="B2364"/>
  <c r="C2364"/>
  <c r="E2364"/>
  <c r="F2364"/>
  <c r="A2365"/>
  <c r="B2365"/>
  <c r="C2365"/>
  <c r="E2365"/>
  <c r="F2365"/>
  <c r="A2366"/>
  <c r="B2366"/>
  <c r="C2366"/>
  <c r="E2366"/>
  <c r="F2366"/>
  <c r="A2367"/>
  <c r="B2367"/>
  <c r="C2367"/>
  <c r="E2367"/>
  <c r="F2367"/>
  <c r="A2368"/>
  <c r="B2368"/>
  <c r="C2368"/>
  <c r="E2368"/>
  <c r="F2368"/>
  <c r="A2369"/>
  <c r="B2369"/>
  <c r="C2369"/>
  <c r="E2369"/>
  <c r="F2369"/>
  <c r="A2370"/>
  <c r="B2370"/>
  <c r="C2370"/>
  <c r="E2370"/>
  <c r="F2370"/>
  <c r="A2371"/>
  <c r="B2371"/>
  <c r="C2371"/>
  <c r="E2371"/>
  <c r="F2371"/>
  <c r="C2372"/>
  <c r="E2372"/>
  <c r="F2372"/>
  <c r="C2373"/>
  <c r="E2373"/>
  <c r="F2373"/>
  <c r="C2374"/>
  <c r="E2374"/>
  <c r="F2374"/>
  <c r="C2375"/>
  <c r="E2375"/>
  <c r="F2375"/>
  <c r="A2376"/>
  <c r="B2376"/>
  <c r="C2376"/>
  <c r="E2376"/>
  <c r="F2376"/>
  <c r="A2377"/>
  <c r="B2377"/>
  <c r="C2377"/>
  <c r="E2377"/>
  <c r="F2377"/>
  <c r="A2378"/>
  <c r="B2378"/>
  <c r="C2378"/>
  <c r="E2378"/>
  <c r="F2378"/>
  <c r="A2379"/>
  <c r="B2379"/>
  <c r="C2379"/>
  <c r="E2379"/>
  <c r="F2379"/>
  <c r="A2380"/>
  <c r="B2380"/>
  <c r="C2380"/>
  <c r="E2380"/>
  <c r="F2380"/>
  <c r="A2381"/>
  <c r="B2381"/>
  <c r="C2381"/>
  <c r="E2381"/>
  <c r="F2381"/>
  <c r="A2382"/>
  <c r="B2382"/>
  <c r="C2382"/>
  <c r="E2382"/>
  <c r="F2382"/>
  <c r="A2383"/>
  <c r="B2383"/>
  <c r="C2383"/>
  <c r="E2383"/>
  <c r="F2383"/>
  <c r="A2384"/>
  <c r="B2384"/>
  <c r="C2384"/>
  <c r="E2384"/>
  <c r="F2384"/>
  <c r="A2385"/>
  <c r="B2385"/>
  <c r="C2385"/>
  <c r="E2385"/>
  <c r="F2385"/>
  <c r="A2386"/>
  <c r="B2386"/>
  <c r="C2386"/>
  <c r="E2386"/>
  <c r="F2386"/>
  <c r="A2387"/>
  <c r="B2387"/>
  <c r="C2387"/>
  <c r="E2387"/>
  <c r="F2387"/>
  <c r="A2388"/>
  <c r="B2388"/>
  <c r="C2388"/>
  <c r="E2388"/>
  <c r="F2388"/>
  <c r="A2389"/>
  <c r="B2389"/>
  <c r="C2389"/>
  <c r="E2389"/>
  <c r="F2389"/>
  <c r="A2390"/>
  <c r="B2390"/>
  <c r="C2390"/>
  <c r="E2390"/>
  <c r="F2390"/>
  <c r="A2391"/>
  <c r="B2391"/>
  <c r="C2391"/>
  <c r="E2391"/>
  <c r="F2391"/>
  <c r="A2392"/>
  <c r="B2392"/>
  <c r="C2392"/>
  <c r="E2392"/>
  <c r="F2392"/>
  <c r="A2393"/>
  <c r="B2393"/>
  <c r="C2393"/>
  <c r="E2393"/>
  <c r="F2393"/>
  <c r="A2394"/>
  <c r="B2394"/>
  <c r="C2394"/>
  <c r="E2394"/>
  <c r="F2394"/>
  <c r="A2395"/>
  <c r="B2395"/>
  <c r="C2395"/>
  <c r="E2395"/>
  <c r="F2395"/>
  <c r="A2396"/>
  <c r="B2396"/>
  <c r="C2396"/>
  <c r="E2396"/>
  <c r="F2396"/>
  <c r="A2397"/>
  <c r="B2397"/>
  <c r="C2397"/>
  <c r="E2397"/>
  <c r="F2397"/>
  <c r="A2398"/>
  <c r="B2398"/>
  <c r="C2398"/>
  <c r="E2398"/>
  <c r="F2398"/>
  <c r="A2399"/>
  <c r="B2399"/>
  <c r="C2399"/>
  <c r="E2399"/>
  <c r="F2399"/>
  <c r="A2400"/>
  <c r="B2400"/>
  <c r="C2400"/>
  <c r="E2400"/>
  <c r="F2400"/>
  <c r="A2401"/>
  <c r="B2401"/>
  <c r="C2401"/>
  <c r="E2401"/>
  <c r="F2401"/>
  <c r="A2402"/>
  <c r="B2402"/>
  <c r="C2402"/>
  <c r="E2402"/>
  <c r="F2402"/>
  <c r="A2403"/>
  <c r="B2403"/>
  <c r="C2403"/>
  <c r="E2403"/>
  <c r="F2403"/>
  <c r="A2404"/>
  <c r="B2404"/>
  <c r="C2404"/>
  <c r="E2404"/>
  <c r="F2404"/>
  <c r="A2405"/>
  <c r="B2405"/>
  <c r="C2405"/>
  <c r="E2405"/>
  <c r="F2405"/>
  <c r="A2406"/>
  <c r="B2406"/>
  <c r="C2406"/>
  <c r="E2406"/>
  <c r="F2406"/>
  <c r="A2407"/>
  <c r="B2407"/>
  <c r="C2407"/>
  <c r="E2407"/>
  <c r="F2407"/>
  <c r="A2408"/>
  <c r="B2408"/>
  <c r="C2408"/>
  <c r="E2408"/>
  <c r="F2408"/>
  <c r="A2409"/>
  <c r="B2409"/>
  <c r="C2409"/>
  <c r="E2409"/>
  <c r="F2409"/>
  <c r="A2410"/>
  <c r="B2410"/>
  <c r="C2410"/>
  <c r="E2410"/>
  <c r="F2410"/>
  <c r="A2411"/>
  <c r="B2411"/>
  <c r="C2411"/>
  <c r="E2411"/>
  <c r="F2411"/>
  <c r="A2412"/>
  <c r="B2412"/>
  <c r="C2412"/>
  <c r="E2412"/>
  <c r="F2412"/>
  <c r="A2413"/>
  <c r="B2413"/>
  <c r="C2413"/>
  <c r="E2413"/>
  <c r="F2413"/>
  <c r="A2414"/>
  <c r="B2414"/>
  <c r="C2414"/>
  <c r="E2414"/>
  <c r="F2414"/>
  <c r="A2415"/>
  <c r="B2415"/>
  <c r="C2415"/>
  <c r="E2415"/>
  <c r="F2415"/>
  <c r="A2416"/>
  <c r="B2416"/>
  <c r="C2416"/>
  <c r="E2416"/>
  <c r="F2416"/>
  <c r="A2417"/>
  <c r="B2417"/>
  <c r="C2417"/>
  <c r="E2417"/>
  <c r="F2417"/>
  <c r="A2418"/>
  <c r="B2418"/>
  <c r="C2418"/>
  <c r="E2418"/>
  <c r="F2418"/>
  <c r="A2419"/>
  <c r="B2419"/>
  <c r="C2419"/>
  <c r="E2419"/>
  <c r="F2419"/>
  <c r="A2420"/>
  <c r="B2420"/>
  <c r="C2420"/>
  <c r="E2420"/>
  <c r="F2420"/>
  <c r="A2421"/>
  <c r="B2421"/>
  <c r="C2421"/>
  <c r="E2421"/>
  <c r="F2421"/>
  <c r="A2422"/>
  <c r="B2422"/>
  <c r="C2422"/>
  <c r="E2422"/>
  <c r="F2422"/>
  <c r="A2423"/>
  <c r="B2423"/>
  <c r="C2423"/>
  <c r="E2423"/>
  <c r="F2423"/>
  <c r="A2424"/>
  <c r="B2424"/>
  <c r="C2424"/>
  <c r="E2424"/>
  <c r="F2424"/>
  <c r="A2425"/>
  <c r="B2425"/>
  <c r="C2425"/>
  <c r="E2425"/>
  <c r="F2425"/>
  <c r="A2426"/>
  <c r="B2426"/>
  <c r="C2426"/>
  <c r="E2426"/>
  <c r="F2426"/>
  <c r="A2427"/>
  <c r="B2427"/>
  <c r="C2427"/>
  <c r="E2427"/>
  <c r="F2427"/>
  <c r="A2428"/>
  <c r="B2428"/>
  <c r="C2428"/>
  <c r="E2428"/>
  <c r="F2428"/>
  <c r="A2429"/>
  <c r="B2429"/>
  <c r="C2429"/>
  <c r="E2429"/>
  <c r="F2429"/>
  <c r="A2430"/>
  <c r="B2430"/>
  <c r="C2430"/>
  <c r="E2430"/>
  <c r="F2430"/>
  <c r="A2431"/>
  <c r="B2431"/>
  <c r="C2431"/>
  <c r="E2431"/>
  <c r="F2431"/>
  <c r="A2432"/>
  <c r="B2432"/>
  <c r="C2432"/>
  <c r="E2432"/>
  <c r="F2432"/>
  <c r="A2433"/>
  <c r="B2433"/>
  <c r="C2433"/>
  <c r="E2433"/>
  <c r="F2433"/>
  <c r="A2434"/>
  <c r="B2434"/>
  <c r="C2434"/>
  <c r="E2434"/>
  <c r="F2434"/>
  <c r="A2435"/>
  <c r="B2435"/>
  <c r="C2435"/>
  <c r="E2435"/>
  <c r="F2435"/>
  <c r="A2436"/>
  <c r="B2436"/>
  <c r="C2436"/>
  <c r="E2436"/>
  <c r="F2436"/>
  <c r="A2437"/>
  <c r="B2437"/>
  <c r="C2437"/>
  <c r="E2437"/>
  <c r="F2437"/>
  <c r="A2438"/>
  <c r="B2438"/>
  <c r="C2438"/>
  <c r="E2438"/>
  <c r="F2438"/>
  <c r="A2439"/>
  <c r="B2439"/>
  <c r="C2439"/>
  <c r="E2439"/>
  <c r="F2439"/>
  <c r="A2440"/>
  <c r="B2440"/>
  <c r="C2440"/>
  <c r="E2440"/>
  <c r="F2440"/>
  <c r="A2441"/>
  <c r="B2441"/>
  <c r="C2441"/>
  <c r="E2441"/>
  <c r="F2441"/>
  <c r="A2442"/>
  <c r="B2442"/>
  <c r="C2442"/>
  <c r="E2442"/>
  <c r="F2442"/>
  <c r="A2443"/>
  <c r="B2443"/>
  <c r="C2443"/>
  <c r="E2443"/>
  <c r="F2443"/>
  <c r="A2444"/>
  <c r="B2444"/>
  <c r="C2444"/>
  <c r="E2444"/>
  <c r="F2444"/>
  <c r="A2445"/>
  <c r="B2445"/>
  <c r="C2445"/>
  <c r="E2445"/>
  <c r="F2445"/>
  <c r="A2446"/>
  <c r="B2446"/>
  <c r="C2446"/>
  <c r="E2446"/>
  <c r="F2446"/>
  <c r="A2447"/>
  <c r="B2447"/>
  <c r="C2447"/>
  <c r="E2447"/>
  <c r="F2447"/>
  <c r="A2448"/>
  <c r="B2448"/>
  <c r="C2448"/>
  <c r="E2448"/>
  <c r="F2448"/>
  <c r="A2449"/>
  <c r="B2449"/>
  <c r="C2449"/>
  <c r="E2449"/>
  <c r="F2449"/>
  <c r="A2450"/>
  <c r="B2450"/>
  <c r="C2450"/>
  <c r="E2450"/>
  <c r="F2450"/>
  <c r="A2451"/>
  <c r="B2451"/>
  <c r="C2451"/>
  <c r="E2451"/>
  <c r="F2451"/>
  <c r="A2452"/>
  <c r="B2452"/>
  <c r="C2452"/>
  <c r="E2452"/>
  <c r="F2452"/>
  <c r="A2453"/>
  <c r="B2453"/>
  <c r="C2453"/>
  <c r="E2453"/>
  <c r="F2453"/>
  <c r="A2454"/>
  <c r="B2454"/>
  <c r="C2454"/>
  <c r="E2454"/>
  <c r="F2454"/>
  <c r="A2455"/>
  <c r="B2455"/>
  <c r="C2455"/>
  <c r="E2455"/>
  <c r="F2455"/>
  <c r="A2456"/>
  <c r="B2456"/>
  <c r="C2456"/>
  <c r="E2456"/>
  <c r="F2456"/>
  <c r="A2457"/>
  <c r="B2457"/>
  <c r="C2457"/>
  <c r="E2457"/>
  <c r="F2457"/>
  <c r="A2458"/>
  <c r="B2458"/>
  <c r="C2458"/>
  <c r="E2458"/>
  <c r="F2458"/>
  <c r="A2459"/>
  <c r="B2459"/>
  <c r="C2459"/>
  <c r="E2459"/>
  <c r="F2459"/>
  <c r="A2460"/>
  <c r="B2460"/>
  <c r="C2460"/>
  <c r="E2460"/>
  <c r="F2460"/>
  <c r="A2461"/>
  <c r="B2461"/>
  <c r="C2461"/>
  <c r="E2461"/>
  <c r="F2461"/>
  <c r="A2462"/>
  <c r="B2462"/>
  <c r="C2462"/>
  <c r="E2462"/>
  <c r="F2462"/>
  <c r="A2463"/>
  <c r="B2463"/>
  <c r="C2463"/>
  <c r="E2463"/>
  <c r="F2463"/>
  <c r="A2464"/>
  <c r="B2464"/>
  <c r="C2464"/>
  <c r="E2464"/>
  <c r="F2464"/>
  <c r="A2465"/>
  <c r="B2465"/>
  <c r="C2465"/>
  <c r="E2465"/>
  <c r="F2465"/>
  <c r="A2466"/>
  <c r="B2466"/>
  <c r="C2466"/>
  <c r="E2466"/>
  <c r="F2466"/>
  <c r="A2467"/>
  <c r="B2467"/>
  <c r="C2467"/>
  <c r="E2467"/>
  <c r="F2467"/>
  <c r="A2468"/>
  <c r="B2468"/>
  <c r="C2468"/>
  <c r="E2468"/>
  <c r="F2468"/>
  <c r="A2469"/>
  <c r="B2469"/>
  <c r="C2469"/>
  <c r="E2469"/>
  <c r="F2469"/>
  <c r="A2470"/>
  <c r="B2470"/>
  <c r="C2470"/>
  <c r="E2470"/>
  <c r="F2470"/>
  <c r="A2471"/>
  <c r="B2471"/>
  <c r="C2471"/>
  <c r="E2471"/>
  <c r="F2471"/>
  <c r="A2472"/>
  <c r="B2472"/>
  <c r="C2472"/>
  <c r="E2472"/>
  <c r="F2472"/>
  <c r="A2473"/>
  <c r="B2473"/>
  <c r="C2473"/>
  <c r="E2473"/>
  <c r="F2473"/>
  <c r="A2474"/>
  <c r="B2474"/>
  <c r="C2474"/>
  <c r="E2474"/>
  <c r="F2474"/>
  <c r="A2475"/>
  <c r="B2475"/>
  <c r="C2475"/>
  <c r="E2475"/>
  <c r="F2475"/>
  <c r="A2476"/>
  <c r="B2476"/>
  <c r="C2476"/>
  <c r="E2476"/>
  <c r="F2476"/>
  <c r="A2477"/>
  <c r="B2477"/>
  <c r="C2477"/>
  <c r="E2477"/>
  <c r="F2477"/>
  <c r="A2478"/>
  <c r="B2478"/>
  <c r="C2478"/>
  <c r="E2478"/>
  <c r="F2478"/>
  <c r="A2479"/>
  <c r="B2479"/>
  <c r="C2479"/>
  <c r="E2479"/>
  <c r="F2479"/>
  <c r="A2480"/>
  <c r="B2480"/>
  <c r="C2480"/>
  <c r="E2480"/>
  <c r="F2480"/>
  <c r="A2481"/>
  <c r="B2481"/>
  <c r="C2481"/>
  <c r="E2481"/>
  <c r="F2481"/>
  <c r="A2482"/>
  <c r="B2482"/>
  <c r="C2482"/>
  <c r="E2482"/>
  <c r="F2482"/>
  <c r="A2483"/>
  <c r="B2483"/>
  <c r="C2483"/>
  <c r="E2483"/>
  <c r="F2483"/>
  <c r="A2484"/>
  <c r="B2484"/>
  <c r="C2484"/>
  <c r="E2484"/>
  <c r="F2484"/>
  <c r="A2485"/>
  <c r="B2485"/>
  <c r="C2485"/>
  <c r="E2485"/>
  <c r="F2485"/>
  <c r="A2486"/>
  <c r="B2486"/>
  <c r="C2486"/>
  <c r="E2486"/>
  <c r="F2486"/>
  <c r="A2487"/>
  <c r="B2487"/>
  <c r="C2487"/>
  <c r="E2487"/>
  <c r="F2487"/>
  <c r="A2488"/>
  <c r="B2488"/>
  <c r="C2488"/>
  <c r="E2488"/>
  <c r="F2488"/>
  <c r="A2489"/>
  <c r="B2489"/>
  <c r="C2489"/>
  <c r="E2489"/>
  <c r="F2489"/>
  <c r="A2490"/>
  <c r="B2490"/>
  <c r="C2490"/>
  <c r="E2490"/>
  <c r="F2490"/>
  <c r="A2491"/>
  <c r="B2491"/>
  <c r="C2491"/>
  <c r="E2491"/>
  <c r="F2491"/>
  <c r="A2492"/>
  <c r="B2492"/>
  <c r="C2492"/>
  <c r="E2492"/>
  <c r="F2492"/>
  <c r="A2493"/>
  <c r="B2493"/>
  <c r="C2493"/>
  <c r="E2493"/>
  <c r="F2493"/>
  <c r="A2494"/>
  <c r="B2494"/>
  <c r="C2494"/>
  <c r="E2494"/>
  <c r="F2494"/>
  <c r="A2495"/>
  <c r="B2495"/>
  <c r="C2495"/>
  <c r="E2495"/>
  <c r="F2495"/>
  <c r="A2496"/>
  <c r="B2496"/>
  <c r="C2496"/>
  <c r="E2496"/>
  <c r="F2496"/>
  <c r="A2497"/>
  <c r="B2497"/>
  <c r="C2497"/>
  <c r="E2497"/>
  <c r="F2497"/>
  <c r="A2498"/>
  <c r="B2498"/>
  <c r="C2498"/>
  <c r="E2498"/>
  <c r="F2498"/>
  <c r="A2499"/>
  <c r="B2499"/>
  <c r="C2499"/>
  <c r="E2499"/>
  <c r="F2499"/>
  <c r="A2500"/>
  <c r="B2500"/>
  <c r="C2500"/>
  <c r="E2500"/>
  <c r="F2500"/>
  <c r="A2501"/>
  <c r="B2501"/>
  <c r="C2501"/>
  <c r="E2501"/>
  <c r="F2501"/>
  <c r="A2502"/>
  <c r="B2502"/>
  <c r="C2502"/>
  <c r="E2502"/>
  <c r="F2502"/>
  <c r="A2503"/>
  <c r="B2503"/>
  <c r="C2503"/>
  <c r="E2503"/>
  <c r="F2503"/>
  <c r="A2504"/>
  <c r="B2504"/>
  <c r="C2504"/>
  <c r="E2504"/>
  <c r="F2504"/>
  <c r="A2505"/>
  <c r="B2505"/>
  <c r="C2505"/>
  <c r="E2505"/>
  <c r="F2505"/>
  <c r="A2506"/>
  <c r="B2506"/>
  <c r="C2506"/>
  <c r="E2506"/>
  <c r="F2506"/>
  <c r="A2507"/>
  <c r="B2507"/>
  <c r="C2507"/>
  <c r="E2507"/>
  <c r="F2507"/>
  <c r="A2508"/>
  <c r="B2508"/>
  <c r="C2508"/>
  <c r="E2508"/>
  <c r="F2508"/>
  <c r="A2509"/>
  <c r="B2509"/>
  <c r="C2509"/>
  <c r="E2509"/>
  <c r="F2509"/>
  <c r="A2510"/>
  <c r="B2510"/>
  <c r="C2510"/>
  <c r="E2510"/>
  <c r="F2510"/>
  <c r="A2511"/>
  <c r="B2511"/>
  <c r="C2511"/>
  <c r="E2511"/>
  <c r="F2511"/>
  <c r="A2512"/>
  <c r="B2512"/>
  <c r="C2512"/>
  <c r="E2512"/>
  <c r="F2512"/>
  <c r="A2513"/>
  <c r="B2513"/>
  <c r="C2513"/>
  <c r="E2513"/>
  <c r="F2513"/>
  <c r="A2514"/>
  <c r="B2514"/>
  <c r="C2514"/>
  <c r="E2514"/>
  <c r="F2514"/>
  <c r="A2515"/>
  <c r="B2515"/>
  <c r="C2515"/>
  <c r="E2515"/>
  <c r="F2515"/>
  <c r="A2516"/>
  <c r="B2516"/>
  <c r="C2516"/>
  <c r="E2516"/>
  <c r="F2516"/>
  <c r="A2517"/>
  <c r="B2517"/>
  <c r="C2517"/>
  <c r="E2517"/>
  <c r="F2517"/>
  <c r="A2518"/>
  <c r="B2518"/>
  <c r="C2518"/>
  <c r="E2518"/>
  <c r="F2518"/>
  <c r="A2519"/>
  <c r="B2519"/>
  <c r="C2519"/>
  <c r="E2519"/>
  <c r="F2519"/>
  <c r="A2520"/>
  <c r="B2520"/>
  <c r="C2520"/>
  <c r="E2520"/>
  <c r="F2520"/>
  <c r="A2521"/>
  <c r="B2521"/>
  <c r="C2521"/>
  <c r="E2521"/>
  <c r="F2521"/>
  <c r="A2522"/>
  <c r="B2522"/>
  <c r="C2522"/>
  <c r="E2522"/>
  <c r="F2522"/>
  <c r="A2523"/>
  <c r="B2523"/>
  <c r="C2523"/>
  <c r="E2523"/>
  <c r="F2523"/>
  <c r="A2524"/>
  <c r="B2524"/>
  <c r="C2524"/>
  <c r="E2524"/>
  <c r="F2524"/>
  <c r="A2525"/>
  <c r="B2525"/>
  <c r="C2525"/>
  <c r="E2525"/>
  <c r="F2525"/>
  <c r="A2526"/>
  <c r="B2526"/>
  <c r="C2526"/>
  <c r="E2526"/>
  <c r="F2526"/>
  <c r="A2527"/>
  <c r="B2527"/>
  <c r="C2527"/>
  <c r="E2527"/>
  <c r="F2527"/>
  <c r="A2528"/>
  <c r="B2528"/>
  <c r="C2528"/>
  <c r="E2528"/>
  <c r="F2528"/>
  <c r="A2529"/>
  <c r="B2529"/>
  <c r="C2529"/>
  <c r="E2529"/>
  <c r="F2529"/>
  <c r="A2530"/>
  <c r="B2530"/>
  <c r="C2530"/>
  <c r="E2530"/>
  <c r="F2530"/>
  <c r="A2531"/>
  <c r="B2531"/>
  <c r="C2531"/>
  <c r="E2531"/>
  <c r="F2531"/>
  <c r="A2532"/>
  <c r="B2532"/>
  <c r="C2532"/>
  <c r="E2532"/>
  <c r="F2532"/>
  <c r="A2533"/>
  <c r="B2533"/>
  <c r="C2533"/>
  <c r="E2533"/>
  <c r="F2533"/>
  <c r="A2534"/>
  <c r="B2534"/>
  <c r="C2534"/>
  <c r="E2534"/>
  <c r="F2534"/>
  <c r="A2535"/>
  <c r="B2535"/>
  <c r="C2535"/>
  <c r="E2535"/>
  <c r="F2535"/>
  <c r="A2536"/>
  <c r="B2536"/>
  <c r="C2536"/>
  <c r="E2536"/>
  <c r="F2536"/>
  <c r="C2537"/>
  <c r="E2537"/>
  <c r="F2537"/>
  <c r="A2538"/>
  <c r="B2538"/>
  <c r="C2538"/>
  <c r="E2538"/>
  <c r="F2538"/>
  <c r="A2539"/>
  <c r="B2539"/>
  <c r="C2539"/>
  <c r="E2539"/>
  <c r="F2539"/>
  <c r="A2540"/>
  <c r="B2540"/>
  <c r="C2540"/>
  <c r="E2540"/>
  <c r="F2540"/>
  <c r="A2541"/>
  <c r="B2541"/>
  <c r="C2541"/>
  <c r="E2541"/>
  <c r="F2541"/>
  <c r="A2542"/>
  <c r="B2542"/>
  <c r="C2542"/>
  <c r="E2542"/>
  <c r="F2542"/>
  <c r="A2543"/>
  <c r="B2543"/>
  <c r="C2543"/>
  <c r="E2543"/>
  <c r="F2543"/>
  <c r="A2544"/>
  <c r="B2544"/>
  <c r="C2544"/>
  <c r="E2544"/>
  <c r="F2544"/>
  <c r="A2545"/>
  <c r="B2545"/>
  <c r="C2545"/>
  <c r="E2545"/>
  <c r="F2545"/>
  <c r="A2546"/>
  <c r="B2546"/>
  <c r="C2546"/>
  <c r="E2546"/>
  <c r="F2546"/>
  <c r="A2547"/>
  <c r="B2547"/>
  <c r="C2547"/>
  <c r="E2547"/>
  <c r="F2547"/>
  <c r="A2548"/>
  <c r="B2548"/>
  <c r="C2548"/>
  <c r="E2548"/>
  <c r="F2548"/>
  <c r="A2549"/>
  <c r="B2549"/>
  <c r="C2549"/>
  <c r="E2549"/>
  <c r="F2549"/>
  <c r="A2550"/>
  <c r="B2550"/>
  <c r="C2550"/>
  <c r="E2550"/>
  <c r="F2550"/>
  <c r="A2551"/>
  <c r="B2551"/>
  <c r="C2551"/>
  <c r="E2551"/>
  <c r="F2551"/>
  <c r="A2552"/>
  <c r="B2552"/>
  <c r="C2552"/>
  <c r="E2552"/>
  <c r="F2552"/>
  <c r="A2553"/>
  <c r="B2553"/>
  <c r="C2553"/>
  <c r="E2553"/>
  <c r="F2553"/>
  <c r="A2554"/>
  <c r="B2554"/>
  <c r="C2554"/>
  <c r="E2554"/>
  <c r="F2554"/>
  <c r="A2555"/>
  <c r="B2555"/>
  <c r="C2555"/>
  <c r="E2555"/>
  <c r="F2555"/>
  <c r="A2556"/>
  <c r="B2556"/>
  <c r="C2556"/>
  <c r="E2556"/>
  <c r="F2556"/>
  <c r="A2557"/>
  <c r="B2557"/>
  <c r="C2557"/>
  <c r="E2557"/>
  <c r="F2557"/>
  <c r="A2558"/>
  <c r="B2558"/>
  <c r="C2558"/>
  <c r="E2558"/>
  <c r="F2558"/>
  <c r="A2559"/>
  <c r="B2559"/>
  <c r="C2559"/>
  <c r="E2559"/>
  <c r="F2559"/>
  <c r="A2560"/>
  <c r="B2560"/>
  <c r="C2560"/>
  <c r="E2560"/>
  <c r="F2560"/>
  <c r="A2561"/>
  <c r="B2561"/>
  <c r="C2561"/>
  <c r="E2561"/>
  <c r="F2561"/>
  <c r="A2562"/>
  <c r="B2562"/>
  <c r="C2562"/>
  <c r="E2562"/>
  <c r="F2562"/>
  <c r="A2563"/>
  <c r="B2563"/>
  <c r="C2563"/>
  <c r="E2563"/>
  <c r="F2563"/>
  <c r="A2564"/>
  <c r="B2564"/>
  <c r="C2564"/>
  <c r="E2564"/>
  <c r="F2564"/>
  <c r="A2565"/>
  <c r="B2565"/>
  <c r="C2565"/>
  <c r="E2565"/>
  <c r="F2565"/>
  <c r="A2566"/>
  <c r="B2566"/>
  <c r="C2566"/>
  <c r="E2566"/>
  <c r="F2566"/>
  <c r="A2567"/>
  <c r="B2567"/>
  <c r="C2567"/>
  <c r="E2567"/>
  <c r="F2567"/>
  <c r="A2568"/>
  <c r="B2568"/>
  <c r="C2568"/>
  <c r="E2568"/>
  <c r="F2568"/>
  <c r="A2569"/>
  <c r="B2569"/>
  <c r="C2569"/>
  <c r="E2569"/>
  <c r="F2569"/>
  <c r="A2570"/>
  <c r="B2570"/>
  <c r="C2570"/>
  <c r="E2570"/>
  <c r="F2570"/>
  <c r="A2571"/>
  <c r="B2571"/>
  <c r="C2571"/>
  <c r="E2571"/>
  <c r="F2571"/>
  <c r="A2572"/>
  <c r="B2572"/>
  <c r="C2572"/>
  <c r="E2572"/>
  <c r="F2572"/>
  <c r="A2573"/>
  <c r="B2573"/>
  <c r="C2573"/>
  <c r="E2573"/>
  <c r="F2573"/>
  <c r="A2574"/>
  <c r="B2574"/>
  <c r="C2574"/>
  <c r="E2574"/>
  <c r="F2574"/>
  <c r="A2575"/>
  <c r="B2575"/>
  <c r="C2575"/>
  <c r="E2575"/>
  <c r="F2575"/>
  <c r="A2576"/>
  <c r="B2576"/>
  <c r="C2576"/>
  <c r="E2576"/>
  <c r="F2576"/>
  <c r="A2577"/>
  <c r="B2577"/>
  <c r="C2577"/>
  <c r="E2577"/>
  <c r="F2577"/>
  <c r="A2578"/>
  <c r="B2578"/>
  <c r="C2578"/>
  <c r="E2578"/>
  <c r="F2578"/>
  <c r="A2579"/>
  <c r="B2579"/>
  <c r="C2579"/>
  <c r="E2579"/>
  <c r="F2579"/>
  <c r="A2580"/>
  <c r="B2580"/>
  <c r="C2580"/>
  <c r="E2580"/>
  <c r="F2580"/>
  <c r="A2581"/>
  <c r="B2581"/>
  <c r="C2581"/>
  <c r="E2581"/>
  <c r="F2581"/>
  <c r="A2582"/>
  <c r="B2582"/>
  <c r="C2582"/>
  <c r="E2582"/>
  <c r="F2582"/>
  <c r="A2583"/>
  <c r="B2583"/>
  <c r="C2583"/>
  <c r="E2583"/>
  <c r="F2583"/>
  <c r="A2584"/>
  <c r="B2584"/>
  <c r="C2584"/>
  <c r="E2584"/>
  <c r="F2584"/>
  <c r="A2585"/>
  <c r="B2585"/>
  <c r="C2585"/>
  <c r="E2585"/>
  <c r="F2585"/>
  <c r="A2586"/>
  <c r="B2586"/>
  <c r="C2586"/>
  <c r="E2586"/>
  <c r="F2586"/>
  <c r="A2587"/>
  <c r="B2587"/>
  <c r="C2587"/>
  <c r="E2587"/>
  <c r="F2587"/>
  <c r="A2588"/>
  <c r="B2588"/>
  <c r="C2588"/>
  <c r="E2588"/>
  <c r="F2588"/>
  <c r="A2589"/>
  <c r="B2589"/>
  <c r="C2589"/>
  <c r="E2589"/>
  <c r="F2589"/>
  <c r="A2590"/>
  <c r="B2590"/>
  <c r="C2590"/>
  <c r="E2590"/>
  <c r="F2590"/>
  <c r="A2591"/>
  <c r="B2591"/>
  <c r="C2591"/>
  <c r="E2591"/>
  <c r="F2591"/>
  <c r="A2592"/>
  <c r="B2592"/>
  <c r="C2592"/>
  <c r="E2592"/>
  <c r="F2592"/>
  <c r="A2593"/>
  <c r="B2593"/>
  <c r="C2593"/>
  <c r="E2593"/>
  <c r="F2593"/>
  <c r="A2594"/>
  <c r="B2594"/>
  <c r="C2594"/>
  <c r="E2594"/>
  <c r="F2594"/>
  <c r="A2595"/>
  <c r="B2595"/>
  <c r="C2595"/>
  <c r="E2595"/>
  <c r="F2595"/>
  <c r="A2596"/>
  <c r="B2596"/>
  <c r="C2596"/>
  <c r="E2596"/>
  <c r="F2596"/>
  <c r="A2597"/>
  <c r="B2597"/>
  <c r="C2597"/>
  <c r="E2597"/>
  <c r="F2597"/>
  <c r="A2598"/>
  <c r="B2598"/>
  <c r="C2598"/>
  <c r="E2598"/>
  <c r="F2598"/>
  <c r="A2599"/>
  <c r="B2599"/>
  <c r="C2599"/>
  <c r="E2599"/>
  <c r="F2599"/>
  <c r="A2600"/>
  <c r="B2600"/>
  <c r="C2600"/>
  <c r="E2600"/>
  <c r="F2600"/>
  <c r="A2601"/>
  <c r="B2601"/>
  <c r="C2601"/>
  <c r="E2601"/>
  <c r="F2601"/>
  <c r="A2602"/>
  <c r="B2602"/>
  <c r="C2602"/>
  <c r="E2602"/>
  <c r="F2602"/>
  <c r="A2603"/>
  <c r="B2603"/>
  <c r="C2603"/>
  <c r="E2603"/>
  <c r="F2603"/>
  <c r="A2604"/>
  <c r="B2604"/>
  <c r="C2604"/>
  <c r="E2604"/>
  <c r="F2604"/>
  <c r="A2605"/>
  <c r="B2605"/>
  <c r="C2605"/>
  <c r="E2605"/>
  <c r="F2605"/>
  <c r="A2606"/>
  <c r="B2606"/>
  <c r="C2606"/>
  <c r="E2606"/>
  <c r="F2606"/>
  <c r="A2607"/>
  <c r="B2607"/>
  <c r="C2607"/>
  <c r="E2607"/>
  <c r="F2607"/>
  <c r="A2608"/>
  <c r="B2608"/>
  <c r="C2608"/>
  <c r="E2608"/>
  <c r="F2608"/>
  <c r="A2609"/>
  <c r="B2609"/>
  <c r="C2609"/>
  <c r="E2609"/>
  <c r="F2609"/>
  <c r="A2610"/>
  <c r="B2610"/>
  <c r="C2610"/>
  <c r="E2610"/>
  <c r="F2610"/>
  <c r="A2611"/>
  <c r="B2611"/>
  <c r="C2611"/>
  <c r="E2611"/>
  <c r="F2611"/>
  <c r="A2612"/>
  <c r="B2612"/>
  <c r="C2612"/>
  <c r="E2612"/>
  <c r="F2612"/>
  <c r="A2613"/>
  <c r="B2613"/>
  <c r="C2613"/>
  <c r="E2613"/>
  <c r="F2613"/>
  <c r="A2614"/>
  <c r="B2614"/>
  <c r="C2614"/>
  <c r="E2614"/>
  <c r="F2614"/>
  <c r="A2615"/>
  <c r="B2615"/>
  <c r="C2615"/>
  <c r="E2615"/>
  <c r="F2615"/>
  <c r="A2616"/>
  <c r="B2616"/>
  <c r="C2616"/>
  <c r="E2616"/>
  <c r="F2616"/>
  <c r="A2617"/>
  <c r="B2617"/>
  <c r="C2617"/>
  <c r="E2617"/>
  <c r="F2617"/>
  <c r="A2618"/>
  <c r="B2618"/>
  <c r="C2618"/>
  <c r="E2618"/>
  <c r="F2618"/>
  <c r="A2619"/>
  <c r="B2619"/>
  <c r="C2619"/>
  <c r="E2619"/>
  <c r="F2619"/>
  <c r="A2620"/>
  <c r="B2620"/>
  <c r="C2620"/>
  <c r="E2620"/>
  <c r="F2620"/>
  <c r="A2621"/>
  <c r="B2621"/>
  <c r="C2621"/>
  <c r="E2621"/>
  <c r="F2621"/>
  <c r="A2622"/>
  <c r="B2622"/>
  <c r="C2622"/>
  <c r="E2622"/>
  <c r="F2622"/>
  <c r="A2623"/>
  <c r="B2623"/>
  <c r="C2623"/>
  <c r="E2623"/>
  <c r="F2623"/>
  <c r="A2624"/>
  <c r="B2624"/>
  <c r="C2624"/>
  <c r="E2624"/>
  <c r="F2624"/>
  <c r="A2625"/>
  <c r="B2625"/>
  <c r="C2625"/>
  <c r="E2625"/>
  <c r="F2625"/>
  <c r="A2626"/>
  <c r="B2626"/>
  <c r="C2626"/>
  <c r="E2626"/>
  <c r="F2626"/>
  <c r="A2627"/>
  <c r="B2627"/>
  <c r="C2627"/>
  <c r="E2627"/>
  <c r="F2627"/>
  <c r="A2628"/>
  <c r="B2628"/>
  <c r="C2628"/>
  <c r="E2628"/>
  <c r="F2628"/>
  <c r="A2629"/>
  <c r="B2629"/>
  <c r="C2629"/>
  <c r="E2629"/>
  <c r="F2629"/>
  <c r="A2630"/>
  <c r="B2630"/>
  <c r="C2630"/>
  <c r="E2630"/>
  <c r="F2630"/>
  <c r="A2631"/>
  <c r="B2631"/>
  <c r="C2631"/>
  <c r="E2631"/>
  <c r="F2631"/>
  <c r="A2632"/>
  <c r="B2632"/>
  <c r="C2632"/>
  <c r="E2632"/>
  <c r="F2632"/>
  <c r="A2633"/>
  <c r="B2633"/>
  <c r="C2633"/>
  <c r="E2633"/>
  <c r="F2633"/>
  <c r="A2634"/>
  <c r="B2634"/>
  <c r="C2634"/>
  <c r="E2634"/>
  <c r="F2634"/>
  <c r="A2635"/>
  <c r="B2635"/>
  <c r="C2635"/>
  <c r="E2635"/>
  <c r="F2635"/>
  <c r="A2636"/>
  <c r="B2636"/>
  <c r="C2636"/>
  <c r="E2636"/>
  <c r="F2636"/>
  <c r="A2637"/>
  <c r="B2637"/>
  <c r="C2637"/>
  <c r="E2637"/>
  <c r="F2637"/>
  <c r="A2638"/>
  <c r="B2638"/>
  <c r="C2638"/>
  <c r="E2638"/>
  <c r="F2638"/>
  <c r="A2639"/>
  <c r="B2639"/>
  <c r="C2639"/>
  <c r="E2639"/>
  <c r="F2639"/>
  <c r="A2640"/>
  <c r="B2640"/>
  <c r="C2640"/>
  <c r="E2640"/>
  <c r="F2640"/>
  <c r="A2641"/>
  <c r="B2641"/>
  <c r="C2641"/>
  <c r="E2641"/>
  <c r="F2641"/>
  <c r="A2642"/>
  <c r="B2642"/>
  <c r="C2642"/>
  <c r="E2642"/>
  <c r="F2642"/>
  <c r="A2643"/>
  <c r="B2643"/>
  <c r="C2643"/>
  <c r="E2643"/>
  <c r="F2643"/>
  <c r="A2644"/>
  <c r="B2644"/>
  <c r="C2644"/>
  <c r="E2644"/>
  <c r="F2644"/>
  <c r="A2645"/>
  <c r="B2645"/>
  <c r="C2645"/>
  <c r="E2645"/>
  <c r="F2645"/>
  <c r="A2646"/>
  <c r="B2646"/>
  <c r="C2646"/>
  <c r="E2646"/>
  <c r="F2646"/>
  <c r="A2647"/>
  <c r="B2647"/>
  <c r="C2647"/>
  <c r="E2647"/>
  <c r="F2647"/>
  <c r="A2648"/>
  <c r="B2648"/>
  <c r="C2648"/>
  <c r="E2648"/>
  <c r="F2648"/>
  <c r="A2649"/>
  <c r="B2649"/>
  <c r="C2649"/>
  <c r="E2649"/>
  <c r="F2649"/>
  <c r="A2650"/>
  <c r="B2650"/>
  <c r="C2650"/>
  <c r="E2650"/>
  <c r="F2650"/>
  <c r="A2651"/>
  <c r="B2651"/>
  <c r="C2651"/>
  <c r="E2651"/>
  <c r="F2651"/>
  <c r="A2652"/>
  <c r="B2652"/>
  <c r="C2652"/>
  <c r="E2652"/>
  <c r="F2652"/>
  <c r="A2653"/>
  <c r="B2653"/>
  <c r="C2653"/>
  <c r="E2653"/>
  <c r="F2653"/>
  <c r="A2654"/>
  <c r="B2654"/>
  <c r="C2654"/>
  <c r="E2654"/>
  <c r="F2654"/>
  <c r="A2655"/>
  <c r="B2655"/>
  <c r="C2655"/>
  <c r="E2655"/>
  <c r="F2655"/>
  <c r="A2656"/>
  <c r="B2656"/>
  <c r="C2656"/>
  <c r="E2656"/>
  <c r="F2656"/>
  <c r="A2657"/>
  <c r="B2657"/>
  <c r="C2657"/>
  <c r="E2657"/>
  <c r="F2657"/>
  <c r="A2658"/>
  <c r="B2658"/>
  <c r="C2658"/>
  <c r="E2658"/>
  <c r="F2658"/>
  <c r="A2659"/>
  <c r="B2659"/>
  <c r="C2659"/>
  <c r="E2659"/>
  <c r="F2659"/>
  <c r="A2660"/>
  <c r="B2660"/>
  <c r="C2660"/>
  <c r="E2660"/>
  <c r="F2660"/>
  <c r="A2661"/>
  <c r="B2661"/>
  <c r="C2661"/>
  <c r="E2661"/>
  <c r="F2661"/>
  <c r="A2662"/>
  <c r="B2662"/>
  <c r="C2662"/>
  <c r="E2662"/>
  <c r="F2662"/>
  <c r="A2663"/>
  <c r="B2663"/>
  <c r="C2663"/>
  <c r="E2663"/>
  <c r="F2663"/>
  <c r="C2664"/>
  <c r="E2664"/>
  <c r="F2664"/>
  <c r="A2665"/>
  <c r="B2665"/>
  <c r="C2665"/>
  <c r="E2665"/>
  <c r="F2665"/>
  <c r="A2666"/>
  <c r="B2666"/>
  <c r="C2666"/>
  <c r="E2666"/>
  <c r="F2666"/>
  <c r="A2667"/>
  <c r="B2667"/>
  <c r="C2667"/>
  <c r="E2667"/>
  <c r="F2667"/>
  <c r="A2668"/>
  <c r="B2668"/>
  <c r="C2668"/>
  <c r="E2668"/>
  <c r="F2668"/>
  <c r="A2669"/>
  <c r="B2669"/>
  <c r="C2669"/>
  <c r="E2669"/>
  <c r="F2669"/>
  <c r="A2670"/>
  <c r="B2670"/>
  <c r="C2670"/>
  <c r="E2670"/>
  <c r="F2670"/>
  <c r="A2671"/>
  <c r="B2671"/>
  <c r="C2671"/>
  <c r="E2671"/>
  <c r="F2671"/>
  <c r="A2672"/>
  <c r="B2672"/>
  <c r="C2672"/>
  <c r="E2672"/>
  <c r="F2672"/>
  <c r="A2673"/>
  <c r="B2673"/>
  <c r="C2673"/>
  <c r="E2673"/>
  <c r="F2673"/>
  <c r="A2674"/>
  <c r="B2674"/>
  <c r="C2674"/>
  <c r="E2674"/>
  <c r="F2674"/>
  <c r="A2675"/>
  <c r="B2675"/>
  <c r="C2675"/>
  <c r="E2675"/>
  <c r="F2675"/>
  <c r="A2676"/>
  <c r="B2676"/>
  <c r="C2676"/>
  <c r="E2676"/>
  <c r="F2676"/>
  <c r="A2677"/>
  <c r="B2677"/>
  <c r="C2677"/>
  <c r="E2677"/>
  <c r="F2677"/>
  <c r="A2678"/>
  <c r="B2678"/>
  <c r="C2678"/>
  <c r="E2678"/>
  <c r="F2678"/>
  <c r="C2679"/>
  <c r="E2679"/>
  <c r="F2679"/>
  <c r="A2680"/>
  <c r="B2680"/>
  <c r="C2680"/>
  <c r="E2680"/>
  <c r="F2680"/>
  <c r="C2681"/>
  <c r="E2681"/>
  <c r="F2681"/>
  <c r="A2682"/>
  <c r="B2682"/>
  <c r="C2682"/>
  <c r="E2682"/>
  <c r="F2682"/>
  <c r="A1" i="6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C177"/>
  <c r="E177"/>
  <c r="F177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C195"/>
  <c r="E195"/>
  <c r="F195"/>
  <c r="C196"/>
  <c r="E196"/>
  <c r="F196"/>
  <c r="C197"/>
  <c r="E197"/>
  <c r="F197"/>
  <c r="C198"/>
  <c r="E198"/>
  <c r="F198"/>
  <c r="C199"/>
  <c r="E199"/>
  <c r="F199"/>
  <c r="C200"/>
  <c r="E200"/>
  <c r="F200"/>
  <c r="C201"/>
  <c r="E201"/>
  <c r="F201"/>
  <c r="C202"/>
  <c r="E202"/>
  <c r="F202"/>
  <c r="C203"/>
  <c r="E203"/>
  <c r="F203"/>
  <c r="C204"/>
  <c r="E204"/>
  <c r="F204"/>
  <c r="C205"/>
  <c r="E205"/>
  <c r="F205"/>
  <c r="C206"/>
  <c r="E206"/>
  <c r="F206"/>
  <c r="C207"/>
  <c r="E207"/>
  <c r="F207"/>
  <c r="C208"/>
  <c r="E208"/>
  <c r="F208"/>
  <c r="C209"/>
  <c r="E209"/>
  <c r="F209"/>
  <c r="C210"/>
  <c r="E210"/>
  <c r="F210"/>
  <c r="C211"/>
  <c r="E211"/>
  <c r="F211"/>
  <c r="C212"/>
  <c r="E212"/>
  <c r="F212"/>
  <c r="C213"/>
  <c r="E213"/>
  <c r="F213"/>
  <c r="C214"/>
  <c r="E214"/>
  <c r="F214"/>
  <c r="C215"/>
  <c r="E215"/>
  <c r="F215"/>
  <c r="C216"/>
  <c r="E216"/>
  <c r="F216"/>
  <c r="C217"/>
  <c r="E217"/>
  <c r="F217"/>
  <c r="A218"/>
  <c r="B218"/>
  <c r="C218"/>
  <c r="E218"/>
  <c r="F218"/>
  <c r="C219"/>
  <c r="E219"/>
  <c r="F219"/>
  <c r="C220"/>
  <c r="E220"/>
  <c r="F220"/>
  <c r="C221"/>
  <c r="E221"/>
  <c r="F221"/>
  <c r="C222"/>
  <c r="E222"/>
  <c r="F222"/>
  <c r="C223"/>
  <c r="E223"/>
  <c r="F223"/>
  <c r="C224"/>
  <c r="E224"/>
  <c r="F224"/>
  <c r="C225"/>
  <c r="E225"/>
  <c r="F225"/>
  <c r="C226"/>
  <c r="E226"/>
  <c r="F226"/>
  <c r="C227"/>
  <c r="E227"/>
  <c r="F227"/>
  <c r="C228"/>
  <c r="E228"/>
  <c r="F228"/>
  <c r="C229"/>
  <c r="E229"/>
  <c r="F229"/>
  <c r="C230"/>
  <c r="E230"/>
  <c r="F230"/>
  <c r="C231"/>
  <c r="E231"/>
  <c r="F231"/>
  <c r="C232"/>
  <c r="E232"/>
  <c r="F232"/>
  <c r="C233"/>
  <c r="E233"/>
  <c r="F233"/>
  <c r="C234"/>
  <c r="E234"/>
  <c r="F234"/>
  <c r="C235"/>
  <c r="E235"/>
  <c r="F235"/>
  <c r="C236"/>
  <c r="E236"/>
  <c r="F236"/>
  <c r="C237"/>
  <c r="E237"/>
  <c r="F237"/>
  <c r="C238"/>
  <c r="E238"/>
  <c r="F238"/>
  <c r="C239"/>
  <c r="E239"/>
  <c r="F239"/>
  <c r="C240"/>
  <c r="E240"/>
  <c r="F240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C245"/>
  <c r="E245"/>
  <c r="F245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C250"/>
  <c r="E250"/>
  <c r="F250"/>
  <c r="C251"/>
  <c r="E251"/>
  <c r="F251"/>
  <c r="C252"/>
  <c r="E252"/>
  <c r="F252"/>
  <c r="C253"/>
  <c r="E253"/>
  <c r="F253"/>
  <c r="C254"/>
  <c r="E254"/>
  <c r="F254"/>
  <c r="C255"/>
  <c r="E255"/>
  <c r="F255"/>
  <c r="C256"/>
  <c r="E256"/>
  <c r="F256"/>
  <c r="C257"/>
  <c r="E257"/>
  <c r="F257"/>
  <c r="C258"/>
  <c r="E258"/>
  <c r="F258"/>
  <c r="A259"/>
  <c r="B259"/>
  <c r="C259"/>
  <c r="E259"/>
  <c r="F259"/>
  <c r="C260"/>
  <c r="E260"/>
  <c r="F260"/>
  <c r="C261"/>
  <c r="E261"/>
  <c r="F261"/>
  <c r="C262"/>
  <c r="E262"/>
  <c r="F262"/>
  <c r="C263"/>
  <c r="E263"/>
  <c r="F263"/>
  <c r="A264"/>
  <c r="B264"/>
  <c r="C264"/>
  <c r="E264"/>
  <c r="F264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C301"/>
  <c r="E301"/>
  <c r="F301"/>
  <c r="C302"/>
  <c r="E302"/>
  <c r="F302"/>
  <c r="C303"/>
  <c r="E303"/>
  <c r="F303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C324"/>
  <c r="E324"/>
  <c r="F324"/>
  <c r="C325"/>
  <c r="E325"/>
  <c r="F325"/>
  <c r="C326"/>
  <c r="E326"/>
  <c r="F326"/>
  <c r="C327"/>
  <c r="E327"/>
  <c r="F327"/>
  <c r="C328"/>
  <c r="E328"/>
  <c r="F328"/>
  <c r="C329"/>
  <c r="E329"/>
  <c r="F329"/>
  <c r="C330"/>
  <c r="E330"/>
  <c r="F330"/>
  <c r="C331"/>
  <c r="E331"/>
  <c r="F331"/>
  <c r="C332"/>
  <c r="E332"/>
  <c r="F332"/>
  <c r="C333"/>
  <c r="E333"/>
  <c r="F333"/>
  <c r="C334"/>
  <c r="E334"/>
  <c r="F334"/>
  <c r="C335"/>
  <c r="E335"/>
  <c r="F335"/>
  <c r="C336"/>
  <c r="E336"/>
  <c r="F336"/>
  <c r="C337"/>
  <c r="E337"/>
  <c r="F337"/>
  <c r="C338"/>
  <c r="E338"/>
  <c r="F338"/>
  <c r="C339"/>
  <c r="E339"/>
  <c r="F339"/>
  <c r="C340"/>
  <c r="E340"/>
  <c r="F340"/>
  <c r="C341"/>
  <c r="E341"/>
  <c r="F341"/>
  <c r="A342"/>
  <c r="B342"/>
  <c r="C342"/>
  <c r="E342"/>
  <c r="F342"/>
  <c r="C343"/>
  <c r="E343"/>
  <c r="F343"/>
  <c r="C344"/>
  <c r="E344"/>
  <c r="F344"/>
  <c r="C345"/>
  <c r="E345"/>
  <c r="F345"/>
  <c r="C346"/>
  <c r="E346"/>
  <c r="F346"/>
  <c r="C347"/>
  <c r="E347"/>
  <c r="F347"/>
  <c r="C348"/>
  <c r="E348"/>
  <c r="F348"/>
  <c r="C349"/>
  <c r="E349"/>
  <c r="F349"/>
  <c r="C350"/>
  <c r="E350"/>
  <c r="F350"/>
  <c r="C351"/>
  <c r="E351"/>
  <c r="F351"/>
  <c r="C352"/>
  <c r="E352"/>
  <c r="F352"/>
  <c r="C353"/>
  <c r="E353"/>
  <c r="F353"/>
  <c r="C354"/>
  <c r="E354"/>
  <c r="F354"/>
  <c r="C355"/>
  <c r="E355"/>
  <c r="F355"/>
  <c r="C356"/>
  <c r="E356"/>
  <c r="F356"/>
  <c r="C357"/>
  <c r="E357"/>
  <c r="F357"/>
  <c r="C358"/>
  <c r="E358"/>
  <c r="F358"/>
  <c r="C359"/>
  <c r="E359"/>
  <c r="F359"/>
  <c r="C360"/>
  <c r="E360"/>
  <c r="F360"/>
  <c r="A361"/>
  <c r="B361"/>
  <c r="C361"/>
  <c r="E361"/>
  <c r="F361"/>
  <c r="C362"/>
  <c r="E362"/>
  <c r="F362"/>
  <c r="C363"/>
  <c r="E363"/>
  <c r="F363"/>
  <c r="C364"/>
  <c r="E364"/>
  <c r="F364"/>
  <c r="C365"/>
  <c r="E365"/>
  <c r="F365"/>
  <c r="C366"/>
  <c r="E366"/>
  <c r="F366"/>
  <c r="C367"/>
  <c r="E367"/>
  <c r="F367"/>
  <c r="C368"/>
  <c r="E368"/>
  <c r="F368"/>
  <c r="C369"/>
  <c r="E369"/>
  <c r="F369"/>
  <c r="C370"/>
  <c r="E370"/>
  <c r="F370"/>
  <c r="C371"/>
  <c r="E371"/>
  <c r="F371"/>
  <c r="C372"/>
  <c r="E372"/>
  <c r="F372"/>
  <c r="C373"/>
  <c r="E373"/>
  <c r="F373"/>
  <c r="C374"/>
  <c r="E374"/>
  <c r="F374"/>
  <c r="C375"/>
  <c r="E375"/>
  <c r="F375"/>
  <c r="C376"/>
  <c r="E376"/>
  <c r="F376"/>
  <c r="C377"/>
  <c r="E377"/>
  <c r="F377"/>
  <c r="C378"/>
  <c r="E378"/>
  <c r="F378"/>
  <c r="C379"/>
  <c r="E379"/>
  <c r="F379"/>
  <c r="A380"/>
  <c r="B380"/>
  <c r="C380"/>
  <c r="E380"/>
  <c r="F380"/>
  <c r="C381"/>
  <c r="E381"/>
  <c r="F381"/>
  <c r="C382"/>
  <c r="E382"/>
  <c r="F382"/>
  <c r="C383"/>
  <c r="E383"/>
  <c r="F383"/>
  <c r="C384"/>
  <c r="E384"/>
  <c r="F384"/>
  <c r="C385"/>
  <c r="E385"/>
  <c r="F385"/>
  <c r="C386"/>
  <c r="E386"/>
  <c r="F386"/>
  <c r="C387"/>
  <c r="E387"/>
  <c r="F387"/>
  <c r="C388"/>
  <c r="E388"/>
  <c r="F388"/>
  <c r="C389"/>
  <c r="E389"/>
  <c r="F389"/>
  <c r="C390"/>
  <c r="E390"/>
  <c r="F390"/>
  <c r="C391"/>
  <c r="E391"/>
  <c r="F391"/>
  <c r="C392"/>
  <c r="E392"/>
  <c r="F392"/>
  <c r="C393"/>
  <c r="E393"/>
  <c r="F393"/>
  <c r="C394"/>
  <c r="E394"/>
  <c r="F394"/>
  <c r="C395"/>
  <c r="E395"/>
  <c r="F395"/>
  <c r="C396"/>
  <c r="E396"/>
  <c r="F396"/>
  <c r="C397"/>
  <c r="E397"/>
  <c r="F397"/>
  <c r="C398"/>
  <c r="E398"/>
  <c r="F398"/>
  <c r="A399"/>
  <c r="B399"/>
  <c r="C399"/>
  <c r="E399"/>
  <c r="F399"/>
  <c r="C400"/>
  <c r="E400"/>
  <c r="F400"/>
  <c r="C401"/>
  <c r="E401"/>
  <c r="F401"/>
  <c r="C402"/>
  <c r="E402"/>
  <c r="F402"/>
  <c r="C403"/>
  <c r="E403"/>
  <c r="F403"/>
  <c r="C404"/>
  <c r="E404"/>
  <c r="F404"/>
  <c r="C405"/>
  <c r="E405"/>
  <c r="F405"/>
  <c r="C406"/>
  <c r="E406"/>
  <c r="F406"/>
  <c r="C407"/>
  <c r="E407"/>
  <c r="F407"/>
  <c r="C408"/>
  <c r="E408"/>
  <c r="F408"/>
  <c r="C409"/>
  <c r="E409"/>
  <c r="F409"/>
  <c r="C410"/>
  <c r="E410"/>
  <c r="F410"/>
  <c r="C411"/>
  <c r="E411"/>
  <c r="F411"/>
  <c r="C412"/>
  <c r="E412"/>
  <c r="F412"/>
  <c r="C413"/>
  <c r="E413"/>
  <c r="F413"/>
  <c r="C414"/>
  <c r="E414"/>
  <c r="F414"/>
  <c r="C415"/>
  <c r="E415"/>
  <c r="F415"/>
  <c r="C416"/>
  <c r="E416"/>
  <c r="F416"/>
  <c r="C417"/>
  <c r="E417"/>
  <c r="F417"/>
  <c r="A418"/>
  <c r="B418"/>
  <c r="C418"/>
  <c r="E418"/>
  <c r="F418"/>
  <c r="C419"/>
  <c r="E419"/>
  <c r="F419"/>
  <c r="C420"/>
  <c r="E420"/>
  <c r="F420"/>
  <c r="C421"/>
  <c r="E421"/>
  <c r="F421"/>
  <c r="C422"/>
  <c r="E422"/>
  <c r="F422"/>
  <c r="C423"/>
  <c r="E423"/>
  <c r="F423"/>
  <c r="C424"/>
  <c r="E424"/>
  <c r="F424"/>
  <c r="C425"/>
  <c r="E425"/>
  <c r="F425"/>
  <c r="C426"/>
  <c r="E426"/>
  <c r="F426"/>
  <c r="C427"/>
  <c r="E427"/>
  <c r="F427"/>
  <c r="C428"/>
  <c r="E428"/>
  <c r="F428"/>
  <c r="C429"/>
  <c r="E429"/>
  <c r="F429"/>
  <c r="C430"/>
  <c r="E430"/>
  <c r="F430"/>
  <c r="C431"/>
  <c r="E431"/>
  <c r="F431"/>
  <c r="C432"/>
  <c r="E432"/>
  <c r="F432"/>
  <c r="C433"/>
  <c r="E433"/>
  <c r="F433"/>
  <c r="C434"/>
  <c r="E434"/>
  <c r="F434"/>
  <c r="C435"/>
  <c r="E435"/>
  <c r="F435"/>
  <c r="C436"/>
  <c r="E436"/>
  <c r="F436"/>
  <c r="A437"/>
  <c r="B437"/>
  <c r="C437"/>
  <c r="E437"/>
  <c r="F437"/>
  <c r="C438"/>
  <c r="E438"/>
  <c r="F438"/>
  <c r="C439"/>
  <c r="E439"/>
  <c r="F439"/>
  <c r="C440"/>
  <c r="E440"/>
  <c r="F440"/>
  <c r="C441"/>
  <c r="E441"/>
  <c r="F441"/>
  <c r="C442"/>
  <c r="E442"/>
  <c r="F442"/>
  <c r="C443"/>
  <c r="E443"/>
  <c r="F443"/>
  <c r="C444"/>
  <c r="E444"/>
  <c r="F444"/>
  <c r="C445"/>
  <c r="E445"/>
  <c r="F445"/>
  <c r="C446"/>
  <c r="E446"/>
  <c r="F446"/>
  <c r="C447"/>
  <c r="E447"/>
  <c r="F447"/>
  <c r="C448"/>
  <c r="E448"/>
  <c r="F448"/>
  <c r="C449"/>
  <c r="E449"/>
  <c r="F449"/>
  <c r="C450"/>
  <c r="E450"/>
  <c r="F450"/>
  <c r="C451"/>
  <c r="E451"/>
  <c r="F451"/>
  <c r="C452"/>
  <c r="E452"/>
  <c r="F452"/>
  <c r="C453"/>
  <c r="E453"/>
  <c r="F453"/>
  <c r="C454"/>
  <c r="E454"/>
  <c r="F454"/>
  <c r="C455"/>
  <c r="E455"/>
  <c r="F455"/>
  <c r="A456"/>
  <c r="B456"/>
  <c r="C456"/>
  <c r="E456"/>
  <c r="F456"/>
  <c r="C457"/>
  <c r="E457"/>
  <c r="F457"/>
  <c r="C458"/>
  <c r="E458"/>
  <c r="F458"/>
  <c r="C459"/>
  <c r="E459"/>
  <c r="F459"/>
  <c r="C460"/>
  <c r="E460"/>
  <c r="F460"/>
  <c r="C461"/>
  <c r="E461"/>
  <c r="F461"/>
  <c r="C462"/>
  <c r="E462"/>
  <c r="F462"/>
  <c r="C463"/>
  <c r="E463"/>
  <c r="F463"/>
  <c r="C464"/>
  <c r="E464"/>
  <c r="F464"/>
  <c r="C465"/>
  <c r="E465"/>
  <c r="F465"/>
  <c r="C466"/>
  <c r="E466"/>
  <c r="F466"/>
  <c r="C467"/>
  <c r="E467"/>
  <c r="F467"/>
  <c r="C468"/>
  <c r="E468"/>
  <c r="F468"/>
  <c r="C469"/>
  <c r="E469"/>
  <c r="F469"/>
  <c r="C470"/>
  <c r="E470"/>
  <c r="F470"/>
  <c r="C471"/>
  <c r="E471"/>
  <c r="F471"/>
  <c r="C472"/>
  <c r="E472"/>
  <c r="F472"/>
  <c r="C473"/>
  <c r="E473"/>
  <c r="F473"/>
  <c r="C474"/>
  <c r="E474"/>
  <c r="F474"/>
  <c r="A475"/>
  <c r="B475"/>
  <c r="C475"/>
  <c r="E475"/>
  <c r="F475"/>
  <c r="C476"/>
  <c r="E476"/>
  <c r="F476"/>
  <c r="C477"/>
  <c r="E477"/>
  <c r="F477"/>
  <c r="C478"/>
  <c r="E478"/>
  <c r="F478"/>
  <c r="C479"/>
  <c r="E479"/>
  <c r="F479"/>
  <c r="C480"/>
  <c r="E480"/>
  <c r="F480"/>
  <c r="C481"/>
  <c r="E481"/>
  <c r="F481"/>
  <c r="C482"/>
  <c r="E482"/>
  <c r="F482"/>
  <c r="C483"/>
  <c r="E483"/>
  <c r="F483"/>
  <c r="C484"/>
  <c r="E484"/>
  <c r="F484"/>
  <c r="C485"/>
  <c r="E485"/>
  <c r="F485"/>
  <c r="C486"/>
  <c r="E486"/>
  <c r="F486"/>
  <c r="C487"/>
  <c r="E487"/>
  <c r="F487"/>
  <c r="C488"/>
  <c r="E488"/>
  <c r="F488"/>
  <c r="C489"/>
  <c r="E489"/>
  <c r="F489"/>
  <c r="C490"/>
  <c r="E490"/>
  <c r="F490"/>
  <c r="C491"/>
  <c r="E491"/>
  <c r="F491"/>
  <c r="C492"/>
  <c r="E492"/>
  <c r="F492"/>
  <c r="C493"/>
  <c r="E493"/>
  <c r="F493"/>
  <c r="A494"/>
  <c r="B494"/>
  <c r="C494"/>
  <c r="E494"/>
  <c r="F494"/>
  <c r="C495"/>
  <c r="E495"/>
  <c r="F495"/>
  <c r="C496"/>
  <c r="E496"/>
  <c r="F496"/>
  <c r="C497"/>
  <c r="E497"/>
  <c r="F497"/>
  <c r="C498"/>
  <c r="E498"/>
  <c r="F498"/>
  <c r="C499"/>
  <c r="E499"/>
  <c r="F499"/>
  <c r="C500"/>
  <c r="E500"/>
  <c r="F500"/>
  <c r="C501"/>
  <c r="E501"/>
  <c r="F501"/>
  <c r="C502"/>
  <c r="E502"/>
  <c r="F502"/>
  <c r="C503"/>
  <c r="E503"/>
  <c r="F503"/>
  <c r="C504"/>
  <c r="E504"/>
  <c r="F504"/>
  <c r="C505"/>
  <c r="E505"/>
  <c r="F505"/>
  <c r="C506"/>
  <c r="E506"/>
  <c r="F506"/>
  <c r="C507"/>
  <c r="E507"/>
  <c r="F507"/>
  <c r="C508"/>
  <c r="E508"/>
  <c r="F508"/>
  <c r="C509"/>
  <c r="E509"/>
  <c r="F509"/>
  <c r="C510"/>
  <c r="E510"/>
  <c r="F510"/>
  <c r="C511"/>
  <c r="E511"/>
  <c r="F511"/>
  <c r="C512"/>
  <c r="E512"/>
  <c r="F512"/>
  <c r="A513"/>
  <c r="B513"/>
  <c r="C513"/>
  <c r="E513"/>
  <c r="F513"/>
  <c r="C514"/>
  <c r="E514"/>
  <c r="F514"/>
  <c r="C515"/>
  <c r="E515"/>
  <c r="F515"/>
  <c r="C516"/>
  <c r="E516"/>
  <c r="F516"/>
  <c r="C517"/>
  <c r="E517"/>
  <c r="F517"/>
  <c r="C518"/>
  <c r="E518"/>
  <c r="F518"/>
  <c r="C519"/>
  <c r="E519"/>
  <c r="F519"/>
  <c r="C520"/>
  <c r="E520"/>
  <c r="F520"/>
  <c r="C521"/>
  <c r="E521"/>
  <c r="F521"/>
  <c r="C522"/>
  <c r="E522"/>
  <c r="F522"/>
  <c r="C523"/>
  <c r="E523"/>
  <c r="F523"/>
  <c r="C524"/>
  <c r="E524"/>
  <c r="F524"/>
  <c r="C525"/>
  <c r="E525"/>
  <c r="F525"/>
  <c r="C526"/>
  <c r="E526"/>
  <c r="F526"/>
  <c r="C527"/>
  <c r="E527"/>
  <c r="F527"/>
  <c r="C528"/>
  <c r="E528"/>
  <c r="F528"/>
  <c r="C529"/>
  <c r="E529"/>
  <c r="F529"/>
  <c r="C530"/>
  <c r="E530"/>
  <c r="F530"/>
  <c r="C531"/>
  <c r="E531"/>
  <c r="F531"/>
  <c r="A532"/>
  <c r="B532"/>
  <c r="C532"/>
  <c r="E532"/>
  <c r="F532"/>
  <c r="C533"/>
  <c r="E533"/>
  <c r="F533"/>
  <c r="C534"/>
  <c r="E534"/>
  <c r="F534"/>
  <c r="C535"/>
  <c r="E535"/>
  <c r="F535"/>
  <c r="C536"/>
  <c r="E536"/>
  <c r="F536"/>
  <c r="C537"/>
  <c r="E537"/>
  <c r="F537"/>
  <c r="C538"/>
  <c r="E538"/>
  <c r="F538"/>
  <c r="C539"/>
  <c r="E539"/>
  <c r="F539"/>
  <c r="C540"/>
  <c r="E540"/>
  <c r="F540"/>
  <c r="C541"/>
  <c r="E541"/>
  <c r="F541"/>
  <c r="C542"/>
  <c r="E542"/>
  <c r="F542"/>
  <c r="C543"/>
  <c r="E543"/>
  <c r="F543"/>
  <c r="C544"/>
  <c r="E544"/>
  <c r="F544"/>
  <c r="C545"/>
  <c r="E545"/>
  <c r="F545"/>
  <c r="C546"/>
  <c r="E546"/>
  <c r="F546"/>
  <c r="C547"/>
  <c r="E547"/>
  <c r="F547"/>
  <c r="C548"/>
  <c r="E548"/>
  <c r="F548"/>
  <c r="C549"/>
  <c r="E549"/>
  <c r="F549"/>
  <c r="C550"/>
  <c r="E550"/>
  <c r="F550"/>
  <c r="A551"/>
  <c r="B551"/>
  <c r="C551"/>
  <c r="E551"/>
  <c r="F551"/>
  <c r="C552"/>
  <c r="E552"/>
  <c r="F552"/>
  <c r="C553"/>
  <c r="E553"/>
  <c r="F553"/>
  <c r="C554"/>
  <c r="E554"/>
  <c r="F554"/>
  <c r="C555"/>
  <c r="E555"/>
  <c r="F555"/>
  <c r="C556"/>
  <c r="E556"/>
  <c r="F556"/>
  <c r="C557"/>
  <c r="E557"/>
  <c r="F557"/>
  <c r="C558"/>
  <c r="E558"/>
  <c r="F558"/>
  <c r="C559"/>
  <c r="E559"/>
  <c r="F559"/>
  <c r="C560"/>
  <c r="E560"/>
  <c r="F560"/>
  <c r="C561"/>
  <c r="E561"/>
  <c r="F561"/>
  <c r="C562"/>
  <c r="E562"/>
  <c r="F562"/>
  <c r="C563"/>
  <c r="E563"/>
  <c r="F563"/>
  <c r="C564"/>
  <c r="E564"/>
  <c r="F564"/>
  <c r="C565"/>
  <c r="E565"/>
  <c r="F565"/>
  <c r="C566"/>
  <c r="E566"/>
  <c r="F566"/>
  <c r="C567"/>
  <c r="E567"/>
  <c r="F567"/>
  <c r="C568"/>
  <c r="E568"/>
  <c r="F568"/>
  <c r="C569"/>
  <c r="E569"/>
  <c r="F569"/>
  <c r="A570"/>
  <c r="B570"/>
  <c r="C570"/>
  <c r="E570"/>
  <c r="F570"/>
  <c r="C571"/>
  <c r="E571"/>
  <c r="F571"/>
  <c r="C572"/>
  <c r="E572"/>
  <c r="F572"/>
  <c r="C573"/>
  <c r="E573"/>
  <c r="F573"/>
  <c r="C574"/>
  <c r="E574"/>
  <c r="F574"/>
  <c r="C575"/>
  <c r="E575"/>
  <c r="F575"/>
  <c r="C576"/>
  <c r="E576"/>
  <c r="F576"/>
  <c r="C577"/>
  <c r="E577"/>
  <c r="F577"/>
  <c r="C578"/>
  <c r="E578"/>
  <c r="F578"/>
  <c r="C579"/>
  <c r="E579"/>
  <c r="F579"/>
  <c r="C580"/>
  <c r="E580"/>
  <c r="F580"/>
  <c r="C581"/>
  <c r="E581"/>
  <c r="F581"/>
  <c r="C582"/>
  <c r="E582"/>
  <c r="F582"/>
  <c r="C583"/>
  <c r="E583"/>
  <c r="F583"/>
  <c r="C584"/>
  <c r="E584"/>
  <c r="F584"/>
  <c r="C585"/>
  <c r="E585"/>
  <c r="F585"/>
  <c r="C586"/>
  <c r="E586"/>
  <c r="F586"/>
  <c r="C587"/>
  <c r="E587"/>
  <c r="F587"/>
  <c r="C588"/>
  <c r="E588"/>
  <c r="F588"/>
  <c r="A589"/>
  <c r="B589"/>
  <c r="C589"/>
  <c r="E589"/>
  <c r="F589"/>
  <c r="C590"/>
  <c r="E590"/>
  <c r="F590"/>
  <c r="C591"/>
  <c r="E591"/>
  <c r="F591"/>
  <c r="C592"/>
  <c r="E592"/>
  <c r="F592"/>
  <c r="C593"/>
  <c r="E593"/>
  <c r="F593"/>
  <c r="C594"/>
  <c r="E594"/>
  <c r="F594"/>
  <c r="C595"/>
  <c r="E595"/>
  <c r="F595"/>
  <c r="C596"/>
  <c r="E596"/>
  <c r="F596"/>
  <c r="C597"/>
  <c r="E597"/>
  <c r="F597"/>
  <c r="C598"/>
  <c r="E598"/>
  <c r="F598"/>
  <c r="C599"/>
  <c r="E599"/>
  <c r="F599"/>
  <c r="C600"/>
  <c r="E600"/>
  <c r="F600"/>
  <c r="C601"/>
  <c r="E601"/>
  <c r="F601"/>
  <c r="C602"/>
  <c r="E602"/>
  <c r="F602"/>
  <c r="C603"/>
  <c r="E603"/>
  <c r="F603"/>
  <c r="C604"/>
  <c r="E604"/>
  <c r="F604"/>
  <c r="C605"/>
  <c r="E605"/>
  <c r="F605"/>
  <c r="C606"/>
  <c r="E606"/>
  <c r="F606"/>
  <c r="C607"/>
  <c r="E607"/>
  <c r="F607"/>
  <c r="A608"/>
  <c r="B608"/>
  <c r="C608"/>
  <c r="E608"/>
  <c r="F608"/>
  <c r="C609"/>
  <c r="E609"/>
  <c r="F609"/>
  <c r="C610"/>
  <c r="E610"/>
  <c r="F610"/>
  <c r="C611"/>
  <c r="E611"/>
  <c r="F611"/>
  <c r="C612"/>
  <c r="E612"/>
  <c r="F612"/>
  <c r="C613"/>
  <c r="E613"/>
  <c r="F613"/>
  <c r="C614"/>
  <c r="E614"/>
  <c r="F614"/>
  <c r="C615"/>
  <c r="E615"/>
  <c r="F615"/>
  <c r="C616"/>
  <c r="E616"/>
  <c r="F616"/>
  <c r="C617"/>
  <c r="E617"/>
  <c r="F617"/>
  <c r="C618"/>
  <c r="E618"/>
  <c r="F618"/>
  <c r="C619"/>
  <c r="E619"/>
  <c r="F619"/>
  <c r="C620"/>
  <c r="E620"/>
  <c r="F620"/>
  <c r="C621"/>
  <c r="E621"/>
  <c r="F621"/>
  <c r="C622"/>
  <c r="E622"/>
  <c r="F622"/>
  <c r="C623"/>
  <c r="E623"/>
  <c r="F623"/>
  <c r="C624"/>
  <c r="E624"/>
  <c r="F624"/>
  <c r="C625"/>
  <c r="E625"/>
  <c r="F625"/>
  <c r="C626"/>
  <c r="E626"/>
  <c r="F626"/>
  <c r="A627"/>
  <c r="B627"/>
  <c r="C627"/>
  <c r="E627"/>
  <c r="F627"/>
  <c r="C628"/>
  <c r="E628"/>
  <c r="F628"/>
  <c r="C629"/>
  <c r="E629"/>
  <c r="F629"/>
  <c r="C630"/>
  <c r="E630"/>
  <c r="F630"/>
  <c r="C631"/>
  <c r="E631"/>
  <c r="F631"/>
  <c r="C632"/>
  <c r="E632"/>
  <c r="F632"/>
  <c r="C633"/>
  <c r="E633"/>
  <c r="F633"/>
  <c r="C634"/>
  <c r="E634"/>
  <c r="F634"/>
  <c r="C635"/>
  <c r="E635"/>
  <c r="F635"/>
  <c r="C636"/>
  <c r="E636"/>
  <c r="F636"/>
  <c r="C637"/>
  <c r="E637"/>
  <c r="F637"/>
  <c r="C638"/>
  <c r="E638"/>
  <c r="F638"/>
  <c r="C639"/>
  <c r="E639"/>
  <c r="F639"/>
  <c r="C640"/>
  <c r="E640"/>
  <c r="F640"/>
  <c r="C641"/>
  <c r="E641"/>
  <c r="F641"/>
  <c r="C642"/>
  <c r="E642"/>
  <c r="F642"/>
  <c r="C643"/>
  <c r="E643"/>
  <c r="F643"/>
  <c r="C644"/>
  <c r="E644"/>
  <c r="F644"/>
  <c r="C645"/>
  <c r="E645"/>
  <c r="F645"/>
  <c r="A646"/>
  <c r="B646"/>
  <c r="C646"/>
  <c r="E646"/>
  <c r="F646"/>
  <c r="C647"/>
  <c r="E647"/>
  <c r="F647"/>
  <c r="C648"/>
  <c r="E648"/>
  <c r="F648"/>
  <c r="C649"/>
  <c r="E649"/>
  <c r="F649"/>
  <c r="C650"/>
  <c r="E650"/>
  <c r="F650"/>
  <c r="C651"/>
  <c r="E651"/>
  <c r="F651"/>
  <c r="C652"/>
  <c r="E652"/>
  <c r="F652"/>
  <c r="C653"/>
  <c r="E653"/>
  <c r="F653"/>
  <c r="C654"/>
  <c r="E654"/>
  <c r="F654"/>
  <c r="C655"/>
  <c r="E655"/>
  <c r="F655"/>
  <c r="C656"/>
  <c r="E656"/>
  <c r="F656"/>
  <c r="C657"/>
  <c r="E657"/>
  <c r="F657"/>
  <c r="C658"/>
  <c r="E658"/>
  <c r="F658"/>
  <c r="C659"/>
  <c r="E659"/>
  <c r="F659"/>
  <c r="C660"/>
  <c r="E660"/>
  <c r="F660"/>
  <c r="C661"/>
  <c r="E661"/>
  <c r="F661"/>
  <c r="C662"/>
  <c r="E662"/>
  <c r="F662"/>
  <c r="C663"/>
  <c r="E663"/>
  <c r="F663"/>
  <c r="C664"/>
  <c r="E664"/>
  <c r="F664"/>
  <c r="A665"/>
  <c r="B665"/>
  <c r="C665"/>
  <c r="E665"/>
  <c r="F665"/>
  <c r="C666"/>
  <c r="E666"/>
  <c r="F666"/>
  <c r="C667"/>
  <c r="E667"/>
  <c r="F667"/>
  <c r="C668"/>
  <c r="E668"/>
  <c r="F668"/>
  <c r="C669"/>
  <c r="E669"/>
  <c r="F669"/>
  <c r="C670"/>
  <c r="E670"/>
  <c r="F670"/>
  <c r="C671"/>
  <c r="E671"/>
  <c r="F671"/>
  <c r="C672"/>
  <c r="E672"/>
  <c r="F672"/>
  <c r="C673"/>
  <c r="E673"/>
  <c r="F673"/>
  <c r="C674"/>
  <c r="E674"/>
  <c r="F674"/>
  <c r="C675"/>
  <c r="E675"/>
  <c r="F675"/>
  <c r="C676"/>
  <c r="E676"/>
  <c r="F676"/>
  <c r="C677"/>
  <c r="E677"/>
  <c r="F677"/>
  <c r="C678"/>
  <c r="E678"/>
  <c r="F678"/>
  <c r="C679"/>
  <c r="E679"/>
  <c r="F679"/>
  <c r="C680"/>
  <c r="E680"/>
  <c r="F680"/>
  <c r="C681"/>
  <c r="E681"/>
  <c r="F681"/>
  <c r="C682"/>
  <c r="E682"/>
  <c r="F682"/>
  <c r="C683"/>
  <c r="E683"/>
  <c r="F683"/>
  <c r="A684"/>
  <c r="B684"/>
  <c r="C684"/>
  <c r="E684"/>
  <c r="F684"/>
  <c r="C685"/>
  <c r="E685"/>
  <c r="F685"/>
  <c r="C686"/>
  <c r="E686"/>
  <c r="F686"/>
  <c r="C687"/>
  <c r="E687"/>
  <c r="F687"/>
  <c r="C688"/>
  <c r="E688"/>
  <c r="F688"/>
  <c r="C689"/>
  <c r="E689"/>
  <c r="F689"/>
  <c r="C690"/>
  <c r="E690"/>
  <c r="F690"/>
  <c r="C691"/>
  <c r="E691"/>
  <c r="F691"/>
  <c r="C692"/>
  <c r="E692"/>
  <c r="F692"/>
  <c r="C693"/>
  <c r="E693"/>
  <c r="F693"/>
  <c r="C694"/>
  <c r="E694"/>
  <c r="F694"/>
  <c r="C695"/>
  <c r="E695"/>
  <c r="F695"/>
  <c r="C696"/>
  <c r="E696"/>
  <c r="F696"/>
  <c r="C697"/>
  <c r="E697"/>
  <c r="F697"/>
  <c r="C698"/>
  <c r="E698"/>
  <c r="F698"/>
  <c r="C699"/>
  <c r="E699"/>
  <c r="F699"/>
  <c r="C700"/>
  <c r="E700"/>
  <c r="F700"/>
  <c r="C701"/>
  <c r="E701"/>
  <c r="F701"/>
  <c r="C702"/>
  <c r="E702"/>
  <c r="F702"/>
  <c r="A703"/>
  <c r="B703"/>
  <c r="C703"/>
  <c r="E703"/>
  <c r="F703"/>
  <c r="C704"/>
  <c r="E704"/>
  <c r="F704"/>
  <c r="C705"/>
  <c r="E705"/>
  <c r="F705"/>
  <c r="C706"/>
  <c r="E706"/>
  <c r="F706"/>
  <c r="C707"/>
  <c r="E707"/>
  <c r="F707"/>
  <c r="C708"/>
  <c r="E708"/>
  <c r="F708"/>
  <c r="C709"/>
  <c r="E709"/>
  <c r="F709"/>
  <c r="C710"/>
  <c r="E710"/>
  <c r="F710"/>
  <c r="C711"/>
  <c r="E711"/>
  <c r="F711"/>
  <c r="C712"/>
  <c r="E712"/>
  <c r="F712"/>
  <c r="C713"/>
  <c r="E713"/>
  <c r="F713"/>
  <c r="C714"/>
  <c r="E714"/>
  <c r="F714"/>
  <c r="C715"/>
  <c r="E715"/>
  <c r="F715"/>
  <c r="C716"/>
  <c r="E716"/>
  <c r="F716"/>
  <c r="C717"/>
  <c r="E717"/>
  <c r="F717"/>
  <c r="C718"/>
  <c r="E718"/>
  <c r="F718"/>
  <c r="C719"/>
  <c r="E719"/>
  <c r="F719"/>
  <c r="C720"/>
  <c r="E720"/>
  <c r="F720"/>
  <c r="C721"/>
  <c r="E721"/>
  <c r="F721"/>
  <c r="A722"/>
  <c r="B722"/>
  <c r="C722"/>
  <c r="E722"/>
  <c r="F722"/>
  <c r="C723"/>
  <c r="E723"/>
  <c r="F723"/>
  <c r="C724"/>
  <c r="E724"/>
  <c r="F724"/>
  <c r="C725"/>
  <c r="E725"/>
  <c r="F725"/>
  <c r="C726"/>
  <c r="E726"/>
  <c r="F726"/>
  <c r="C727"/>
  <c r="E727"/>
  <c r="F727"/>
  <c r="C728"/>
  <c r="E728"/>
  <c r="F728"/>
  <c r="C729"/>
  <c r="E729"/>
  <c r="F729"/>
  <c r="C730"/>
  <c r="E730"/>
  <c r="F730"/>
  <c r="C731"/>
  <c r="E731"/>
  <c r="F731"/>
  <c r="C732"/>
  <c r="E732"/>
  <c r="F732"/>
  <c r="C733"/>
  <c r="E733"/>
  <c r="F733"/>
  <c r="C734"/>
  <c r="E734"/>
  <c r="F734"/>
  <c r="C735"/>
  <c r="E735"/>
  <c r="F735"/>
  <c r="C736"/>
  <c r="E736"/>
  <c r="F736"/>
  <c r="C737"/>
  <c r="E737"/>
  <c r="F737"/>
  <c r="C738"/>
  <c r="E738"/>
  <c r="F738"/>
  <c r="C739"/>
  <c r="E739"/>
  <c r="F739"/>
  <c r="C740"/>
  <c r="E740"/>
  <c r="F740"/>
  <c r="A741"/>
  <c r="B741"/>
  <c r="C741"/>
  <c r="E741"/>
  <c r="F741"/>
  <c r="C742"/>
  <c r="E742"/>
  <c r="F742"/>
  <c r="C743"/>
  <c r="E743"/>
  <c r="F743"/>
  <c r="C744"/>
  <c r="E744"/>
  <c r="F744"/>
  <c r="C745"/>
  <c r="E745"/>
  <c r="F745"/>
  <c r="C746"/>
  <c r="E746"/>
  <c r="F746"/>
  <c r="C747"/>
  <c r="E747"/>
  <c r="F747"/>
  <c r="C748"/>
  <c r="E748"/>
  <c r="F748"/>
  <c r="C749"/>
  <c r="E749"/>
  <c r="F749"/>
  <c r="C750"/>
  <c r="E750"/>
  <c r="F750"/>
  <c r="C751"/>
  <c r="E751"/>
  <c r="F751"/>
  <c r="C752"/>
  <c r="E752"/>
  <c r="F752"/>
  <c r="C753"/>
  <c r="E753"/>
  <c r="F753"/>
  <c r="C754"/>
  <c r="E754"/>
  <c r="F754"/>
  <c r="C755"/>
  <c r="E755"/>
  <c r="F755"/>
  <c r="C756"/>
  <c r="E756"/>
  <c r="F756"/>
  <c r="C757"/>
  <c r="E757"/>
  <c r="F757"/>
  <c r="C758"/>
  <c r="E758"/>
  <c r="F758"/>
  <c r="C759"/>
  <c r="E759"/>
  <c r="F759"/>
  <c r="A760"/>
  <c r="B760"/>
  <c r="C760"/>
  <c r="E760"/>
  <c r="F760"/>
  <c r="A761"/>
  <c r="B761"/>
  <c r="C761"/>
  <c r="E761"/>
  <c r="F761"/>
  <c r="A762"/>
  <c r="B762"/>
  <c r="C762"/>
  <c r="E762"/>
  <c r="F762"/>
  <c r="A763"/>
  <c r="B763"/>
  <c r="C763"/>
  <c r="E763"/>
  <c r="F763"/>
  <c r="A764"/>
  <c r="B764"/>
  <c r="C764"/>
  <c r="E764"/>
  <c r="F764"/>
  <c r="A765"/>
  <c r="B765"/>
  <c r="C765"/>
  <c r="E765"/>
  <c r="F765"/>
  <c r="A766"/>
  <c r="B766"/>
  <c r="C766"/>
  <c r="E766"/>
  <c r="F766"/>
  <c r="A767"/>
  <c r="B767"/>
  <c r="C767"/>
  <c r="E767"/>
  <c r="F767"/>
  <c r="A768"/>
  <c r="B768"/>
  <c r="C768"/>
  <c r="E768"/>
  <c r="F768"/>
  <c r="A769"/>
  <c r="B769"/>
  <c r="C769"/>
  <c r="E769"/>
  <c r="F769"/>
  <c r="A770"/>
  <c r="B770"/>
  <c r="C770"/>
  <c r="E770"/>
  <c r="F770"/>
  <c r="A771"/>
  <c r="B771"/>
  <c r="C771"/>
  <c r="E771"/>
  <c r="F771"/>
  <c r="A772"/>
  <c r="B772"/>
  <c r="C772"/>
  <c r="E772"/>
  <c r="F772"/>
  <c r="A773"/>
  <c r="B773"/>
  <c r="C773"/>
  <c r="E773"/>
  <c r="F773"/>
  <c r="A774"/>
  <c r="B774"/>
  <c r="C774"/>
  <c r="E774"/>
  <c r="F774"/>
  <c r="A775"/>
  <c r="B775"/>
  <c r="C775"/>
  <c r="E775"/>
  <c r="F775"/>
  <c r="A776"/>
  <c r="B776"/>
  <c r="C776"/>
  <c r="E776"/>
  <c r="F776"/>
  <c r="A777"/>
  <c r="B777"/>
  <c r="C777"/>
  <c r="E777"/>
  <c r="F777"/>
  <c r="A778"/>
  <c r="B778"/>
  <c r="C778"/>
  <c r="E778"/>
  <c r="F778"/>
  <c r="A779"/>
  <c r="B779"/>
  <c r="C779"/>
  <c r="E779"/>
  <c r="F779"/>
  <c r="A780"/>
  <c r="B780"/>
  <c r="C780"/>
  <c r="E780"/>
  <c r="F780"/>
  <c r="A781"/>
  <c r="B781"/>
  <c r="C781"/>
  <c r="E781"/>
  <c r="F781"/>
  <c r="A782"/>
  <c r="B782"/>
  <c r="C782"/>
  <c r="E782"/>
  <c r="F782"/>
  <c r="A783"/>
  <c r="B783"/>
  <c r="C783"/>
  <c r="E783"/>
  <c r="F783"/>
  <c r="A784"/>
  <c r="B784"/>
  <c r="C784"/>
  <c r="E784"/>
  <c r="F784"/>
  <c r="A785"/>
  <c r="B785"/>
  <c r="C785"/>
  <c r="E785"/>
  <c r="F785"/>
  <c r="A786"/>
  <c r="B786"/>
  <c r="C786"/>
  <c r="E786"/>
  <c r="F786"/>
  <c r="A787"/>
  <c r="B787"/>
  <c r="C787"/>
  <c r="E787"/>
  <c r="F787"/>
  <c r="A788"/>
  <c r="B788"/>
  <c r="C788"/>
  <c r="E788"/>
  <c r="F788"/>
  <c r="A789"/>
  <c r="B789"/>
  <c r="C789"/>
  <c r="E789"/>
  <c r="F789"/>
  <c r="A790"/>
  <c r="B790"/>
  <c r="C790"/>
  <c r="E790"/>
  <c r="F790"/>
  <c r="A791"/>
  <c r="B791"/>
  <c r="C791"/>
  <c r="E791"/>
  <c r="F791"/>
  <c r="A792"/>
  <c r="B792"/>
  <c r="C792"/>
  <c r="E792"/>
  <c r="F792"/>
  <c r="A793"/>
  <c r="B793"/>
  <c r="C793"/>
  <c r="E793"/>
  <c r="F793"/>
  <c r="A794"/>
  <c r="B794"/>
  <c r="C794"/>
  <c r="E794"/>
  <c r="F794"/>
  <c r="A795"/>
  <c r="B795"/>
  <c r="C795"/>
  <c r="E795"/>
  <c r="F795"/>
  <c r="A796"/>
  <c r="B796"/>
  <c r="C796"/>
  <c r="E796"/>
  <c r="F796"/>
  <c r="A797"/>
  <c r="B797"/>
  <c r="C797"/>
  <c r="E797"/>
  <c r="F797"/>
  <c r="A798"/>
  <c r="B798"/>
  <c r="C798"/>
  <c r="E798"/>
  <c r="F798"/>
  <c r="A799"/>
  <c r="B799"/>
  <c r="C799"/>
  <c r="E799"/>
  <c r="F799"/>
  <c r="A800"/>
  <c r="B800"/>
  <c r="C800"/>
  <c r="E800"/>
  <c r="F800"/>
  <c r="A801"/>
  <c r="B801"/>
  <c r="C801"/>
  <c r="E801"/>
  <c r="F801"/>
  <c r="A802"/>
  <c r="B802"/>
  <c r="C802"/>
  <c r="E802"/>
  <c r="F802"/>
  <c r="A803"/>
  <c r="B803"/>
  <c r="C803"/>
  <c r="E803"/>
  <c r="F803"/>
  <c r="A804"/>
  <c r="B804"/>
  <c r="C804"/>
  <c r="E804"/>
  <c r="F804"/>
  <c r="A805"/>
  <c r="B805"/>
  <c r="C805"/>
  <c r="E805"/>
  <c r="F805"/>
  <c r="A806"/>
  <c r="B806"/>
  <c r="C806"/>
  <c r="E806"/>
  <c r="F806"/>
  <c r="A807"/>
  <c r="B807"/>
  <c r="C807"/>
  <c r="E807"/>
  <c r="F807"/>
  <c r="A808"/>
  <c r="B808"/>
  <c r="C808"/>
  <c r="E808"/>
  <c r="F808"/>
  <c r="A809"/>
  <c r="B809"/>
  <c r="C809"/>
  <c r="E809"/>
  <c r="F809"/>
  <c r="A810"/>
  <c r="B810"/>
  <c r="C810"/>
  <c r="E810"/>
  <c r="F810"/>
  <c r="A811"/>
  <c r="B811"/>
  <c r="C811"/>
  <c r="E811"/>
  <c r="F811"/>
  <c r="A812"/>
  <c r="B812"/>
  <c r="C812"/>
  <c r="E812"/>
  <c r="F812"/>
  <c r="A813"/>
  <c r="B813"/>
  <c r="C813"/>
  <c r="E813"/>
  <c r="F813"/>
  <c r="A814"/>
  <c r="B814"/>
  <c r="C814"/>
  <c r="E814"/>
  <c r="F814"/>
  <c r="A815"/>
  <c r="B815"/>
  <c r="C815"/>
  <c r="E815"/>
  <c r="F815"/>
  <c r="A816"/>
  <c r="B816"/>
  <c r="C816"/>
  <c r="E816"/>
  <c r="F816"/>
  <c r="A817"/>
  <c r="B817"/>
  <c r="C817"/>
  <c r="E817"/>
  <c r="F817"/>
  <c r="A818"/>
  <c r="B818"/>
  <c r="C818"/>
  <c r="E818"/>
  <c r="F818"/>
  <c r="A819"/>
  <c r="B819"/>
  <c r="C819"/>
  <c r="E819"/>
  <c r="F819"/>
  <c r="A820"/>
  <c r="B820"/>
  <c r="C820"/>
  <c r="E820"/>
  <c r="F820"/>
  <c r="A821"/>
  <c r="B821"/>
  <c r="C821"/>
  <c r="E821"/>
  <c r="F821"/>
  <c r="A822"/>
  <c r="B822"/>
  <c r="C822"/>
  <c r="E822"/>
  <c r="F822"/>
  <c r="A823"/>
  <c r="B823"/>
  <c r="C823"/>
  <c r="E823"/>
  <c r="F823"/>
  <c r="A824"/>
  <c r="B824"/>
  <c r="C824"/>
  <c r="E824"/>
  <c r="F824"/>
  <c r="A825"/>
  <c r="B825"/>
  <c r="C825"/>
  <c r="E825"/>
  <c r="F825"/>
  <c r="A826"/>
  <c r="B826"/>
  <c r="C826"/>
  <c r="E826"/>
  <c r="F826"/>
  <c r="A827"/>
  <c r="B827"/>
  <c r="C827"/>
  <c r="E827"/>
  <c r="F827"/>
  <c r="A828"/>
  <c r="B828"/>
  <c r="C828"/>
  <c r="E828"/>
  <c r="F828"/>
  <c r="A829"/>
  <c r="B829"/>
  <c r="C829"/>
  <c r="E829"/>
  <c r="F829"/>
  <c r="A830"/>
  <c r="B830"/>
  <c r="C830"/>
  <c r="E830"/>
  <c r="F830"/>
  <c r="A831"/>
  <c r="B831"/>
  <c r="C831"/>
  <c r="E831"/>
  <c r="F831"/>
  <c r="A832"/>
  <c r="B832"/>
  <c r="C832"/>
  <c r="E832"/>
  <c r="F832"/>
  <c r="A833"/>
  <c r="B833"/>
  <c r="C833"/>
  <c r="E833"/>
  <c r="F833"/>
  <c r="A834"/>
  <c r="B834"/>
  <c r="C834"/>
  <c r="E834"/>
  <c r="F834"/>
  <c r="A835"/>
  <c r="B835"/>
  <c r="C835"/>
  <c r="E835"/>
  <c r="F835"/>
  <c r="A836"/>
  <c r="B836"/>
  <c r="C836"/>
  <c r="E836"/>
  <c r="F836"/>
  <c r="A837"/>
  <c r="B837"/>
  <c r="C837"/>
  <c r="E837"/>
  <c r="F837"/>
  <c r="A838"/>
  <c r="B838"/>
  <c r="C838"/>
  <c r="E838"/>
  <c r="F838"/>
  <c r="A839"/>
  <c r="B839"/>
  <c r="C839"/>
  <c r="E839"/>
  <c r="F839"/>
  <c r="A840"/>
  <c r="B840"/>
  <c r="C840"/>
  <c r="E840"/>
  <c r="F840"/>
  <c r="A841"/>
  <c r="B841"/>
  <c r="C841"/>
  <c r="E841"/>
  <c r="F841"/>
  <c r="A842"/>
  <c r="B842"/>
  <c r="C842"/>
  <c r="E842"/>
  <c r="F842"/>
  <c r="A843"/>
  <c r="B843"/>
  <c r="C843"/>
  <c r="E843"/>
  <c r="F843"/>
  <c r="A844"/>
  <c r="B844"/>
  <c r="C844"/>
  <c r="E844"/>
  <c r="F844"/>
  <c r="A845"/>
  <c r="B845"/>
  <c r="C845"/>
  <c r="E845"/>
  <c r="F845"/>
  <c r="A846"/>
  <c r="B846"/>
  <c r="C846"/>
  <c r="E846"/>
  <c r="F846"/>
  <c r="A847"/>
  <c r="B847"/>
  <c r="C847"/>
  <c r="E847"/>
  <c r="F847"/>
  <c r="A848"/>
  <c r="B848"/>
  <c r="C848"/>
  <c r="E848"/>
  <c r="F848"/>
  <c r="A849"/>
  <c r="B849"/>
  <c r="C849"/>
  <c r="E849"/>
  <c r="F849"/>
  <c r="A850"/>
  <c r="B850"/>
  <c r="C850"/>
  <c r="E850"/>
  <c r="F850"/>
  <c r="A851"/>
  <c r="B851"/>
  <c r="C851"/>
  <c r="E851"/>
  <c r="F851"/>
  <c r="A852"/>
  <c r="B852"/>
  <c r="C852"/>
  <c r="E852"/>
  <c r="F852"/>
  <c r="A853"/>
  <c r="B853"/>
  <c r="C853"/>
  <c r="E853"/>
  <c r="F853"/>
  <c r="A854"/>
  <c r="B854"/>
  <c r="C854"/>
  <c r="E854"/>
  <c r="F854"/>
  <c r="A855"/>
  <c r="B855"/>
  <c r="C855"/>
  <c r="E855"/>
  <c r="F855"/>
  <c r="A856"/>
  <c r="B856"/>
  <c r="C856"/>
  <c r="E856"/>
  <c r="F856"/>
  <c r="A857"/>
  <c r="B857"/>
  <c r="C857"/>
  <c r="E857"/>
  <c r="F857"/>
  <c r="A858"/>
  <c r="B858"/>
  <c r="C858"/>
  <c r="E858"/>
  <c r="F858"/>
  <c r="A859"/>
  <c r="B859"/>
  <c r="C859"/>
  <c r="E859"/>
  <c r="F859"/>
  <c r="A860"/>
  <c r="B860"/>
  <c r="C860"/>
  <c r="E860"/>
  <c r="F860"/>
  <c r="A861"/>
  <c r="B861"/>
  <c r="C861"/>
  <c r="E861"/>
  <c r="F861"/>
  <c r="A862"/>
  <c r="B862"/>
  <c r="C862"/>
  <c r="E862"/>
  <c r="F862"/>
  <c r="A863"/>
  <c r="B863"/>
  <c r="C863"/>
  <c r="E863"/>
  <c r="F863"/>
  <c r="A864"/>
  <c r="B864"/>
  <c r="C864"/>
  <c r="E864"/>
  <c r="F864"/>
  <c r="A865"/>
  <c r="B865"/>
  <c r="C865"/>
  <c r="E865"/>
  <c r="F865"/>
  <c r="A866"/>
  <c r="B866"/>
  <c r="C866"/>
  <c r="E866"/>
  <c r="F866"/>
  <c r="A867"/>
  <c r="B867"/>
  <c r="C867"/>
  <c r="E867"/>
  <c r="F867"/>
  <c r="A868"/>
  <c r="B868"/>
  <c r="C868"/>
  <c r="E868"/>
  <c r="F868"/>
  <c r="A869"/>
  <c r="B869"/>
  <c r="C869"/>
  <c r="E869"/>
  <c r="F869"/>
  <c r="A870"/>
  <c r="B870"/>
  <c r="C870"/>
  <c r="E870"/>
  <c r="F870"/>
  <c r="A871"/>
  <c r="B871"/>
  <c r="C871"/>
  <c r="E871"/>
  <c r="F871"/>
  <c r="A872"/>
  <c r="B872"/>
  <c r="C872"/>
  <c r="E872"/>
  <c r="F872"/>
  <c r="A873"/>
  <c r="B873"/>
  <c r="C873"/>
  <c r="E873"/>
  <c r="F873"/>
  <c r="A874"/>
  <c r="B874"/>
  <c r="C874"/>
  <c r="E874"/>
  <c r="F874"/>
  <c r="A875"/>
  <c r="B875"/>
  <c r="C875"/>
  <c r="E875"/>
  <c r="F875"/>
  <c r="A876"/>
  <c r="B876"/>
  <c r="C876"/>
  <c r="E876"/>
  <c r="F876"/>
  <c r="A877"/>
  <c r="B877"/>
  <c r="C877"/>
  <c r="E877"/>
  <c r="F877"/>
  <c r="A878"/>
  <c r="B878"/>
  <c r="C878"/>
  <c r="E878"/>
  <c r="F878"/>
  <c r="A879"/>
  <c r="B879"/>
  <c r="C879"/>
  <c r="E879"/>
  <c r="F879"/>
  <c r="A880"/>
  <c r="B880"/>
  <c r="C880"/>
  <c r="E880"/>
  <c r="F880"/>
  <c r="A881"/>
  <c r="B881"/>
  <c r="C881"/>
  <c r="E881"/>
  <c r="F881"/>
  <c r="A882"/>
  <c r="B882"/>
  <c r="C882"/>
  <c r="E882"/>
  <c r="F882"/>
  <c r="A883"/>
  <c r="B883"/>
  <c r="C883"/>
  <c r="E883"/>
  <c r="F883"/>
  <c r="A884"/>
  <c r="B884"/>
  <c r="C884"/>
  <c r="E884"/>
  <c r="F884"/>
  <c r="A885"/>
  <c r="B885"/>
  <c r="C885"/>
  <c r="E885"/>
  <c r="F885"/>
  <c r="A886"/>
  <c r="B886"/>
  <c r="C886"/>
  <c r="E886"/>
  <c r="F886"/>
  <c r="A887"/>
  <c r="B887"/>
  <c r="C887"/>
  <c r="E887"/>
  <c r="F887"/>
  <c r="A888"/>
  <c r="B888"/>
  <c r="C888"/>
  <c r="E888"/>
  <c r="F888"/>
  <c r="A889"/>
  <c r="B889"/>
  <c r="C889"/>
  <c r="E889"/>
  <c r="F889"/>
  <c r="A890"/>
  <c r="B890"/>
  <c r="C890"/>
  <c r="E890"/>
  <c r="F890"/>
  <c r="A891"/>
  <c r="B891"/>
  <c r="C891"/>
  <c r="E891"/>
  <c r="F891"/>
  <c r="A892"/>
  <c r="B892"/>
  <c r="C892"/>
  <c r="E892"/>
  <c r="F892"/>
  <c r="A893"/>
  <c r="B893"/>
  <c r="C893"/>
  <c r="E893"/>
  <c r="F893"/>
  <c r="A894"/>
  <c r="B894"/>
  <c r="C894"/>
  <c r="E894"/>
  <c r="F894"/>
  <c r="A895"/>
  <c r="B895"/>
  <c r="C895"/>
  <c r="E895"/>
  <c r="F895"/>
  <c r="A896"/>
  <c r="B896"/>
  <c r="C896"/>
  <c r="E896"/>
  <c r="F896"/>
  <c r="A897"/>
  <c r="B897"/>
  <c r="C897"/>
  <c r="E897"/>
  <c r="F897"/>
  <c r="A898"/>
  <c r="B898"/>
  <c r="C898"/>
  <c r="E898"/>
  <c r="F898"/>
  <c r="A899"/>
  <c r="B899"/>
  <c r="C899"/>
  <c r="E899"/>
  <c r="F899"/>
  <c r="A900"/>
  <c r="B900"/>
  <c r="C900"/>
  <c r="E900"/>
  <c r="F900"/>
  <c r="A901"/>
  <c r="B901"/>
  <c r="C901"/>
  <c r="E901"/>
  <c r="F901"/>
  <c r="A902"/>
  <c r="B902"/>
  <c r="C902"/>
  <c r="E902"/>
  <c r="F902"/>
  <c r="A903"/>
  <c r="B903"/>
  <c r="C903"/>
  <c r="E903"/>
  <c r="F903"/>
  <c r="A904"/>
  <c r="B904"/>
  <c r="C904"/>
  <c r="E904"/>
  <c r="F904"/>
  <c r="A905"/>
  <c r="B905"/>
  <c r="C905"/>
  <c r="E905"/>
  <c r="F905"/>
  <c r="A906"/>
  <c r="B906"/>
  <c r="C906"/>
  <c r="E906"/>
  <c r="F906"/>
  <c r="A907"/>
  <c r="B907"/>
  <c r="C907"/>
  <c r="E907"/>
  <c r="F907"/>
  <c r="A908"/>
  <c r="B908"/>
  <c r="C908"/>
  <c r="E908"/>
  <c r="F908"/>
  <c r="A909"/>
  <c r="B909"/>
  <c r="C909"/>
  <c r="E909"/>
  <c r="F909"/>
  <c r="A910"/>
  <c r="B910"/>
  <c r="C910"/>
  <c r="E910"/>
  <c r="F910"/>
  <c r="A911"/>
  <c r="B911"/>
  <c r="C911"/>
  <c r="E911"/>
  <c r="F911"/>
  <c r="A912"/>
  <c r="B912"/>
  <c r="C912"/>
  <c r="E912"/>
  <c r="F912"/>
  <c r="A913"/>
  <c r="B913"/>
  <c r="C913"/>
  <c r="E913"/>
  <c r="F913"/>
  <c r="A914"/>
  <c r="B914"/>
  <c r="C914"/>
  <c r="E914"/>
  <c r="F914"/>
  <c r="A915"/>
  <c r="B915"/>
  <c r="C915"/>
  <c r="E915"/>
  <c r="F915"/>
  <c r="A916"/>
  <c r="B916"/>
  <c r="C916"/>
  <c r="E916"/>
  <c r="F916"/>
  <c r="A917"/>
  <c r="B917"/>
  <c r="C917"/>
  <c r="E917"/>
  <c r="F917"/>
  <c r="A918"/>
  <c r="B918"/>
  <c r="C918"/>
  <c r="E918"/>
  <c r="F918"/>
  <c r="A919"/>
  <c r="B919"/>
  <c r="C919"/>
  <c r="E919"/>
  <c r="F919"/>
  <c r="A920"/>
  <c r="B920"/>
  <c r="C920"/>
  <c r="E920"/>
  <c r="F920"/>
  <c r="A921"/>
  <c r="B921"/>
  <c r="C921"/>
  <c r="E921"/>
  <c r="F921"/>
  <c r="A922"/>
  <c r="B922"/>
  <c r="C922"/>
  <c r="E922"/>
  <c r="F922"/>
  <c r="A923"/>
  <c r="B923"/>
  <c r="C923"/>
  <c r="E923"/>
  <c r="F923"/>
  <c r="A924"/>
  <c r="B924"/>
  <c r="C924"/>
  <c r="E924"/>
  <c r="F924"/>
  <c r="A925"/>
  <c r="B925"/>
  <c r="C925"/>
  <c r="E925"/>
  <c r="F925"/>
  <c r="A926"/>
  <c r="B926"/>
  <c r="C926"/>
  <c r="E926"/>
  <c r="F926"/>
  <c r="A927"/>
  <c r="B927"/>
  <c r="C927"/>
  <c r="E927"/>
  <c r="F927"/>
  <c r="A928"/>
  <c r="B928"/>
  <c r="C928"/>
  <c r="E928"/>
  <c r="F928"/>
  <c r="A929"/>
  <c r="B929"/>
  <c r="C929"/>
  <c r="E929"/>
  <c r="F929"/>
  <c r="A930"/>
  <c r="B930"/>
  <c r="C930"/>
  <c r="E930"/>
  <c r="F930"/>
  <c r="A931"/>
  <c r="B931"/>
  <c r="C931"/>
  <c r="E931"/>
  <c r="F931"/>
  <c r="A932"/>
  <c r="B932"/>
  <c r="C932"/>
  <c r="E932"/>
  <c r="F932"/>
  <c r="A933"/>
  <c r="B933"/>
  <c r="C933"/>
  <c r="E933"/>
  <c r="F933"/>
  <c r="A934"/>
  <c r="B934"/>
  <c r="C934"/>
  <c r="E934"/>
  <c r="F934"/>
  <c r="A935"/>
  <c r="B935"/>
  <c r="C935"/>
  <c r="E935"/>
  <c r="F935"/>
  <c r="A936"/>
  <c r="B936"/>
  <c r="C936"/>
  <c r="E936"/>
  <c r="F936"/>
  <c r="A937"/>
  <c r="B937"/>
  <c r="C937"/>
  <c r="E937"/>
  <c r="F937"/>
  <c r="A938"/>
  <c r="B938"/>
  <c r="C938"/>
  <c r="E938"/>
  <c r="F938"/>
  <c r="A939"/>
  <c r="B939"/>
  <c r="C939"/>
  <c r="E939"/>
  <c r="F939"/>
  <c r="A940"/>
  <c r="B940"/>
  <c r="C940"/>
  <c r="E940"/>
  <c r="F940"/>
  <c r="A941"/>
  <c r="B941"/>
  <c r="C941"/>
  <c r="E941"/>
  <c r="F941"/>
  <c r="A942"/>
  <c r="B942"/>
  <c r="C942"/>
  <c r="E942"/>
  <c r="F942"/>
  <c r="A943"/>
  <c r="B943"/>
  <c r="C943"/>
  <c r="E943"/>
  <c r="F943"/>
  <c r="A944"/>
  <c r="B944"/>
  <c r="C944"/>
  <c r="E944"/>
  <c r="F944"/>
  <c r="A945"/>
  <c r="B945"/>
  <c r="C945"/>
  <c r="E945"/>
  <c r="F945"/>
  <c r="A946"/>
  <c r="B946"/>
  <c r="C946"/>
  <c r="E946"/>
  <c r="F946"/>
  <c r="C947"/>
  <c r="E947"/>
  <c r="F947"/>
  <c r="A948"/>
  <c r="B948"/>
  <c r="C948"/>
  <c r="E948"/>
  <c r="F948"/>
  <c r="C949"/>
  <c r="E949"/>
  <c r="F949"/>
  <c r="A950"/>
  <c r="B950"/>
  <c r="C950"/>
  <c r="E950"/>
  <c r="F950"/>
  <c r="C951"/>
  <c r="E951"/>
  <c r="F951"/>
  <c r="A952"/>
  <c r="B952"/>
  <c r="C952"/>
  <c r="E952"/>
  <c r="F952"/>
  <c r="A953"/>
  <c r="B953"/>
  <c r="C953"/>
  <c r="E953"/>
  <c r="F953"/>
  <c r="A954"/>
  <c r="B954"/>
  <c r="C954"/>
  <c r="E954"/>
  <c r="F954"/>
  <c r="A955"/>
  <c r="B955"/>
  <c r="C955"/>
  <c r="E955"/>
  <c r="F955"/>
  <c r="A956"/>
  <c r="B956"/>
  <c r="C956"/>
  <c r="E956"/>
  <c r="F956"/>
  <c r="A957"/>
  <c r="B957"/>
  <c r="C957"/>
  <c r="E957"/>
  <c r="F957"/>
  <c r="A958"/>
  <c r="B958"/>
  <c r="C958"/>
  <c r="E958"/>
  <c r="F958"/>
  <c r="A959"/>
  <c r="B959"/>
  <c r="C959"/>
  <c r="E959"/>
  <c r="F959"/>
  <c r="A960"/>
  <c r="B960"/>
  <c r="C960"/>
  <c r="E960"/>
  <c r="F960"/>
  <c r="A961"/>
  <c r="B961"/>
  <c r="C961"/>
  <c r="E961"/>
  <c r="F961"/>
  <c r="A962"/>
  <c r="B962"/>
  <c r="C962"/>
  <c r="E962"/>
  <c r="F962"/>
  <c r="A963"/>
  <c r="B963"/>
  <c r="C963"/>
  <c r="E963"/>
  <c r="F963"/>
  <c r="A964"/>
  <c r="B964"/>
  <c r="C964"/>
  <c r="E964"/>
  <c r="F964"/>
  <c r="A965"/>
  <c r="B965"/>
  <c r="C965"/>
  <c r="E965"/>
  <c r="F965"/>
  <c r="A966"/>
  <c r="B966"/>
  <c r="C966"/>
  <c r="E966"/>
  <c r="F966"/>
  <c r="A967"/>
  <c r="B967"/>
  <c r="C967"/>
  <c r="E967"/>
  <c r="F967"/>
  <c r="A968"/>
  <c r="B968"/>
  <c r="C968"/>
  <c r="E968"/>
  <c r="F968"/>
  <c r="A969"/>
  <c r="B969"/>
  <c r="C969"/>
  <c r="E969"/>
  <c r="F969"/>
  <c r="A970"/>
  <c r="B970"/>
  <c r="C970"/>
  <c r="E970"/>
  <c r="F970"/>
  <c r="A971"/>
  <c r="B971"/>
  <c r="C971"/>
  <c r="E971"/>
  <c r="F971"/>
  <c r="A972"/>
  <c r="B972"/>
  <c r="C972"/>
  <c r="E972"/>
  <c r="F972"/>
  <c r="A973"/>
  <c r="B973"/>
  <c r="C973"/>
  <c r="E973"/>
  <c r="F973"/>
  <c r="C974"/>
  <c r="E974"/>
  <c r="F974"/>
  <c r="A975"/>
  <c r="B975"/>
  <c r="C975"/>
  <c r="E975"/>
  <c r="F975"/>
  <c r="A976"/>
  <c r="B976"/>
  <c r="C976"/>
  <c r="E976"/>
  <c r="F976"/>
  <c r="C977"/>
  <c r="E977"/>
  <c r="F977"/>
  <c r="A978"/>
  <c r="B978"/>
  <c r="C978"/>
  <c r="E978"/>
  <c r="F978"/>
  <c r="C979"/>
  <c r="E979"/>
  <c r="F979"/>
  <c r="A980"/>
  <c r="B980"/>
  <c r="C980"/>
  <c r="E980"/>
  <c r="F980"/>
  <c r="A981"/>
  <c r="B981"/>
  <c r="C981"/>
  <c r="E981"/>
  <c r="F981"/>
  <c r="A982"/>
  <c r="B982"/>
  <c r="C982"/>
  <c r="E982"/>
  <c r="F982"/>
  <c r="A983"/>
  <c r="B983"/>
  <c r="C983"/>
  <c r="E983"/>
  <c r="F983"/>
  <c r="A984"/>
  <c r="B984"/>
  <c r="C984"/>
  <c r="E984"/>
  <c r="F984"/>
  <c r="A985"/>
  <c r="B985"/>
  <c r="C985"/>
  <c r="E985"/>
  <c r="F985"/>
  <c r="A986"/>
  <c r="B986"/>
  <c r="C986"/>
  <c r="E986"/>
  <c r="F986"/>
  <c r="A987"/>
  <c r="B987"/>
  <c r="C987"/>
  <c r="E987"/>
  <c r="F987"/>
  <c r="A988"/>
  <c r="B988"/>
  <c r="C988"/>
  <c r="E988"/>
  <c r="F988"/>
  <c r="A989"/>
  <c r="B989"/>
  <c r="C989"/>
  <c r="E989"/>
  <c r="F989"/>
  <c r="A990"/>
  <c r="B990"/>
  <c r="C990"/>
  <c r="E990"/>
  <c r="F990"/>
  <c r="A991"/>
  <c r="B991"/>
  <c r="C991"/>
  <c r="E991"/>
  <c r="F991"/>
  <c r="A992"/>
  <c r="B992"/>
  <c r="C992"/>
  <c r="E992"/>
  <c r="F992"/>
  <c r="A993"/>
  <c r="B993"/>
  <c r="C993"/>
  <c r="E993"/>
  <c r="F993"/>
  <c r="A994"/>
  <c r="B994"/>
  <c r="C994"/>
  <c r="E994"/>
  <c r="F994"/>
  <c r="A995"/>
  <c r="B995"/>
  <c r="C995"/>
  <c r="E995"/>
  <c r="F995"/>
  <c r="A996"/>
  <c r="B996"/>
  <c r="C996"/>
  <c r="E996"/>
  <c r="F996"/>
  <c r="A997"/>
  <c r="B997"/>
  <c r="C997"/>
  <c r="E997"/>
  <c r="F997"/>
  <c r="A998"/>
  <c r="B998"/>
  <c r="C998"/>
  <c r="E998"/>
  <c r="F998"/>
  <c r="A999"/>
  <c r="B999"/>
  <c r="C999"/>
  <c r="E999"/>
  <c r="F999"/>
  <c r="A1000"/>
  <c r="B1000"/>
  <c r="C1000"/>
  <c r="E1000"/>
  <c r="F1000"/>
  <c r="A1001"/>
  <c r="B1001"/>
  <c r="C1001"/>
  <c r="E1001"/>
  <c r="F1001"/>
  <c r="A1002"/>
  <c r="B1002"/>
  <c r="C1002"/>
  <c r="E1002"/>
  <c r="F1002"/>
  <c r="A1003"/>
  <c r="B1003"/>
  <c r="C1003"/>
  <c r="E1003"/>
  <c r="F1003"/>
  <c r="A1004"/>
  <c r="B1004"/>
  <c r="C1004"/>
  <c r="E1004"/>
  <c r="F1004"/>
  <c r="C1005"/>
  <c r="E1005"/>
  <c r="F1005"/>
  <c r="A1006"/>
  <c r="B1006"/>
  <c r="C1006"/>
  <c r="E1006"/>
  <c r="F1006"/>
  <c r="C1007"/>
  <c r="E1007"/>
  <c r="F1007"/>
  <c r="C1008"/>
  <c r="E1008"/>
  <c r="F1008"/>
  <c r="C1009"/>
  <c r="E1009"/>
  <c r="F1009"/>
  <c r="A1010"/>
  <c r="B1010"/>
  <c r="C1010"/>
  <c r="E1010"/>
  <c r="F1010"/>
  <c r="A1011"/>
  <c r="B1011"/>
  <c r="C1011"/>
  <c r="E1011"/>
  <c r="F1011"/>
  <c r="A1012"/>
  <c r="B1012"/>
  <c r="C1012"/>
  <c r="E1012"/>
  <c r="F1012"/>
  <c r="A1013"/>
  <c r="B1013"/>
  <c r="C1013"/>
  <c r="E1013"/>
  <c r="F1013"/>
  <c r="A1014"/>
  <c r="B1014"/>
  <c r="C1014"/>
  <c r="E1014"/>
  <c r="F1014"/>
  <c r="A1015"/>
  <c r="B1015"/>
  <c r="C1015"/>
  <c r="E1015"/>
  <c r="F1015"/>
  <c r="A1016"/>
  <c r="B1016"/>
  <c r="C1016"/>
  <c r="E1016"/>
  <c r="F1016"/>
  <c r="A1017"/>
  <c r="B1017"/>
  <c r="C1017"/>
  <c r="E1017"/>
  <c r="F1017"/>
  <c r="A1018"/>
  <c r="B1018"/>
  <c r="C1018"/>
  <c r="E1018"/>
  <c r="F1018"/>
  <c r="C1019"/>
  <c r="E1019"/>
  <c r="F1019"/>
  <c r="C1020"/>
  <c r="E1020"/>
  <c r="F1020"/>
  <c r="C1021"/>
  <c r="E1021"/>
  <c r="F1021"/>
  <c r="C1022"/>
  <c r="E1022"/>
  <c r="F1022"/>
  <c r="C1023"/>
  <c r="E1023"/>
  <c r="F1023"/>
  <c r="A1024"/>
  <c r="B1024"/>
  <c r="C1024"/>
  <c r="E1024"/>
  <c r="F1024"/>
  <c r="A1025"/>
  <c r="B1025"/>
  <c r="C1025"/>
  <c r="E1025"/>
  <c r="F1025"/>
  <c r="A1026"/>
  <c r="B1026"/>
  <c r="C1026"/>
  <c r="E1026"/>
  <c r="F1026"/>
  <c r="A1027"/>
  <c r="B1027"/>
  <c r="C1027"/>
  <c r="E1027"/>
  <c r="F1027"/>
  <c r="A1028"/>
  <c r="B1028"/>
  <c r="C1028"/>
  <c r="E1028"/>
  <c r="F1028"/>
  <c r="A1029"/>
  <c r="B1029"/>
  <c r="C1029"/>
  <c r="E1029"/>
  <c r="F1029"/>
  <c r="A1030"/>
  <c r="B1030"/>
  <c r="C1030"/>
  <c r="E1030"/>
  <c r="F1030"/>
  <c r="A1031"/>
  <c r="B1031"/>
  <c r="C1031"/>
  <c r="E1031"/>
  <c r="F1031"/>
  <c r="A1032"/>
  <c r="B1032"/>
  <c r="C1032"/>
  <c r="E1032"/>
  <c r="F1032"/>
  <c r="A1033"/>
  <c r="B1033"/>
  <c r="C1033"/>
  <c r="E1033"/>
  <c r="F1033"/>
  <c r="A1034"/>
  <c r="B1034"/>
  <c r="C1034"/>
  <c r="E1034"/>
  <c r="F1034"/>
  <c r="A1035"/>
  <c r="B1035"/>
  <c r="C1035"/>
  <c r="E1035"/>
  <c r="F1035"/>
  <c r="A1036"/>
  <c r="B1036"/>
  <c r="C1036"/>
  <c r="E1036"/>
  <c r="F1036"/>
  <c r="C1037"/>
  <c r="E1037"/>
  <c r="F1037"/>
  <c r="A1038"/>
  <c r="B1038"/>
  <c r="C1038"/>
  <c r="E1038"/>
  <c r="F1038"/>
  <c r="A1039"/>
  <c r="B1039"/>
  <c r="C1039"/>
  <c r="E1039"/>
  <c r="F1039"/>
  <c r="A1040"/>
  <c r="B1040"/>
  <c r="C1040"/>
  <c r="E1040"/>
  <c r="F1040"/>
  <c r="C1041"/>
  <c r="E1041"/>
  <c r="F1041"/>
  <c r="A1042"/>
  <c r="B1042"/>
  <c r="C1042"/>
  <c r="E1042"/>
  <c r="F1042"/>
  <c r="A1043"/>
  <c r="B1043"/>
  <c r="C1043"/>
  <c r="E1043"/>
  <c r="F1043"/>
  <c r="A1044"/>
  <c r="B1044"/>
  <c r="C1044"/>
  <c r="E1044"/>
  <c r="F1044"/>
  <c r="A1045"/>
  <c r="B1045"/>
  <c r="C1045"/>
  <c r="E1045"/>
  <c r="F1045"/>
  <c r="C1046"/>
  <c r="E1046"/>
  <c r="F1046"/>
  <c r="A1047"/>
  <c r="B1047"/>
  <c r="C1047"/>
  <c r="E1047"/>
  <c r="F1047"/>
  <c r="C1048"/>
  <c r="E1048"/>
  <c r="F1048"/>
  <c r="C1049"/>
  <c r="E1049"/>
  <c r="F1049"/>
  <c r="C1050"/>
  <c r="E1050"/>
  <c r="F1050"/>
  <c r="C1051"/>
  <c r="E1051"/>
  <c r="F1051"/>
  <c r="C1052"/>
  <c r="E1052"/>
  <c r="F1052"/>
  <c r="A1053"/>
  <c r="B1053"/>
  <c r="C1053"/>
  <c r="E1053"/>
  <c r="F1053"/>
  <c r="A1054"/>
  <c r="B1054"/>
  <c r="C1054"/>
  <c r="E1054"/>
  <c r="F1054"/>
  <c r="A1055"/>
  <c r="B1055"/>
  <c r="C1055"/>
  <c r="E1055"/>
  <c r="F1055"/>
  <c r="A1056"/>
  <c r="B1056"/>
  <c r="C1056"/>
  <c r="E1056"/>
  <c r="F1056"/>
  <c r="A1057"/>
  <c r="B1057"/>
  <c r="C1057"/>
  <c r="E1057"/>
  <c r="F1057"/>
  <c r="A1058"/>
  <c r="B1058"/>
  <c r="C1058"/>
  <c r="E1058"/>
  <c r="F1058"/>
  <c r="A1059"/>
  <c r="B1059"/>
  <c r="C1059"/>
  <c r="E1059"/>
  <c r="F1059"/>
  <c r="A1060"/>
  <c r="B1060"/>
  <c r="C1060"/>
  <c r="E1060"/>
  <c r="F1060"/>
  <c r="A1061"/>
  <c r="B1061"/>
  <c r="C1061"/>
  <c r="E1061"/>
  <c r="F1061"/>
  <c r="A1062"/>
  <c r="B1062"/>
  <c r="C1062"/>
  <c r="E1062"/>
  <c r="F1062"/>
  <c r="A1063"/>
  <c r="B1063"/>
  <c r="C1063"/>
  <c r="E1063"/>
  <c r="F1063"/>
  <c r="A1064"/>
  <c r="B1064"/>
  <c r="C1064"/>
  <c r="E1064"/>
  <c r="F1064"/>
  <c r="A1065"/>
  <c r="B1065"/>
  <c r="C1065"/>
  <c r="E1065"/>
  <c r="F1065"/>
  <c r="A1066"/>
  <c r="B1066"/>
  <c r="C1066"/>
  <c r="E1066"/>
  <c r="F1066"/>
  <c r="A1067"/>
  <c r="B1067"/>
  <c r="C1067"/>
  <c r="E1067"/>
  <c r="F1067"/>
  <c r="A1068"/>
  <c r="B1068"/>
  <c r="C1068"/>
  <c r="E1068"/>
  <c r="F1068"/>
  <c r="A1069"/>
  <c r="B1069"/>
  <c r="C1069"/>
  <c r="E1069"/>
  <c r="F1069"/>
  <c r="A1070"/>
  <c r="B1070"/>
  <c r="C1070"/>
  <c r="E1070"/>
  <c r="F1070"/>
  <c r="A1071"/>
  <c r="B1071"/>
  <c r="C1071"/>
  <c r="E1071"/>
  <c r="F1071"/>
  <c r="A1072"/>
  <c r="B1072"/>
  <c r="C1072"/>
  <c r="E1072"/>
  <c r="F1072"/>
  <c r="A1073"/>
  <c r="B1073"/>
  <c r="C1073"/>
  <c r="E1073"/>
  <c r="F1073"/>
  <c r="A1074"/>
  <c r="B1074"/>
  <c r="C1074"/>
  <c r="E1074"/>
  <c r="F1074"/>
  <c r="A1075"/>
  <c r="B1075"/>
  <c r="C1075"/>
  <c r="E1075"/>
  <c r="F1075"/>
  <c r="A1076"/>
  <c r="B1076"/>
  <c r="C1076"/>
  <c r="E1076"/>
  <c r="F1076"/>
  <c r="A1077"/>
  <c r="B1077"/>
  <c r="C1077"/>
  <c r="E1077"/>
  <c r="F1077"/>
  <c r="A1078"/>
  <c r="B1078"/>
  <c r="C1078"/>
  <c r="E1078"/>
  <c r="F1078"/>
  <c r="A1079"/>
  <c r="B1079"/>
  <c r="C1079"/>
  <c r="E1079"/>
  <c r="F1079"/>
  <c r="A1080"/>
  <c r="B1080"/>
  <c r="C1080"/>
  <c r="E1080"/>
  <c r="F1080"/>
  <c r="A1081"/>
  <c r="B1081"/>
  <c r="C1081"/>
  <c r="E1081"/>
  <c r="F1081"/>
  <c r="C1082"/>
  <c r="E1082"/>
  <c r="F1082"/>
  <c r="C1083"/>
  <c r="E1083"/>
  <c r="F1083"/>
  <c r="C1084"/>
  <c r="E1084"/>
  <c r="F1084"/>
  <c r="C1085"/>
  <c r="E1085"/>
  <c r="F1085"/>
  <c r="C1086"/>
  <c r="E1086"/>
  <c r="F1086"/>
  <c r="C1087"/>
  <c r="E1087"/>
  <c r="F1087"/>
  <c r="A1088"/>
  <c r="B1088"/>
  <c r="C1088"/>
  <c r="E1088"/>
  <c r="F1088"/>
  <c r="C1089"/>
  <c r="E1089"/>
  <c r="F1089"/>
  <c r="C1090"/>
  <c r="E1090"/>
  <c r="F1090"/>
  <c r="C1091"/>
  <c r="E1091"/>
  <c r="F1091"/>
  <c r="C1092"/>
  <c r="E1092"/>
  <c r="F1092"/>
  <c r="C1093"/>
  <c r="E1093"/>
  <c r="F1093"/>
  <c r="C1094"/>
  <c r="E1094"/>
  <c r="F1094"/>
  <c r="A1095"/>
  <c r="B1095"/>
  <c r="C1095"/>
  <c r="E1095"/>
  <c r="F1095"/>
  <c r="C1096"/>
  <c r="E1096"/>
  <c r="F1096"/>
  <c r="C1097"/>
  <c r="E1097"/>
  <c r="F1097"/>
  <c r="C1098"/>
  <c r="E1098"/>
  <c r="F1098"/>
  <c r="C1099"/>
  <c r="E1099"/>
  <c r="F1099"/>
  <c r="C1100"/>
  <c r="E1100"/>
  <c r="F1100"/>
  <c r="C1101"/>
  <c r="E1101"/>
  <c r="F1101"/>
  <c r="A1102"/>
  <c r="B1102"/>
  <c r="C1102"/>
  <c r="E1102"/>
  <c r="F1102"/>
  <c r="C1103"/>
  <c r="E1103"/>
  <c r="F1103"/>
  <c r="C1104"/>
  <c r="E1104"/>
  <c r="F1104"/>
  <c r="C1105"/>
  <c r="E1105"/>
  <c r="F1105"/>
  <c r="C1106"/>
  <c r="E1106"/>
  <c r="F1106"/>
  <c r="C1107"/>
  <c r="E1107"/>
  <c r="F1107"/>
  <c r="C1108"/>
  <c r="E1108"/>
  <c r="F1108"/>
  <c r="A1109"/>
  <c r="B1109"/>
  <c r="C1109"/>
  <c r="E1109"/>
  <c r="F1109"/>
  <c r="A1110"/>
  <c r="B1110"/>
  <c r="C1110"/>
  <c r="E1110"/>
  <c r="F1110"/>
  <c r="A1" i="7"/>
  <c r="B1"/>
  <c r="C1"/>
  <c r="D1"/>
  <c r="E1"/>
  <c r="F1"/>
  <c r="A2"/>
  <c r="B2"/>
  <c r="C2"/>
  <c r="E2"/>
  <c r="F2"/>
  <c r="A3"/>
  <c r="B3"/>
  <c r="C3"/>
  <c r="E3"/>
  <c r="F3"/>
  <c r="C4"/>
  <c r="E4"/>
  <c r="F4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C41"/>
  <c r="E41"/>
  <c r="F41"/>
  <c r="A42"/>
  <c r="B42"/>
  <c r="C42"/>
  <c r="E42"/>
  <c r="F42"/>
  <c r="C43"/>
  <c r="E43"/>
  <c r="F43"/>
  <c r="C44"/>
  <c r="E44"/>
  <c r="F44"/>
  <c r="A45"/>
  <c r="B45"/>
  <c r="C45"/>
  <c r="E45"/>
  <c r="F45"/>
  <c r="A46"/>
  <c r="B46"/>
  <c r="C46"/>
  <c r="E46"/>
  <c r="F46"/>
  <c r="C47"/>
  <c r="E47"/>
  <c r="F47"/>
  <c r="C48"/>
  <c r="E48"/>
  <c r="F48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C53"/>
  <c r="E53"/>
  <c r="F53"/>
  <c r="C54"/>
  <c r="E54"/>
  <c r="F54"/>
  <c r="A55"/>
  <c r="B55"/>
  <c r="C55"/>
  <c r="E55"/>
  <c r="F55"/>
  <c r="C56"/>
  <c r="E56"/>
  <c r="F56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C61"/>
  <c r="E61"/>
  <c r="F61"/>
  <c r="A62"/>
  <c r="B62"/>
  <c r="C62"/>
  <c r="E62"/>
  <c r="F62"/>
  <c r="C63"/>
  <c r="E63"/>
  <c r="F63"/>
  <c r="A64"/>
  <c r="B64"/>
  <c r="C64"/>
  <c r="E64"/>
  <c r="F64"/>
  <c r="A65"/>
  <c r="B65"/>
  <c r="C65"/>
  <c r="E65"/>
  <c r="F65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C80"/>
  <c r="E80"/>
  <c r="F80"/>
  <c r="A81"/>
  <c r="B81"/>
  <c r="C81"/>
  <c r="E81"/>
  <c r="F81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C154"/>
  <c r="E154"/>
  <c r="F154"/>
  <c r="C155"/>
  <c r="E155"/>
  <c r="F155"/>
  <c r="C156"/>
  <c r="E156"/>
  <c r="F156"/>
  <c r="C157"/>
  <c r="E157"/>
  <c r="F157"/>
  <c r="C158"/>
  <c r="E158"/>
  <c r="F158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C367"/>
  <c r="E367"/>
  <c r="F367"/>
  <c r="C368"/>
  <c r="E368"/>
  <c r="F368"/>
  <c r="C369"/>
  <c r="E369"/>
  <c r="F369"/>
  <c r="C370"/>
  <c r="E370"/>
  <c r="F370"/>
  <c r="C371"/>
  <c r="E371"/>
  <c r="F371"/>
  <c r="C372"/>
  <c r="E372"/>
  <c r="F372"/>
  <c r="C373"/>
  <c r="E373"/>
  <c r="F373"/>
  <c r="C374"/>
  <c r="E374"/>
  <c r="F374"/>
  <c r="C375"/>
  <c r="E375"/>
  <c r="F375"/>
  <c r="C376"/>
  <c r="E376"/>
  <c r="F376"/>
  <c r="C377"/>
  <c r="E377"/>
  <c r="F377"/>
  <c r="A378"/>
  <c r="B378"/>
  <c r="C378"/>
  <c r="E378"/>
  <c r="F378"/>
  <c r="C379"/>
  <c r="E379"/>
  <c r="F379"/>
  <c r="C380"/>
  <c r="E380"/>
  <c r="F380"/>
  <c r="C381"/>
  <c r="E381"/>
  <c r="F381"/>
  <c r="C382"/>
  <c r="E382"/>
  <c r="F382"/>
  <c r="C383"/>
  <c r="E383"/>
  <c r="F383"/>
  <c r="C384"/>
  <c r="E384"/>
  <c r="F384"/>
  <c r="C385"/>
  <c r="E385"/>
  <c r="F385"/>
  <c r="C386"/>
  <c r="E386"/>
  <c r="F386"/>
  <c r="C387"/>
  <c r="E387"/>
  <c r="F387"/>
  <c r="C388"/>
  <c r="E388"/>
  <c r="F388"/>
  <c r="C389"/>
  <c r="E389"/>
  <c r="F389"/>
  <c r="A390"/>
  <c r="B390"/>
  <c r="C390"/>
  <c r="E390"/>
  <c r="F390"/>
  <c r="C391"/>
  <c r="E391"/>
  <c r="F391"/>
  <c r="C392"/>
  <c r="E392"/>
  <c r="F392"/>
  <c r="C393"/>
  <c r="E393"/>
  <c r="F393"/>
  <c r="C394"/>
  <c r="E394"/>
  <c r="F394"/>
  <c r="C395"/>
  <c r="E395"/>
  <c r="F395"/>
  <c r="C396"/>
  <c r="E396"/>
  <c r="F396"/>
  <c r="C397"/>
  <c r="E397"/>
  <c r="F397"/>
  <c r="C398"/>
  <c r="E398"/>
  <c r="F398"/>
  <c r="C399"/>
  <c r="E399"/>
  <c r="F399"/>
  <c r="C400"/>
  <c r="E400"/>
  <c r="F400"/>
  <c r="C401"/>
  <c r="E401"/>
  <c r="F401"/>
  <c r="A402"/>
  <c r="B402"/>
  <c r="C402"/>
  <c r="E402"/>
  <c r="F402"/>
  <c r="C403"/>
  <c r="E403"/>
  <c r="F403"/>
  <c r="C404"/>
  <c r="E404"/>
  <c r="F404"/>
  <c r="C405"/>
  <c r="E405"/>
  <c r="F405"/>
  <c r="C406"/>
  <c r="E406"/>
  <c r="F406"/>
  <c r="C407"/>
  <c r="E407"/>
  <c r="F407"/>
  <c r="C408"/>
  <c r="E408"/>
  <c r="F408"/>
  <c r="C409"/>
  <c r="E409"/>
  <c r="F409"/>
  <c r="C410"/>
  <c r="E410"/>
  <c r="F410"/>
  <c r="C411"/>
  <c r="E411"/>
  <c r="F411"/>
  <c r="C412"/>
  <c r="E412"/>
  <c r="F412"/>
  <c r="C413"/>
  <c r="E413"/>
  <c r="F413"/>
  <c r="A414"/>
  <c r="B414"/>
  <c r="C414"/>
  <c r="E414"/>
  <c r="F414"/>
  <c r="C415"/>
  <c r="E415"/>
  <c r="F415"/>
  <c r="C416"/>
  <c r="E416"/>
  <c r="F416"/>
  <c r="C417"/>
  <c r="E417"/>
  <c r="F417"/>
  <c r="C418"/>
  <c r="E418"/>
  <c r="F418"/>
  <c r="C419"/>
  <c r="E419"/>
  <c r="F419"/>
  <c r="C420"/>
  <c r="E420"/>
  <c r="F420"/>
  <c r="C421"/>
  <c r="E421"/>
  <c r="F421"/>
  <c r="C422"/>
  <c r="E422"/>
  <c r="F422"/>
  <c r="C423"/>
  <c r="E423"/>
  <c r="F423"/>
  <c r="C424"/>
  <c r="E424"/>
  <c r="F424"/>
  <c r="C425"/>
  <c r="E425"/>
  <c r="F425"/>
  <c r="A426"/>
  <c r="B426"/>
  <c r="C426"/>
  <c r="E426"/>
  <c r="F426"/>
  <c r="C427"/>
  <c r="E427"/>
  <c r="F427"/>
  <c r="C428"/>
  <c r="E428"/>
  <c r="F428"/>
  <c r="C429"/>
  <c r="E429"/>
  <c r="F429"/>
  <c r="C430"/>
  <c r="E430"/>
  <c r="F430"/>
  <c r="C431"/>
  <c r="E431"/>
  <c r="F431"/>
  <c r="C432"/>
  <c r="E432"/>
  <c r="F432"/>
  <c r="C433"/>
  <c r="E433"/>
  <c r="F433"/>
  <c r="C434"/>
  <c r="E434"/>
  <c r="F434"/>
  <c r="C435"/>
  <c r="E435"/>
  <c r="F435"/>
  <c r="C436"/>
  <c r="E436"/>
  <c r="F436"/>
  <c r="C437"/>
  <c r="E437"/>
  <c r="F437"/>
  <c r="A438"/>
  <c r="B438"/>
  <c r="C438"/>
  <c r="E438"/>
  <c r="F438"/>
  <c r="C439"/>
  <c r="E439"/>
  <c r="F439"/>
  <c r="C440"/>
  <c r="E440"/>
  <c r="F440"/>
  <c r="C441"/>
  <c r="E441"/>
  <c r="F441"/>
  <c r="C442"/>
  <c r="E442"/>
  <c r="F442"/>
  <c r="C443"/>
  <c r="E443"/>
  <c r="F443"/>
  <c r="C444"/>
  <c r="E444"/>
  <c r="F444"/>
  <c r="C445"/>
  <c r="E445"/>
  <c r="F445"/>
  <c r="C446"/>
  <c r="E446"/>
  <c r="F446"/>
  <c r="C447"/>
  <c r="E447"/>
  <c r="F447"/>
  <c r="C448"/>
  <c r="E448"/>
  <c r="F448"/>
  <c r="C449"/>
  <c r="E449"/>
  <c r="F449"/>
  <c r="A450"/>
  <c r="B450"/>
  <c r="C450"/>
  <c r="E450"/>
  <c r="F450"/>
  <c r="C451"/>
  <c r="E451"/>
  <c r="F451"/>
  <c r="C452"/>
  <c r="E452"/>
  <c r="F452"/>
  <c r="C453"/>
  <c r="E453"/>
  <c r="F453"/>
  <c r="C454"/>
  <c r="E454"/>
  <c r="F454"/>
  <c r="C455"/>
  <c r="E455"/>
  <c r="F455"/>
  <c r="C456"/>
  <c r="E456"/>
  <c r="F456"/>
  <c r="C457"/>
  <c r="E457"/>
  <c r="F457"/>
  <c r="C458"/>
  <c r="E458"/>
  <c r="F458"/>
  <c r="C459"/>
  <c r="E459"/>
  <c r="F459"/>
  <c r="C460"/>
  <c r="E460"/>
  <c r="F460"/>
  <c r="C461"/>
  <c r="E461"/>
  <c r="F461"/>
  <c r="A462"/>
  <c r="B462"/>
  <c r="C462"/>
  <c r="E462"/>
  <c r="F462"/>
  <c r="C463"/>
  <c r="E463"/>
  <c r="F463"/>
  <c r="C464"/>
  <c r="E464"/>
  <c r="F464"/>
  <c r="C465"/>
  <c r="E465"/>
  <c r="F465"/>
  <c r="C466"/>
  <c r="E466"/>
  <c r="F466"/>
  <c r="C467"/>
  <c r="E467"/>
  <c r="F467"/>
  <c r="C468"/>
  <c r="E468"/>
  <c r="F468"/>
  <c r="C469"/>
  <c r="E469"/>
  <c r="F469"/>
  <c r="C470"/>
  <c r="E470"/>
  <c r="F470"/>
  <c r="C471"/>
  <c r="E471"/>
  <c r="F471"/>
  <c r="C472"/>
  <c r="E472"/>
  <c r="F472"/>
  <c r="C473"/>
  <c r="E473"/>
  <c r="F473"/>
  <c r="A474"/>
  <c r="B474"/>
  <c r="C474"/>
  <c r="E474"/>
  <c r="F474"/>
  <c r="C475"/>
  <c r="E475"/>
  <c r="F475"/>
  <c r="C476"/>
  <c r="E476"/>
  <c r="F476"/>
  <c r="C477"/>
  <c r="E477"/>
  <c r="F477"/>
  <c r="C478"/>
  <c r="E478"/>
  <c r="F478"/>
  <c r="C479"/>
  <c r="E479"/>
  <c r="F479"/>
  <c r="C480"/>
  <c r="E480"/>
  <c r="F480"/>
  <c r="C481"/>
  <c r="E481"/>
  <c r="F481"/>
  <c r="C482"/>
  <c r="E482"/>
  <c r="F482"/>
  <c r="C483"/>
  <c r="E483"/>
  <c r="F483"/>
  <c r="C484"/>
  <c r="E484"/>
  <c r="F484"/>
  <c r="C485"/>
  <c r="E485"/>
  <c r="F485"/>
  <c r="A486"/>
  <c r="B486"/>
  <c r="C486"/>
  <c r="E486"/>
  <c r="F486"/>
  <c r="C487"/>
  <c r="E487"/>
  <c r="F487"/>
  <c r="C488"/>
  <c r="E488"/>
  <c r="F488"/>
  <c r="C489"/>
  <c r="E489"/>
  <c r="F489"/>
  <c r="C490"/>
  <c r="E490"/>
  <c r="F490"/>
  <c r="C491"/>
  <c r="E491"/>
  <c r="F491"/>
  <c r="C492"/>
  <c r="E492"/>
  <c r="F492"/>
  <c r="C493"/>
  <c r="E493"/>
  <c r="F493"/>
  <c r="C494"/>
  <c r="E494"/>
  <c r="F494"/>
  <c r="C495"/>
  <c r="E495"/>
  <c r="F495"/>
  <c r="C496"/>
  <c r="E496"/>
  <c r="F496"/>
  <c r="C497"/>
  <c r="E497"/>
  <c r="F497"/>
  <c r="A498"/>
  <c r="B498"/>
  <c r="C498"/>
  <c r="E498"/>
  <c r="F498"/>
  <c r="C499"/>
  <c r="E499"/>
  <c r="F499"/>
  <c r="C500"/>
  <c r="E500"/>
  <c r="F500"/>
  <c r="C501"/>
  <c r="E501"/>
  <c r="F501"/>
  <c r="C502"/>
  <c r="E502"/>
  <c r="F502"/>
  <c r="C503"/>
  <c r="E503"/>
  <c r="F503"/>
  <c r="C504"/>
  <c r="E504"/>
  <c r="F504"/>
  <c r="C505"/>
  <c r="E505"/>
  <c r="F505"/>
  <c r="C506"/>
  <c r="E506"/>
  <c r="F506"/>
  <c r="C507"/>
  <c r="E507"/>
  <c r="F507"/>
  <c r="C508"/>
  <c r="E508"/>
  <c r="F508"/>
  <c r="C509"/>
  <c r="E509"/>
  <c r="F509"/>
  <c r="A510"/>
  <c r="B510"/>
  <c r="C510"/>
  <c r="E510"/>
  <c r="F510"/>
  <c r="C511"/>
  <c r="E511"/>
  <c r="F511"/>
  <c r="C512"/>
  <c r="E512"/>
  <c r="F512"/>
  <c r="C513"/>
  <c r="E513"/>
  <c r="F513"/>
  <c r="C514"/>
  <c r="E514"/>
  <c r="F514"/>
  <c r="C515"/>
  <c r="E515"/>
  <c r="F515"/>
  <c r="C516"/>
  <c r="E516"/>
  <c r="F516"/>
  <c r="C517"/>
  <c r="E517"/>
  <c r="F517"/>
  <c r="C518"/>
  <c r="E518"/>
  <c r="F518"/>
  <c r="C519"/>
  <c r="E519"/>
  <c r="F519"/>
  <c r="C520"/>
  <c r="E520"/>
  <c r="F520"/>
  <c r="C521"/>
  <c r="E521"/>
  <c r="F521"/>
  <c r="A522"/>
  <c r="B522"/>
  <c r="C522"/>
  <c r="E522"/>
  <c r="F522"/>
  <c r="C523"/>
  <c r="E523"/>
  <c r="F523"/>
  <c r="C524"/>
  <c r="E524"/>
  <c r="F524"/>
  <c r="C525"/>
  <c r="E525"/>
  <c r="F525"/>
  <c r="C526"/>
  <c r="E526"/>
  <c r="F526"/>
  <c r="C527"/>
  <c r="E527"/>
  <c r="F527"/>
  <c r="C528"/>
  <c r="E528"/>
  <c r="F528"/>
  <c r="C529"/>
  <c r="E529"/>
  <c r="F529"/>
  <c r="C530"/>
  <c r="E530"/>
  <c r="F530"/>
  <c r="C531"/>
  <c r="E531"/>
  <c r="F531"/>
  <c r="C532"/>
  <c r="E532"/>
  <c r="F532"/>
  <c r="C533"/>
  <c r="E533"/>
  <c r="F533"/>
  <c r="A534"/>
  <c r="B534"/>
  <c r="C534"/>
  <c r="E534"/>
  <c r="F534"/>
  <c r="C535"/>
  <c r="E535"/>
  <c r="F535"/>
  <c r="C536"/>
  <c r="E536"/>
  <c r="F536"/>
  <c r="C537"/>
  <c r="E537"/>
  <c r="F537"/>
  <c r="C538"/>
  <c r="E538"/>
  <c r="F538"/>
  <c r="C539"/>
  <c r="E539"/>
  <c r="F539"/>
  <c r="C540"/>
  <c r="E540"/>
  <c r="F540"/>
  <c r="C541"/>
  <c r="E541"/>
  <c r="F541"/>
  <c r="C542"/>
  <c r="E542"/>
  <c r="F542"/>
  <c r="C543"/>
  <c r="E543"/>
  <c r="F543"/>
  <c r="C544"/>
  <c r="E544"/>
  <c r="F544"/>
  <c r="C545"/>
  <c r="E545"/>
  <c r="F545"/>
  <c r="A546"/>
  <c r="B546"/>
  <c r="C546"/>
  <c r="E546"/>
  <c r="F546"/>
  <c r="C547"/>
  <c r="E547"/>
  <c r="F547"/>
  <c r="C548"/>
  <c r="E548"/>
  <c r="F548"/>
  <c r="C549"/>
  <c r="E549"/>
  <c r="F549"/>
  <c r="C550"/>
  <c r="E550"/>
  <c r="F550"/>
  <c r="C551"/>
  <c r="E551"/>
  <c r="F551"/>
  <c r="C552"/>
  <c r="E552"/>
  <c r="F552"/>
  <c r="C553"/>
  <c r="E553"/>
  <c r="F553"/>
  <c r="C554"/>
  <c r="E554"/>
  <c r="F554"/>
  <c r="C555"/>
  <c r="E555"/>
  <c r="F555"/>
  <c r="C556"/>
  <c r="E556"/>
  <c r="F556"/>
  <c r="C557"/>
  <c r="E557"/>
  <c r="F557"/>
  <c r="A558"/>
  <c r="B558"/>
  <c r="C558"/>
  <c r="E558"/>
  <c r="F558"/>
  <c r="C559"/>
  <c r="E559"/>
  <c r="F559"/>
  <c r="C560"/>
  <c r="E560"/>
  <c r="F560"/>
  <c r="C561"/>
  <c r="E561"/>
  <c r="F561"/>
  <c r="C562"/>
  <c r="E562"/>
  <c r="F562"/>
  <c r="C563"/>
  <c r="E563"/>
  <c r="F563"/>
  <c r="C564"/>
  <c r="E564"/>
  <c r="F564"/>
  <c r="C565"/>
  <c r="E565"/>
  <c r="F565"/>
  <c r="C566"/>
  <c r="E566"/>
  <c r="F566"/>
  <c r="C567"/>
  <c r="E567"/>
  <c r="F567"/>
  <c r="C568"/>
  <c r="E568"/>
  <c r="F568"/>
  <c r="C569"/>
  <c r="E569"/>
  <c r="F569"/>
  <c r="A570"/>
  <c r="B570"/>
  <c r="C570"/>
  <c r="E570"/>
  <c r="F570"/>
  <c r="C571"/>
  <c r="E571"/>
  <c r="F571"/>
  <c r="C572"/>
  <c r="E572"/>
  <c r="F572"/>
  <c r="C573"/>
  <c r="E573"/>
  <c r="F573"/>
  <c r="C574"/>
  <c r="E574"/>
  <c r="F574"/>
  <c r="C575"/>
  <c r="E575"/>
  <c r="F575"/>
  <c r="C576"/>
  <c r="E576"/>
  <c r="F576"/>
  <c r="C577"/>
  <c r="E577"/>
  <c r="F577"/>
  <c r="C578"/>
  <c r="E578"/>
  <c r="F578"/>
  <c r="C579"/>
  <c r="E579"/>
  <c r="F579"/>
  <c r="C580"/>
  <c r="E580"/>
  <c r="F580"/>
  <c r="C581"/>
  <c r="E581"/>
  <c r="F581"/>
  <c r="A582"/>
  <c r="B582"/>
  <c r="C582"/>
  <c r="E582"/>
  <c r="F582"/>
  <c r="C583"/>
  <c r="E583"/>
  <c r="F583"/>
  <c r="C584"/>
  <c r="E584"/>
  <c r="F584"/>
  <c r="C585"/>
  <c r="E585"/>
  <c r="F585"/>
  <c r="C586"/>
  <c r="E586"/>
  <c r="F586"/>
  <c r="C587"/>
  <c r="E587"/>
  <c r="F587"/>
  <c r="C588"/>
  <c r="E588"/>
  <c r="F588"/>
  <c r="C589"/>
  <c r="E589"/>
  <c r="F589"/>
  <c r="C590"/>
  <c r="E590"/>
  <c r="F590"/>
  <c r="C591"/>
  <c r="E591"/>
  <c r="F591"/>
  <c r="C592"/>
  <c r="E592"/>
  <c r="F592"/>
  <c r="C593"/>
  <c r="E593"/>
  <c r="F593"/>
  <c r="A594"/>
  <c r="B594"/>
  <c r="C594"/>
  <c r="E594"/>
  <c r="F594"/>
  <c r="C595"/>
  <c r="E595"/>
  <c r="F595"/>
  <c r="C596"/>
  <c r="E596"/>
  <c r="F596"/>
  <c r="C597"/>
  <c r="E597"/>
  <c r="F597"/>
  <c r="C598"/>
  <c r="E598"/>
  <c r="F598"/>
  <c r="C599"/>
  <c r="E599"/>
  <c r="F599"/>
  <c r="C600"/>
  <c r="E600"/>
  <c r="F600"/>
  <c r="C601"/>
  <c r="E601"/>
  <c r="F601"/>
  <c r="C602"/>
  <c r="E602"/>
  <c r="F602"/>
  <c r="C603"/>
  <c r="E603"/>
  <c r="F603"/>
  <c r="C604"/>
  <c r="E604"/>
  <c r="F604"/>
  <c r="C605"/>
  <c r="E605"/>
  <c r="F605"/>
  <c r="A606"/>
  <c r="B606"/>
  <c r="C606"/>
  <c r="E606"/>
  <c r="F606"/>
  <c r="C607"/>
  <c r="E607"/>
  <c r="F607"/>
  <c r="C608"/>
  <c r="E608"/>
  <c r="F608"/>
  <c r="C609"/>
  <c r="E609"/>
  <c r="F609"/>
  <c r="C610"/>
  <c r="E610"/>
  <c r="F610"/>
  <c r="C611"/>
  <c r="E611"/>
  <c r="F611"/>
  <c r="C612"/>
  <c r="E612"/>
  <c r="F612"/>
  <c r="C613"/>
  <c r="E613"/>
  <c r="F613"/>
  <c r="C614"/>
  <c r="E614"/>
  <c r="F614"/>
  <c r="C615"/>
  <c r="E615"/>
  <c r="F615"/>
  <c r="C616"/>
  <c r="E616"/>
  <c r="F616"/>
  <c r="C617"/>
  <c r="E617"/>
  <c r="F617"/>
  <c r="A618"/>
  <c r="B618"/>
  <c r="C618"/>
  <c r="E618"/>
  <c r="F618"/>
  <c r="C619"/>
  <c r="E619"/>
  <c r="F619"/>
  <c r="C620"/>
  <c r="E620"/>
  <c r="F620"/>
  <c r="C621"/>
  <c r="E621"/>
  <c r="F621"/>
  <c r="C622"/>
  <c r="E622"/>
  <c r="F622"/>
  <c r="C623"/>
  <c r="E623"/>
  <c r="F623"/>
  <c r="C624"/>
  <c r="E624"/>
  <c r="F624"/>
  <c r="C625"/>
  <c r="E625"/>
  <c r="F625"/>
  <c r="C626"/>
  <c r="E626"/>
  <c r="F626"/>
  <c r="C627"/>
  <c r="E627"/>
  <c r="F627"/>
  <c r="C628"/>
  <c r="E628"/>
  <c r="F628"/>
  <c r="C629"/>
  <c r="E629"/>
  <c r="F629"/>
  <c r="A630"/>
  <c r="B630"/>
  <c r="C630"/>
  <c r="E630"/>
  <c r="F630"/>
  <c r="C631"/>
  <c r="E631"/>
  <c r="F631"/>
  <c r="C632"/>
  <c r="E632"/>
  <c r="F632"/>
  <c r="C633"/>
  <c r="E633"/>
  <c r="F633"/>
  <c r="C634"/>
  <c r="E634"/>
  <c r="F634"/>
  <c r="C635"/>
  <c r="E635"/>
  <c r="F635"/>
  <c r="C636"/>
  <c r="E636"/>
  <c r="F636"/>
  <c r="C637"/>
  <c r="E637"/>
  <c r="F637"/>
  <c r="C638"/>
  <c r="E638"/>
  <c r="F638"/>
  <c r="C639"/>
  <c r="E639"/>
  <c r="F639"/>
  <c r="C640"/>
  <c r="E640"/>
  <c r="F640"/>
  <c r="C641"/>
  <c r="E641"/>
  <c r="F641"/>
  <c r="A642"/>
  <c r="B642"/>
  <c r="C642"/>
  <c r="E642"/>
  <c r="F642"/>
  <c r="C643"/>
  <c r="E643"/>
  <c r="F643"/>
  <c r="C644"/>
  <c r="E644"/>
  <c r="F644"/>
  <c r="C645"/>
  <c r="E645"/>
  <c r="F645"/>
  <c r="C646"/>
  <c r="E646"/>
  <c r="F646"/>
  <c r="C647"/>
  <c r="E647"/>
  <c r="F647"/>
  <c r="C648"/>
  <c r="E648"/>
  <c r="F648"/>
  <c r="C649"/>
  <c r="E649"/>
  <c r="F649"/>
  <c r="C650"/>
  <c r="E650"/>
  <c r="F650"/>
  <c r="C651"/>
  <c r="E651"/>
  <c r="F651"/>
  <c r="C652"/>
  <c r="E652"/>
  <c r="F652"/>
  <c r="C653"/>
  <c r="E653"/>
  <c r="F653"/>
  <c r="A654"/>
  <c r="B654"/>
  <c r="C654"/>
  <c r="E654"/>
  <c r="F654"/>
  <c r="C655"/>
  <c r="E655"/>
  <c r="F655"/>
  <c r="C656"/>
  <c r="E656"/>
  <c r="F656"/>
  <c r="C657"/>
  <c r="E657"/>
  <c r="F657"/>
  <c r="C658"/>
  <c r="E658"/>
  <c r="F658"/>
  <c r="C659"/>
  <c r="E659"/>
  <c r="F659"/>
  <c r="C660"/>
  <c r="E660"/>
  <c r="F660"/>
  <c r="C661"/>
  <c r="E661"/>
  <c r="F661"/>
  <c r="C662"/>
  <c r="E662"/>
  <c r="F662"/>
  <c r="C663"/>
  <c r="E663"/>
  <c r="F663"/>
  <c r="C664"/>
  <c r="E664"/>
  <c r="F664"/>
  <c r="C665"/>
  <c r="E665"/>
  <c r="F665"/>
  <c r="A666"/>
  <c r="B666"/>
  <c r="C666"/>
  <c r="E666"/>
  <c r="F666"/>
  <c r="C667"/>
  <c r="E667"/>
  <c r="F667"/>
  <c r="C668"/>
  <c r="E668"/>
  <c r="F668"/>
  <c r="C669"/>
  <c r="E669"/>
  <c r="F669"/>
  <c r="C670"/>
  <c r="E670"/>
  <c r="F670"/>
  <c r="C671"/>
  <c r="E671"/>
  <c r="F671"/>
  <c r="C672"/>
  <c r="E672"/>
  <c r="F672"/>
  <c r="C673"/>
  <c r="E673"/>
  <c r="F673"/>
  <c r="C674"/>
  <c r="E674"/>
  <c r="F674"/>
  <c r="C675"/>
  <c r="E675"/>
  <c r="F675"/>
  <c r="C676"/>
  <c r="E676"/>
  <c r="F676"/>
  <c r="C677"/>
  <c r="E677"/>
  <c r="F677"/>
  <c r="A678"/>
  <c r="B678"/>
  <c r="C678"/>
  <c r="E678"/>
  <c r="F678"/>
  <c r="C679"/>
  <c r="E679"/>
  <c r="F679"/>
  <c r="C680"/>
  <c r="E680"/>
  <c r="F680"/>
  <c r="C681"/>
  <c r="E681"/>
  <c r="F681"/>
  <c r="C682"/>
  <c r="E682"/>
  <c r="F682"/>
  <c r="C683"/>
  <c r="E683"/>
  <c r="F683"/>
  <c r="C684"/>
  <c r="E684"/>
  <c r="F684"/>
  <c r="C685"/>
  <c r="E685"/>
  <c r="F685"/>
  <c r="C686"/>
  <c r="E686"/>
  <c r="F686"/>
  <c r="C687"/>
  <c r="E687"/>
  <c r="F687"/>
  <c r="C688"/>
  <c r="E688"/>
  <c r="F688"/>
  <c r="C689"/>
  <c r="E689"/>
  <c r="F689"/>
  <c r="A690"/>
  <c r="B690"/>
  <c r="C690"/>
  <c r="E690"/>
  <c r="F690"/>
  <c r="C691"/>
  <c r="E691"/>
  <c r="F691"/>
  <c r="C692"/>
  <c r="E692"/>
  <c r="F692"/>
  <c r="C693"/>
  <c r="E693"/>
  <c r="F693"/>
  <c r="C694"/>
  <c r="E694"/>
  <c r="F694"/>
  <c r="C695"/>
  <c r="E695"/>
  <c r="F695"/>
  <c r="C696"/>
  <c r="E696"/>
  <c r="F696"/>
  <c r="C697"/>
  <c r="E697"/>
  <c r="F697"/>
  <c r="C698"/>
  <c r="E698"/>
  <c r="F698"/>
  <c r="C699"/>
  <c r="E699"/>
  <c r="F699"/>
  <c r="C700"/>
  <c r="E700"/>
  <c r="F700"/>
  <c r="C701"/>
  <c r="E701"/>
  <c r="F701"/>
  <c r="A702"/>
  <c r="B702"/>
  <c r="C702"/>
  <c r="E702"/>
  <c r="F702"/>
  <c r="C703"/>
  <c r="E703"/>
  <c r="F703"/>
  <c r="C704"/>
  <c r="E704"/>
  <c r="F704"/>
  <c r="C705"/>
  <c r="E705"/>
  <c r="F705"/>
  <c r="C706"/>
  <c r="E706"/>
  <c r="F706"/>
  <c r="C707"/>
  <c r="E707"/>
  <c r="F707"/>
  <c r="C708"/>
  <c r="E708"/>
  <c r="F708"/>
  <c r="C709"/>
  <c r="E709"/>
  <c r="F709"/>
  <c r="C710"/>
  <c r="E710"/>
  <c r="F710"/>
  <c r="C711"/>
  <c r="E711"/>
  <c r="F711"/>
  <c r="C712"/>
  <c r="E712"/>
  <c r="F712"/>
  <c r="C713"/>
  <c r="E713"/>
  <c r="F713"/>
  <c r="A714"/>
  <c r="B714"/>
  <c r="C714"/>
  <c r="E714"/>
  <c r="F714"/>
  <c r="C715"/>
  <c r="E715"/>
  <c r="F715"/>
  <c r="C716"/>
  <c r="E716"/>
  <c r="F716"/>
  <c r="C717"/>
  <c r="E717"/>
  <c r="F717"/>
  <c r="C718"/>
  <c r="E718"/>
  <c r="F718"/>
  <c r="C719"/>
  <c r="E719"/>
  <c r="F719"/>
  <c r="C720"/>
  <c r="E720"/>
  <c r="F720"/>
  <c r="C721"/>
  <c r="E721"/>
  <c r="F721"/>
  <c r="C722"/>
  <c r="E722"/>
  <c r="F722"/>
  <c r="C723"/>
  <c r="E723"/>
  <c r="F723"/>
  <c r="C724"/>
  <c r="E724"/>
  <c r="F724"/>
  <c r="C725"/>
  <c r="E725"/>
  <c r="F725"/>
  <c r="A726"/>
  <c r="B726"/>
  <c r="C726"/>
  <c r="E726"/>
  <c r="F726"/>
  <c r="C727"/>
  <c r="E727"/>
  <c r="F727"/>
  <c r="C728"/>
  <c r="E728"/>
  <c r="F728"/>
  <c r="C729"/>
  <c r="E729"/>
  <c r="F729"/>
  <c r="C730"/>
  <c r="E730"/>
  <c r="F730"/>
  <c r="C731"/>
  <c r="E731"/>
  <c r="F731"/>
  <c r="C732"/>
  <c r="E732"/>
  <c r="F732"/>
  <c r="C733"/>
  <c r="E733"/>
  <c r="F733"/>
  <c r="C734"/>
  <c r="E734"/>
  <c r="F734"/>
  <c r="C735"/>
  <c r="E735"/>
  <c r="F735"/>
  <c r="C736"/>
  <c r="E736"/>
  <c r="F736"/>
  <c r="C737"/>
  <c r="E737"/>
  <c r="F737"/>
  <c r="A738"/>
  <c r="B738"/>
  <c r="C738"/>
  <c r="E738"/>
  <c r="F738"/>
  <c r="C739"/>
  <c r="E739"/>
  <c r="F739"/>
  <c r="C740"/>
  <c r="E740"/>
  <c r="F740"/>
  <c r="C741"/>
  <c r="E741"/>
  <c r="F741"/>
  <c r="C742"/>
  <c r="E742"/>
  <c r="F742"/>
  <c r="C743"/>
  <c r="E743"/>
  <c r="F743"/>
  <c r="C744"/>
  <c r="E744"/>
  <c r="F744"/>
  <c r="C745"/>
  <c r="E745"/>
  <c r="F745"/>
  <c r="C746"/>
  <c r="E746"/>
  <c r="F746"/>
  <c r="C747"/>
  <c r="E747"/>
  <c r="F747"/>
  <c r="C748"/>
  <c r="E748"/>
  <c r="F748"/>
  <c r="C749"/>
  <c r="E749"/>
  <c r="F749"/>
  <c r="A750"/>
  <c r="B750"/>
  <c r="C750"/>
  <c r="E750"/>
  <c r="F750"/>
  <c r="C751"/>
  <c r="E751"/>
  <c r="F751"/>
  <c r="C752"/>
  <c r="E752"/>
  <c r="F752"/>
  <c r="C753"/>
  <c r="E753"/>
  <c r="F753"/>
  <c r="C754"/>
  <c r="E754"/>
  <c r="F754"/>
  <c r="C755"/>
  <c r="E755"/>
  <c r="F755"/>
  <c r="C756"/>
  <c r="E756"/>
  <c r="F756"/>
  <c r="C757"/>
  <c r="E757"/>
  <c r="F757"/>
  <c r="C758"/>
  <c r="E758"/>
  <c r="F758"/>
  <c r="C759"/>
  <c r="E759"/>
  <c r="F759"/>
  <c r="C760"/>
  <c r="E760"/>
  <c r="F760"/>
  <c r="C761"/>
  <c r="E761"/>
  <c r="F761"/>
  <c r="A762"/>
  <c r="B762"/>
  <c r="C762"/>
  <c r="E762"/>
  <c r="F762"/>
  <c r="C763"/>
  <c r="E763"/>
  <c r="F763"/>
  <c r="C764"/>
  <c r="E764"/>
  <c r="F764"/>
  <c r="C765"/>
  <c r="E765"/>
  <c r="F765"/>
  <c r="C766"/>
  <c r="E766"/>
  <c r="F766"/>
  <c r="C767"/>
  <c r="E767"/>
  <c r="F767"/>
  <c r="C768"/>
  <c r="E768"/>
  <c r="F768"/>
  <c r="C769"/>
  <c r="E769"/>
  <c r="F769"/>
  <c r="C770"/>
  <c r="E770"/>
  <c r="F770"/>
  <c r="C771"/>
  <c r="E771"/>
  <c r="F771"/>
  <c r="C772"/>
  <c r="E772"/>
  <c r="F772"/>
  <c r="C773"/>
  <c r="E773"/>
  <c r="F773"/>
  <c r="A774"/>
  <c r="B774"/>
  <c r="C774"/>
  <c r="E774"/>
  <c r="F774"/>
  <c r="C775"/>
  <c r="E775"/>
  <c r="F775"/>
  <c r="C776"/>
  <c r="E776"/>
  <c r="F776"/>
  <c r="C777"/>
  <c r="E777"/>
  <c r="F777"/>
  <c r="C778"/>
  <c r="E778"/>
  <c r="F778"/>
  <c r="C779"/>
  <c r="E779"/>
  <c r="F779"/>
  <c r="C780"/>
  <c r="E780"/>
  <c r="F780"/>
  <c r="C781"/>
  <c r="E781"/>
  <c r="F781"/>
  <c r="C782"/>
  <c r="E782"/>
  <c r="F782"/>
  <c r="C783"/>
  <c r="E783"/>
  <c r="F783"/>
  <c r="C784"/>
  <c r="E784"/>
  <c r="F784"/>
  <c r="C785"/>
  <c r="E785"/>
  <c r="F785"/>
  <c r="A786"/>
  <c r="B786"/>
  <c r="C786"/>
  <c r="E786"/>
  <c r="F786"/>
  <c r="C787"/>
  <c r="E787"/>
  <c r="F787"/>
  <c r="C788"/>
  <c r="E788"/>
  <c r="F788"/>
  <c r="C789"/>
  <c r="E789"/>
  <c r="F789"/>
  <c r="C790"/>
  <c r="E790"/>
  <c r="F790"/>
  <c r="C791"/>
  <c r="E791"/>
  <c r="F791"/>
  <c r="C792"/>
  <c r="E792"/>
  <c r="F792"/>
  <c r="C793"/>
  <c r="E793"/>
  <c r="F793"/>
  <c r="C794"/>
  <c r="E794"/>
  <c r="F794"/>
  <c r="C795"/>
  <c r="E795"/>
  <c r="F795"/>
  <c r="C796"/>
  <c r="E796"/>
  <c r="F796"/>
  <c r="C797"/>
  <c r="E797"/>
  <c r="F797"/>
  <c r="A798"/>
  <c r="B798"/>
  <c r="C798"/>
  <c r="E798"/>
  <c r="F798"/>
  <c r="C799"/>
  <c r="E799"/>
  <c r="F799"/>
  <c r="C800"/>
  <c r="E800"/>
  <c r="F800"/>
  <c r="C801"/>
  <c r="E801"/>
  <c r="F801"/>
  <c r="C802"/>
  <c r="E802"/>
  <c r="F802"/>
  <c r="C803"/>
  <c r="E803"/>
  <c r="F803"/>
  <c r="C804"/>
  <c r="E804"/>
  <c r="F804"/>
  <c r="C805"/>
  <c r="E805"/>
  <c r="F805"/>
  <c r="C806"/>
  <c r="E806"/>
  <c r="F806"/>
  <c r="C807"/>
  <c r="E807"/>
  <c r="F807"/>
  <c r="C808"/>
  <c r="E808"/>
  <c r="F808"/>
  <c r="C809"/>
  <c r="E809"/>
  <c r="F809"/>
  <c r="A810"/>
  <c r="B810"/>
  <c r="C810"/>
  <c r="E810"/>
  <c r="F810"/>
  <c r="C811"/>
  <c r="E811"/>
  <c r="F811"/>
  <c r="C812"/>
  <c r="E812"/>
  <c r="F812"/>
  <c r="C813"/>
  <c r="E813"/>
  <c r="F813"/>
  <c r="C814"/>
  <c r="E814"/>
  <c r="F814"/>
  <c r="C815"/>
  <c r="E815"/>
  <c r="F815"/>
  <c r="C816"/>
  <c r="E816"/>
  <c r="F816"/>
  <c r="C817"/>
  <c r="E817"/>
  <c r="F817"/>
  <c r="C818"/>
  <c r="E818"/>
  <c r="F818"/>
  <c r="C819"/>
  <c r="E819"/>
  <c r="F819"/>
  <c r="C820"/>
  <c r="E820"/>
  <c r="F820"/>
  <c r="C821"/>
  <c r="E821"/>
  <c r="F821"/>
  <c r="A822"/>
  <c r="B822"/>
  <c r="C822"/>
  <c r="E822"/>
  <c r="F822"/>
  <c r="C823"/>
  <c r="E823"/>
  <c r="F823"/>
  <c r="C824"/>
  <c r="E824"/>
  <c r="F824"/>
  <c r="C825"/>
  <c r="E825"/>
  <c r="F825"/>
  <c r="C826"/>
  <c r="E826"/>
  <c r="F826"/>
  <c r="C827"/>
  <c r="E827"/>
  <c r="F827"/>
  <c r="C828"/>
  <c r="E828"/>
  <c r="F828"/>
  <c r="C829"/>
  <c r="E829"/>
  <c r="F829"/>
  <c r="C830"/>
  <c r="E830"/>
  <c r="F830"/>
  <c r="C831"/>
  <c r="E831"/>
  <c r="F831"/>
  <c r="C832"/>
  <c r="E832"/>
  <c r="F832"/>
  <c r="C833"/>
  <c r="E833"/>
  <c r="F833"/>
  <c r="A834"/>
  <c r="B834"/>
  <c r="C834"/>
  <c r="E834"/>
  <c r="F834"/>
  <c r="C835"/>
  <c r="E835"/>
  <c r="F835"/>
  <c r="C836"/>
  <c r="E836"/>
  <c r="F836"/>
  <c r="C837"/>
  <c r="E837"/>
  <c r="F837"/>
  <c r="C838"/>
  <c r="E838"/>
  <c r="F838"/>
  <c r="C839"/>
  <c r="E839"/>
  <c r="F839"/>
  <c r="C840"/>
  <c r="E840"/>
  <c r="F840"/>
  <c r="C841"/>
  <c r="E841"/>
  <c r="F841"/>
  <c r="C842"/>
  <c r="E842"/>
  <c r="F842"/>
  <c r="C843"/>
  <c r="E843"/>
  <c r="F843"/>
  <c r="C844"/>
  <c r="E844"/>
  <c r="F844"/>
  <c r="C845"/>
  <c r="E845"/>
  <c r="F845"/>
  <c r="A846"/>
  <c r="B846"/>
  <c r="C846"/>
  <c r="E846"/>
  <c r="F846"/>
  <c r="C847"/>
  <c r="E847"/>
  <c r="F847"/>
  <c r="C848"/>
  <c r="E848"/>
  <c r="F848"/>
  <c r="C849"/>
  <c r="E849"/>
  <c r="F849"/>
  <c r="C850"/>
  <c r="E850"/>
  <c r="F850"/>
  <c r="C851"/>
  <c r="E851"/>
  <c r="F851"/>
  <c r="C852"/>
  <c r="E852"/>
  <c r="F852"/>
  <c r="C853"/>
  <c r="E853"/>
  <c r="F853"/>
  <c r="C854"/>
  <c r="E854"/>
  <c r="F854"/>
  <c r="C855"/>
  <c r="E855"/>
  <c r="F855"/>
  <c r="C856"/>
  <c r="E856"/>
  <c r="F856"/>
  <c r="C857"/>
  <c r="E857"/>
  <c r="F857"/>
  <c r="A858"/>
  <c r="B858"/>
  <c r="C858"/>
  <c r="E858"/>
  <c r="F858"/>
  <c r="C859"/>
  <c r="E859"/>
  <c r="F859"/>
  <c r="C860"/>
  <c r="E860"/>
  <c r="F860"/>
  <c r="C861"/>
  <c r="E861"/>
  <c r="F861"/>
  <c r="C862"/>
  <c r="E862"/>
  <c r="F862"/>
  <c r="C863"/>
  <c r="E863"/>
  <c r="F863"/>
  <c r="C864"/>
  <c r="E864"/>
  <c r="F864"/>
  <c r="C865"/>
  <c r="E865"/>
  <c r="F865"/>
  <c r="C866"/>
  <c r="E866"/>
  <c r="F866"/>
  <c r="C867"/>
  <c r="E867"/>
  <c r="F867"/>
  <c r="C868"/>
  <c r="E868"/>
  <c r="F868"/>
  <c r="C869"/>
  <c r="E869"/>
  <c r="F869"/>
  <c r="A870"/>
  <c r="B870"/>
  <c r="C870"/>
  <c r="E870"/>
  <c r="F870"/>
  <c r="C871"/>
  <c r="E871"/>
  <c r="F871"/>
  <c r="C872"/>
  <c r="E872"/>
  <c r="F872"/>
  <c r="C873"/>
  <c r="E873"/>
  <c r="F873"/>
  <c r="C874"/>
  <c r="E874"/>
  <c r="F874"/>
  <c r="C875"/>
  <c r="E875"/>
  <c r="F875"/>
  <c r="C876"/>
  <c r="E876"/>
  <c r="F876"/>
  <c r="C877"/>
  <c r="E877"/>
  <c r="F877"/>
  <c r="C878"/>
  <c r="E878"/>
  <c r="F878"/>
  <c r="C879"/>
  <c r="E879"/>
  <c r="F879"/>
  <c r="C880"/>
  <c r="E880"/>
  <c r="F880"/>
  <c r="C881"/>
  <c r="E881"/>
  <c r="F881"/>
  <c r="A882"/>
  <c r="B882"/>
  <c r="C882"/>
  <c r="E882"/>
  <c r="F882"/>
  <c r="C883"/>
  <c r="E883"/>
  <c r="F883"/>
  <c r="C884"/>
  <c r="E884"/>
  <c r="F884"/>
  <c r="C885"/>
  <c r="E885"/>
  <c r="F885"/>
  <c r="C886"/>
  <c r="E886"/>
  <c r="F886"/>
  <c r="C887"/>
  <c r="E887"/>
  <c r="F887"/>
  <c r="C888"/>
  <c r="E888"/>
  <c r="F888"/>
  <c r="C889"/>
  <c r="E889"/>
  <c r="F889"/>
  <c r="C890"/>
  <c r="E890"/>
  <c r="F890"/>
  <c r="C891"/>
  <c r="E891"/>
  <c r="F891"/>
  <c r="C892"/>
  <c r="E892"/>
  <c r="F892"/>
  <c r="C893"/>
  <c r="E893"/>
  <c r="F893"/>
  <c r="A894"/>
  <c r="B894"/>
  <c r="C894"/>
  <c r="E894"/>
  <c r="F894"/>
  <c r="C895"/>
  <c r="E895"/>
  <c r="F895"/>
  <c r="C896"/>
  <c r="E896"/>
  <c r="F896"/>
  <c r="C897"/>
  <c r="E897"/>
  <c r="F897"/>
  <c r="C898"/>
  <c r="E898"/>
  <c r="F898"/>
  <c r="C899"/>
  <c r="E899"/>
  <c r="F899"/>
  <c r="C900"/>
  <c r="E900"/>
  <c r="F900"/>
  <c r="C901"/>
  <c r="E901"/>
  <c r="F901"/>
  <c r="C902"/>
  <c r="E902"/>
  <c r="F902"/>
  <c r="C903"/>
  <c r="E903"/>
  <c r="F903"/>
  <c r="C904"/>
  <c r="E904"/>
  <c r="F904"/>
  <c r="C905"/>
  <c r="E905"/>
  <c r="F905"/>
  <c r="A906"/>
  <c r="B906"/>
  <c r="C906"/>
  <c r="E906"/>
  <c r="F906"/>
  <c r="C907"/>
  <c r="E907"/>
  <c r="F907"/>
  <c r="C908"/>
  <c r="E908"/>
  <c r="F908"/>
  <c r="C909"/>
  <c r="E909"/>
  <c r="F909"/>
  <c r="C910"/>
  <c r="E910"/>
  <c r="F910"/>
  <c r="C911"/>
  <c r="E911"/>
  <c r="F911"/>
  <c r="C912"/>
  <c r="E912"/>
  <c r="F912"/>
  <c r="C913"/>
  <c r="E913"/>
  <c r="F913"/>
  <c r="C914"/>
  <c r="E914"/>
  <c r="F914"/>
  <c r="C915"/>
  <c r="E915"/>
  <c r="F915"/>
  <c r="C916"/>
  <c r="E916"/>
  <c r="F916"/>
  <c r="C917"/>
  <c r="E917"/>
  <c r="F917"/>
  <c r="A918"/>
  <c r="B918"/>
  <c r="C918"/>
  <c r="E918"/>
  <c r="F918"/>
  <c r="C919"/>
  <c r="E919"/>
  <c r="F919"/>
  <c r="C920"/>
  <c r="E920"/>
  <c r="F920"/>
  <c r="C921"/>
  <c r="E921"/>
  <c r="F921"/>
  <c r="C922"/>
  <c r="E922"/>
  <c r="F922"/>
  <c r="C923"/>
  <c r="E923"/>
  <c r="F923"/>
  <c r="C924"/>
  <c r="E924"/>
  <c r="F924"/>
  <c r="C925"/>
  <c r="E925"/>
  <c r="F925"/>
  <c r="C926"/>
  <c r="E926"/>
  <c r="F926"/>
  <c r="C927"/>
  <c r="E927"/>
  <c r="F927"/>
  <c r="C928"/>
  <c r="E928"/>
  <c r="F928"/>
  <c r="C929"/>
  <c r="E929"/>
  <c r="F929"/>
  <c r="A930"/>
  <c r="B930"/>
  <c r="C930"/>
  <c r="E930"/>
  <c r="F930"/>
  <c r="C931"/>
  <c r="E931"/>
  <c r="F931"/>
  <c r="C932"/>
  <c r="E932"/>
  <c r="F932"/>
  <c r="C933"/>
  <c r="E933"/>
  <c r="F933"/>
  <c r="C934"/>
  <c r="E934"/>
  <c r="F934"/>
  <c r="C935"/>
  <c r="E935"/>
  <c r="F935"/>
  <c r="C936"/>
  <c r="E936"/>
  <c r="F936"/>
  <c r="C937"/>
  <c r="E937"/>
  <c r="F937"/>
  <c r="C938"/>
  <c r="E938"/>
  <c r="F938"/>
  <c r="C939"/>
  <c r="E939"/>
  <c r="F939"/>
  <c r="C940"/>
  <c r="E940"/>
  <c r="F940"/>
  <c r="C941"/>
  <c r="E941"/>
  <c r="F941"/>
  <c r="A942"/>
  <c r="B942"/>
  <c r="C942"/>
  <c r="E942"/>
  <c r="F942"/>
  <c r="C943"/>
  <c r="E943"/>
  <c r="F943"/>
  <c r="C944"/>
  <c r="E944"/>
  <c r="F944"/>
  <c r="C945"/>
  <c r="E945"/>
  <c r="F945"/>
  <c r="C946"/>
  <c r="E946"/>
  <c r="F946"/>
  <c r="C947"/>
  <c r="E947"/>
  <c r="F947"/>
  <c r="C948"/>
  <c r="E948"/>
  <c r="F948"/>
  <c r="C949"/>
  <c r="E949"/>
  <c r="F949"/>
  <c r="C950"/>
  <c r="E950"/>
  <c r="F950"/>
  <c r="C951"/>
  <c r="E951"/>
  <c r="F951"/>
  <c r="C952"/>
  <c r="E952"/>
  <c r="F952"/>
  <c r="C953"/>
  <c r="E953"/>
  <c r="F953"/>
  <c r="A954"/>
  <c r="B954"/>
  <c r="C954"/>
  <c r="E954"/>
  <c r="F954"/>
  <c r="C955"/>
  <c r="E955"/>
  <c r="F955"/>
  <c r="C956"/>
  <c r="E956"/>
  <c r="F956"/>
  <c r="C957"/>
  <c r="E957"/>
  <c r="F957"/>
  <c r="C958"/>
  <c r="E958"/>
  <c r="F958"/>
  <c r="C959"/>
  <c r="E959"/>
  <c r="F959"/>
  <c r="C960"/>
  <c r="E960"/>
  <c r="F960"/>
  <c r="C961"/>
  <c r="E961"/>
  <c r="F961"/>
  <c r="C962"/>
  <c r="E962"/>
  <c r="F962"/>
  <c r="C963"/>
  <c r="E963"/>
  <c r="F963"/>
  <c r="C964"/>
  <c r="E964"/>
  <c r="F964"/>
  <c r="C965"/>
  <c r="E965"/>
  <c r="F965"/>
  <c r="A966"/>
  <c r="B966"/>
  <c r="C966"/>
  <c r="E966"/>
  <c r="F966"/>
  <c r="C967"/>
  <c r="E967"/>
  <c r="F967"/>
  <c r="C968"/>
  <c r="E968"/>
  <c r="F968"/>
  <c r="C969"/>
  <c r="E969"/>
  <c r="F969"/>
  <c r="C970"/>
  <c r="E970"/>
  <c r="F970"/>
  <c r="C971"/>
  <c r="E971"/>
  <c r="F971"/>
  <c r="C972"/>
  <c r="E972"/>
  <c r="F972"/>
  <c r="C973"/>
  <c r="E973"/>
  <c r="F973"/>
  <c r="C974"/>
  <c r="E974"/>
  <c r="F974"/>
  <c r="C975"/>
  <c r="E975"/>
  <c r="F975"/>
  <c r="C976"/>
  <c r="E976"/>
  <c r="F976"/>
  <c r="C977"/>
  <c r="E977"/>
  <c r="F977"/>
  <c r="A978"/>
  <c r="B978"/>
  <c r="C978"/>
  <c r="E978"/>
  <c r="F978"/>
  <c r="C979"/>
  <c r="E979"/>
  <c r="F979"/>
  <c r="C980"/>
  <c r="E980"/>
  <c r="F980"/>
  <c r="C981"/>
  <c r="E981"/>
  <c r="F981"/>
  <c r="C982"/>
  <c r="E982"/>
  <c r="F982"/>
  <c r="C983"/>
  <c r="E983"/>
  <c r="F983"/>
  <c r="C984"/>
  <c r="E984"/>
  <c r="F984"/>
  <c r="C985"/>
  <c r="E985"/>
  <c r="F985"/>
  <c r="C986"/>
  <c r="E986"/>
  <c r="F986"/>
  <c r="C987"/>
  <c r="E987"/>
  <c r="F987"/>
  <c r="C988"/>
  <c r="E988"/>
  <c r="F988"/>
  <c r="C989"/>
  <c r="E989"/>
  <c r="F989"/>
  <c r="A990"/>
  <c r="B990"/>
  <c r="C990"/>
  <c r="E990"/>
  <c r="F990"/>
  <c r="C991"/>
  <c r="E991"/>
  <c r="F991"/>
  <c r="C992"/>
  <c r="E992"/>
  <c r="F992"/>
  <c r="C993"/>
  <c r="E993"/>
  <c r="F993"/>
  <c r="C994"/>
  <c r="E994"/>
  <c r="F994"/>
  <c r="C995"/>
  <c r="E995"/>
  <c r="F995"/>
  <c r="C996"/>
  <c r="E996"/>
  <c r="F996"/>
  <c r="C997"/>
  <c r="E997"/>
  <c r="F997"/>
  <c r="C998"/>
  <c r="E998"/>
  <c r="F998"/>
  <c r="C999"/>
  <c r="E999"/>
  <c r="F999"/>
  <c r="C1000"/>
  <c r="E1000"/>
  <c r="F1000"/>
  <c r="C1001"/>
  <c r="E1001"/>
  <c r="F1001"/>
  <c r="A1002"/>
  <c r="B1002"/>
  <c r="C1002"/>
  <c r="E1002"/>
  <c r="F1002"/>
  <c r="C1003"/>
  <c r="E1003"/>
  <c r="F1003"/>
  <c r="C1004"/>
  <c r="E1004"/>
  <c r="F1004"/>
  <c r="C1005"/>
  <c r="E1005"/>
  <c r="F1005"/>
  <c r="C1006"/>
  <c r="E1006"/>
  <c r="F1006"/>
  <c r="C1007"/>
  <c r="E1007"/>
  <c r="F1007"/>
  <c r="C1008"/>
  <c r="E1008"/>
  <c r="F1008"/>
  <c r="C1009"/>
  <c r="E1009"/>
  <c r="F1009"/>
  <c r="C1010"/>
  <c r="E1010"/>
  <c r="F1010"/>
  <c r="C1011"/>
  <c r="E1011"/>
  <c r="F1011"/>
  <c r="C1012"/>
  <c r="E1012"/>
  <c r="F1012"/>
  <c r="C1013"/>
  <c r="E1013"/>
  <c r="F1013"/>
  <c r="A1014"/>
  <c r="B1014"/>
  <c r="C1014"/>
  <c r="E1014"/>
  <c r="F1014"/>
  <c r="C1015"/>
  <c r="E1015"/>
  <c r="F1015"/>
  <c r="C1016"/>
  <c r="E1016"/>
  <c r="F1016"/>
  <c r="C1017"/>
  <c r="E1017"/>
  <c r="F1017"/>
  <c r="C1018"/>
  <c r="E1018"/>
  <c r="F1018"/>
  <c r="C1019"/>
  <c r="E1019"/>
  <c r="F1019"/>
  <c r="C1020"/>
  <c r="E1020"/>
  <c r="F1020"/>
  <c r="C1021"/>
  <c r="E1021"/>
  <c r="F1021"/>
  <c r="C1022"/>
  <c r="E1022"/>
  <c r="F1022"/>
  <c r="C1023"/>
  <c r="E1023"/>
  <c r="F1023"/>
  <c r="C1024"/>
  <c r="E1024"/>
  <c r="F1024"/>
  <c r="C1025"/>
  <c r="E1025"/>
  <c r="F1025"/>
  <c r="A1026"/>
  <c r="B1026"/>
  <c r="C1026"/>
  <c r="E1026"/>
  <c r="F1026"/>
  <c r="C1027"/>
  <c r="E1027"/>
  <c r="F1027"/>
  <c r="C1028"/>
  <c r="E1028"/>
  <c r="F1028"/>
  <c r="C1029"/>
  <c r="E1029"/>
  <c r="F1029"/>
  <c r="C1030"/>
  <c r="E1030"/>
  <c r="F1030"/>
  <c r="C1031"/>
  <c r="E1031"/>
  <c r="F1031"/>
  <c r="C1032"/>
  <c r="E1032"/>
  <c r="F1032"/>
  <c r="C1033"/>
  <c r="E1033"/>
  <c r="F1033"/>
  <c r="C1034"/>
  <c r="E1034"/>
  <c r="F1034"/>
  <c r="C1035"/>
  <c r="E1035"/>
  <c r="F1035"/>
  <c r="C1036"/>
  <c r="E1036"/>
  <c r="F1036"/>
  <c r="C1037"/>
  <c r="E1037"/>
  <c r="F1037"/>
  <c r="A1038"/>
  <c r="B1038"/>
  <c r="C1038"/>
  <c r="E1038"/>
  <c r="F1038"/>
  <c r="C1039"/>
  <c r="E1039"/>
  <c r="F1039"/>
  <c r="C1040"/>
  <c r="E1040"/>
  <c r="F1040"/>
  <c r="C1041"/>
  <c r="E1041"/>
  <c r="F1041"/>
  <c r="C1042"/>
  <c r="E1042"/>
  <c r="F1042"/>
  <c r="C1043"/>
  <c r="E1043"/>
  <c r="F1043"/>
  <c r="C1044"/>
  <c r="E1044"/>
  <c r="F1044"/>
  <c r="C1045"/>
  <c r="E1045"/>
  <c r="F1045"/>
  <c r="C1046"/>
  <c r="E1046"/>
  <c r="F1046"/>
  <c r="C1047"/>
  <c r="E1047"/>
  <c r="F1047"/>
  <c r="C1048"/>
  <c r="E1048"/>
  <c r="F1048"/>
  <c r="C1049"/>
  <c r="E1049"/>
  <c r="F1049"/>
  <c r="A1050"/>
  <c r="B1050"/>
  <c r="C1050"/>
  <c r="E1050"/>
  <c r="F1050"/>
  <c r="C1051"/>
  <c r="E1051"/>
  <c r="F1051"/>
  <c r="C1052"/>
  <c r="E1052"/>
  <c r="F1052"/>
  <c r="C1053"/>
  <c r="E1053"/>
  <c r="F1053"/>
  <c r="C1054"/>
  <c r="E1054"/>
  <c r="F1054"/>
  <c r="C1055"/>
  <c r="E1055"/>
  <c r="F1055"/>
  <c r="C1056"/>
  <c r="E1056"/>
  <c r="F1056"/>
  <c r="C1057"/>
  <c r="E1057"/>
  <c r="F1057"/>
  <c r="C1058"/>
  <c r="E1058"/>
  <c r="F1058"/>
  <c r="C1059"/>
  <c r="E1059"/>
  <c r="F1059"/>
  <c r="C1060"/>
  <c r="E1060"/>
  <c r="F1060"/>
  <c r="C1061"/>
  <c r="E1061"/>
  <c r="F1061"/>
  <c r="A1062"/>
  <c r="B1062"/>
  <c r="C1062"/>
  <c r="E1062"/>
  <c r="F1062"/>
  <c r="C1063"/>
  <c r="E1063"/>
  <c r="F1063"/>
  <c r="C1064"/>
  <c r="E1064"/>
  <c r="F1064"/>
  <c r="C1065"/>
  <c r="E1065"/>
  <c r="F1065"/>
  <c r="C1066"/>
  <c r="E1066"/>
  <c r="F1066"/>
  <c r="C1067"/>
  <c r="E1067"/>
  <c r="F1067"/>
  <c r="C1068"/>
  <c r="E1068"/>
  <c r="F1068"/>
  <c r="C1069"/>
  <c r="E1069"/>
  <c r="F1069"/>
  <c r="C1070"/>
  <c r="E1070"/>
  <c r="F1070"/>
  <c r="C1071"/>
  <c r="E1071"/>
  <c r="F1071"/>
  <c r="C1072"/>
  <c r="E1072"/>
  <c r="F1072"/>
  <c r="C1073"/>
  <c r="E1073"/>
  <c r="F1073"/>
  <c r="A1074"/>
  <c r="B1074"/>
  <c r="C1074"/>
  <c r="E1074"/>
  <c r="F1074"/>
  <c r="C1075"/>
  <c r="E1075"/>
  <c r="F1075"/>
  <c r="C1076"/>
  <c r="E1076"/>
  <c r="F1076"/>
  <c r="C1077"/>
  <c r="E1077"/>
  <c r="F1077"/>
  <c r="C1078"/>
  <c r="E1078"/>
  <c r="F1078"/>
  <c r="C1079"/>
  <c r="E1079"/>
  <c r="F1079"/>
  <c r="C1080"/>
  <c r="E1080"/>
  <c r="F1080"/>
  <c r="C1081"/>
  <c r="E1081"/>
  <c r="F1081"/>
  <c r="C1082"/>
  <c r="E1082"/>
  <c r="F1082"/>
  <c r="C1083"/>
  <c r="E1083"/>
  <c r="F1083"/>
  <c r="C1084"/>
  <c r="E1084"/>
  <c r="F1084"/>
  <c r="C1085"/>
  <c r="E1085"/>
  <c r="F1085"/>
  <c r="A1086"/>
  <c r="B1086"/>
  <c r="C1086"/>
  <c r="E1086"/>
  <c r="F1086"/>
  <c r="C1087"/>
  <c r="E1087"/>
  <c r="F1087"/>
  <c r="C1088"/>
  <c r="E1088"/>
  <c r="F1088"/>
  <c r="C1089"/>
  <c r="E1089"/>
  <c r="F1089"/>
  <c r="C1090"/>
  <c r="E1090"/>
  <c r="F1090"/>
  <c r="C1091"/>
  <c r="E1091"/>
  <c r="F1091"/>
  <c r="C1092"/>
  <c r="E1092"/>
  <c r="F1092"/>
  <c r="C1093"/>
  <c r="E1093"/>
  <c r="F1093"/>
  <c r="C1094"/>
  <c r="E1094"/>
  <c r="F1094"/>
  <c r="C1095"/>
  <c r="E1095"/>
  <c r="F1095"/>
  <c r="C1096"/>
  <c r="E1096"/>
  <c r="F1096"/>
  <c r="C1097"/>
  <c r="E1097"/>
  <c r="F1097"/>
  <c r="A1098"/>
  <c r="B1098"/>
  <c r="C1098"/>
  <c r="E1098"/>
  <c r="F1098"/>
  <c r="C1099"/>
  <c r="E1099"/>
  <c r="F1099"/>
  <c r="C1100"/>
  <c r="E1100"/>
  <c r="F1100"/>
  <c r="C1101"/>
  <c r="E1101"/>
  <c r="F1101"/>
  <c r="C1102"/>
  <c r="E1102"/>
  <c r="F1102"/>
  <c r="C1103"/>
  <c r="E1103"/>
  <c r="F1103"/>
  <c r="C1104"/>
  <c r="E1104"/>
  <c r="F1104"/>
  <c r="C1105"/>
  <c r="E1105"/>
  <c r="F1105"/>
  <c r="C1106"/>
  <c r="E1106"/>
  <c r="F1106"/>
  <c r="C1107"/>
  <c r="E1107"/>
  <c r="F1107"/>
  <c r="C1108"/>
  <c r="E1108"/>
  <c r="F1108"/>
  <c r="C1109"/>
  <c r="E1109"/>
  <c r="F1109"/>
  <c r="A1110"/>
  <c r="B1110"/>
  <c r="C1110"/>
  <c r="E1110"/>
  <c r="F1110"/>
  <c r="C1111"/>
  <c r="E1111"/>
  <c r="F1111"/>
  <c r="C1112"/>
  <c r="E1112"/>
  <c r="F1112"/>
  <c r="C1113"/>
  <c r="E1113"/>
  <c r="F1113"/>
  <c r="C1114"/>
  <c r="E1114"/>
  <c r="F1114"/>
  <c r="C1115"/>
  <c r="E1115"/>
  <c r="F1115"/>
  <c r="C1116"/>
  <c r="E1116"/>
  <c r="F1116"/>
  <c r="C1117"/>
  <c r="E1117"/>
  <c r="F1117"/>
  <c r="C1118"/>
  <c r="E1118"/>
  <c r="F1118"/>
  <c r="C1119"/>
  <c r="E1119"/>
  <c r="F1119"/>
  <c r="C1120"/>
  <c r="E1120"/>
  <c r="F1120"/>
  <c r="C1121"/>
  <c r="E1121"/>
  <c r="F1121"/>
  <c r="A1122"/>
  <c r="B1122"/>
  <c r="C1122"/>
  <c r="E1122"/>
  <c r="F1122"/>
  <c r="C1123"/>
  <c r="E1123"/>
  <c r="F1123"/>
  <c r="C1124"/>
  <c r="E1124"/>
  <c r="F1124"/>
  <c r="C1125"/>
  <c r="E1125"/>
  <c r="F1125"/>
  <c r="C1126"/>
  <c r="E1126"/>
  <c r="F1126"/>
  <c r="C1127"/>
  <c r="E1127"/>
  <c r="F1127"/>
  <c r="C1128"/>
  <c r="E1128"/>
  <c r="F1128"/>
  <c r="C1129"/>
  <c r="E1129"/>
  <c r="F1129"/>
  <c r="C1130"/>
  <c r="E1130"/>
  <c r="F1130"/>
  <c r="C1131"/>
  <c r="E1131"/>
  <c r="F1131"/>
  <c r="C1132"/>
  <c r="E1132"/>
  <c r="F1132"/>
  <c r="C1133"/>
  <c r="E1133"/>
  <c r="F1133"/>
  <c r="A1134"/>
  <c r="B1134"/>
  <c r="C1134"/>
  <c r="E1134"/>
  <c r="F1134"/>
  <c r="C1135"/>
  <c r="E1135"/>
  <c r="F1135"/>
  <c r="C1136"/>
  <c r="E1136"/>
  <c r="F1136"/>
  <c r="C1137"/>
  <c r="E1137"/>
  <c r="F1137"/>
  <c r="C1138"/>
  <c r="E1138"/>
  <c r="F1138"/>
  <c r="C1139"/>
  <c r="E1139"/>
  <c r="F1139"/>
  <c r="C1140"/>
  <c r="E1140"/>
  <c r="F1140"/>
  <c r="C1141"/>
  <c r="E1141"/>
  <c r="F1141"/>
  <c r="C1142"/>
  <c r="E1142"/>
  <c r="F1142"/>
  <c r="C1143"/>
  <c r="E1143"/>
  <c r="F1143"/>
  <c r="C1144"/>
  <c r="E1144"/>
  <c r="F1144"/>
  <c r="C1145"/>
  <c r="E1145"/>
  <c r="F1145"/>
  <c r="A1146"/>
  <c r="B1146"/>
  <c r="C1146"/>
  <c r="E1146"/>
  <c r="F1146"/>
  <c r="A1147"/>
  <c r="B1147"/>
  <c r="C1147"/>
  <c r="E1147"/>
  <c r="F1147"/>
  <c r="C1148"/>
  <c r="E1148"/>
  <c r="F1148"/>
  <c r="C1149"/>
  <c r="E1149"/>
  <c r="F1149"/>
  <c r="C1150"/>
  <c r="E1150"/>
  <c r="F1150"/>
  <c r="A1151"/>
  <c r="B1151"/>
  <c r="C1151"/>
  <c r="E1151"/>
  <c r="F1151"/>
  <c r="A1152"/>
  <c r="B1152"/>
  <c r="C1152"/>
  <c r="E1152"/>
  <c r="F1152"/>
  <c r="A1153"/>
  <c r="B1153"/>
  <c r="C1153"/>
  <c r="E1153"/>
  <c r="F1153"/>
  <c r="A1154"/>
  <c r="B1154"/>
  <c r="C1154"/>
  <c r="E1154"/>
  <c r="F1154"/>
  <c r="A1155"/>
  <c r="B1155"/>
  <c r="C1155"/>
  <c r="E1155"/>
  <c r="F1155"/>
  <c r="A1156"/>
  <c r="B1156"/>
  <c r="C1156"/>
  <c r="E1156"/>
  <c r="F1156"/>
  <c r="A1157"/>
  <c r="B1157"/>
  <c r="C1157"/>
  <c r="E1157"/>
  <c r="F1157"/>
  <c r="A1158"/>
  <c r="B1158"/>
  <c r="C1158"/>
  <c r="E1158"/>
  <c r="F1158"/>
  <c r="A1159"/>
  <c r="B1159"/>
  <c r="C1159"/>
  <c r="E1159"/>
  <c r="F1159"/>
  <c r="A1160"/>
  <c r="B1160"/>
  <c r="C1160"/>
  <c r="E1160"/>
  <c r="F1160"/>
  <c r="A1161"/>
  <c r="B1161"/>
  <c r="C1161"/>
  <c r="E1161"/>
  <c r="F1161"/>
  <c r="A1162"/>
  <c r="B1162"/>
  <c r="C1162"/>
  <c r="E1162"/>
  <c r="F1162"/>
  <c r="A1163"/>
  <c r="B1163"/>
  <c r="C1163"/>
  <c r="E1163"/>
  <c r="F1163"/>
  <c r="A1164"/>
  <c r="B1164"/>
  <c r="C1164"/>
  <c r="E1164"/>
  <c r="F1164"/>
  <c r="A1165"/>
  <c r="B1165"/>
  <c r="C1165"/>
  <c r="E1165"/>
  <c r="F1165"/>
  <c r="A1166"/>
  <c r="B1166"/>
  <c r="C1166"/>
  <c r="E1166"/>
  <c r="F1166"/>
  <c r="A1167"/>
  <c r="B1167"/>
  <c r="C1167"/>
  <c r="E1167"/>
  <c r="F1167"/>
  <c r="A1168"/>
  <c r="B1168"/>
  <c r="C1168"/>
  <c r="E1168"/>
  <c r="F1168"/>
  <c r="A1169"/>
  <c r="B1169"/>
  <c r="C1169"/>
  <c r="E1169"/>
  <c r="F1169"/>
  <c r="A1170"/>
  <c r="B1170"/>
  <c r="C1170"/>
  <c r="E1170"/>
  <c r="F1170"/>
  <c r="A1171"/>
  <c r="B1171"/>
  <c r="C1171"/>
  <c r="E1171"/>
  <c r="F1171"/>
  <c r="A1172"/>
  <c r="B1172"/>
  <c r="C1172"/>
  <c r="E1172"/>
  <c r="F1172"/>
  <c r="A1173"/>
  <c r="B1173"/>
  <c r="C1173"/>
  <c r="E1173"/>
  <c r="F1173"/>
  <c r="A1174"/>
  <c r="B1174"/>
  <c r="C1174"/>
  <c r="E1174"/>
  <c r="F1174"/>
  <c r="A1175"/>
  <c r="B1175"/>
  <c r="C1175"/>
  <c r="E1175"/>
  <c r="F1175"/>
  <c r="A1176"/>
  <c r="B1176"/>
  <c r="C1176"/>
  <c r="E1176"/>
  <c r="F1176"/>
  <c r="A1177"/>
  <c r="B1177"/>
  <c r="C1177"/>
  <c r="E1177"/>
  <c r="F1177"/>
  <c r="A1178"/>
  <c r="B1178"/>
  <c r="C1178"/>
  <c r="E1178"/>
  <c r="F1178"/>
  <c r="A1179"/>
  <c r="B1179"/>
  <c r="C1179"/>
  <c r="E1179"/>
  <c r="F1179"/>
  <c r="A1180"/>
  <c r="B1180"/>
  <c r="C1180"/>
  <c r="E1180"/>
  <c r="F1180"/>
  <c r="A1181"/>
  <c r="B1181"/>
  <c r="C1181"/>
  <c r="E1181"/>
  <c r="F1181"/>
  <c r="A1182"/>
  <c r="B1182"/>
  <c r="C1182"/>
  <c r="E1182"/>
  <c r="F1182"/>
  <c r="A1183"/>
  <c r="B1183"/>
  <c r="C1183"/>
  <c r="E1183"/>
  <c r="F1183"/>
  <c r="A1184"/>
  <c r="B1184"/>
  <c r="C1184"/>
  <c r="E1184"/>
  <c r="F1184"/>
  <c r="A1185"/>
  <c r="B1185"/>
  <c r="C1185"/>
  <c r="E1185"/>
  <c r="F1185"/>
  <c r="A1186"/>
  <c r="B1186"/>
  <c r="C1186"/>
  <c r="E1186"/>
  <c r="F1186"/>
  <c r="A1187"/>
  <c r="B1187"/>
  <c r="C1187"/>
  <c r="E1187"/>
  <c r="F1187"/>
  <c r="A1188"/>
  <c r="B1188"/>
  <c r="C1188"/>
  <c r="E1188"/>
  <c r="F1188"/>
  <c r="A1189"/>
  <c r="B1189"/>
  <c r="C1189"/>
  <c r="E1189"/>
  <c r="F1189"/>
  <c r="A1190"/>
  <c r="B1190"/>
  <c r="C1190"/>
  <c r="E1190"/>
  <c r="F1190"/>
  <c r="A1191"/>
  <c r="B1191"/>
  <c r="C1191"/>
  <c r="E1191"/>
  <c r="F1191"/>
  <c r="A1192"/>
  <c r="B1192"/>
  <c r="C1192"/>
  <c r="E1192"/>
  <c r="F1192"/>
  <c r="A1193"/>
  <c r="B1193"/>
  <c r="C1193"/>
  <c r="E1193"/>
  <c r="F1193"/>
  <c r="A1194"/>
  <c r="B1194"/>
  <c r="C1194"/>
  <c r="E1194"/>
  <c r="F1194"/>
  <c r="A1195"/>
  <c r="B1195"/>
  <c r="C1195"/>
  <c r="E1195"/>
  <c r="F1195"/>
  <c r="A1196"/>
  <c r="B1196"/>
  <c r="C1196"/>
  <c r="E1196"/>
  <c r="F1196"/>
  <c r="A1197"/>
  <c r="B1197"/>
  <c r="C1197"/>
  <c r="E1197"/>
  <c r="F1197"/>
  <c r="A1198"/>
  <c r="B1198"/>
  <c r="C1198"/>
  <c r="E1198"/>
  <c r="F1198"/>
  <c r="A1199"/>
  <c r="B1199"/>
  <c r="C1199"/>
  <c r="E1199"/>
  <c r="F1199"/>
  <c r="A1200"/>
  <c r="B1200"/>
  <c r="C1200"/>
  <c r="E1200"/>
  <c r="F1200"/>
  <c r="A1201"/>
  <c r="B1201"/>
  <c r="C1201"/>
  <c r="E1201"/>
  <c r="F1201"/>
  <c r="A1202"/>
  <c r="B1202"/>
  <c r="C1202"/>
  <c r="E1202"/>
  <c r="F1202"/>
  <c r="A1203"/>
  <c r="B1203"/>
  <c r="C1203"/>
  <c r="E1203"/>
  <c r="F1203"/>
  <c r="A1204"/>
  <c r="B1204"/>
  <c r="C1204"/>
  <c r="E1204"/>
  <c r="F1204"/>
  <c r="A1205"/>
  <c r="B1205"/>
  <c r="C1205"/>
  <c r="E1205"/>
  <c r="F1205"/>
  <c r="A1206"/>
  <c r="B1206"/>
  <c r="C1206"/>
  <c r="E1206"/>
  <c r="F1206"/>
  <c r="A1207"/>
  <c r="B1207"/>
  <c r="C1207"/>
  <c r="E1207"/>
  <c r="F1207"/>
  <c r="A1208"/>
  <c r="B1208"/>
  <c r="C1208"/>
  <c r="E1208"/>
  <c r="F1208"/>
  <c r="A1209"/>
  <c r="B1209"/>
  <c r="C1209"/>
  <c r="E1209"/>
  <c r="F1209"/>
  <c r="A1210"/>
  <c r="B1210"/>
  <c r="C1210"/>
  <c r="E1210"/>
  <c r="F1210"/>
  <c r="A1211"/>
  <c r="B1211"/>
  <c r="C1211"/>
  <c r="E1211"/>
  <c r="F1211"/>
  <c r="A1212"/>
  <c r="B1212"/>
  <c r="C1212"/>
  <c r="E1212"/>
  <c r="F1212"/>
  <c r="A1213"/>
  <c r="B1213"/>
  <c r="C1213"/>
  <c r="E1213"/>
  <c r="F1213"/>
  <c r="A1214"/>
  <c r="B1214"/>
  <c r="C1214"/>
  <c r="E1214"/>
  <c r="F1214"/>
  <c r="A1215"/>
  <c r="B1215"/>
  <c r="C1215"/>
  <c r="E1215"/>
  <c r="F1215"/>
  <c r="A1216"/>
  <c r="B1216"/>
  <c r="C1216"/>
  <c r="E1216"/>
  <c r="F1216"/>
  <c r="A1217"/>
  <c r="B1217"/>
  <c r="C1217"/>
  <c r="E1217"/>
  <c r="F1217"/>
  <c r="A1218"/>
  <c r="B1218"/>
  <c r="C1218"/>
  <c r="E1218"/>
  <c r="F1218"/>
  <c r="A1219"/>
  <c r="B1219"/>
  <c r="C1219"/>
  <c r="E1219"/>
  <c r="F1219"/>
  <c r="A1220"/>
  <c r="B1220"/>
  <c r="C1220"/>
  <c r="E1220"/>
  <c r="F1220"/>
  <c r="C1221"/>
  <c r="E1221"/>
  <c r="F1221"/>
  <c r="C1222"/>
  <c r="E1222"/>
  <c r="F1222"/>
  <c r="A1223"/>
  <c r="B1223"/>
  <c r="C1223"/>
  <c r="E1223"/>
  <c r="F1223"/>
  <c r="A1224"/>
  <c r="B1224"/>
  <c r="C1224"/>
  <c r="E1224"/>
  <c r="F1224"/>
  <c r="A1225"/>
  <c r="B1225"/>
  <c r="C1225"/>
  <c r="E1225"/>
  <c r="F1225"/>
  <c r="A1226"/>
  <c r="B1226"/>
  <c r="C1226"/>
  <c r="E1226"/>
  <c r="F1226"/>
  <c r="A1227"/>
  <c r="B1227"/>
  <c r="C1227"/>
  <c r="E1227"/>
  <c r="F1227"/>
  <c r="A1228"/>
  <c r="B1228"/>
  <c r="C1228"/>
  <c r="E1228"/>
  <c r="F1228"/>
  <c r="A1229"/>
  <c r="B1229"/>
  <c r="C1229"/>
  <c r="E1229"/>
  <c r="F1229"/>
  <c r="A1230"/>
  <c r="B1230"/>
  <c r="C1230"/>
  <c r="E1230"/>
  <c r="F1230"/>
  <c r="A1231"/>
  <c r="B1231"/>
  <c r="C1231"/>
  <c r="E1231"/>
  <c r="F1231"/>
  <c r="A1232"/>
  <c r="B1232"/>
  <c r="C1232"/>
  <c r="E1232"/>
  <c r="F1232"/>
  <c r="C1233"/>
  <c r="E1233"/>
  <c r="F1233"/>
  <c r="A1234"/>
  <c r="B1234"/>
  <c r="C1234"/>
  <c r="E1234"/>
  <c r="F1234"/>
  <c r="A1235"/>
  <c r="B1235"/>
  <c r="C1235"/>
  <c r="E1235"/>
  <c r="F1235"/>
  <c r="A1236"/>
  <c r="B1236"/>
  <c r="C1236"/>
  <c r="E1236"/>
  <c r="F1236"/>
  <c r="A1237"/>
  <c r="B1237"/>
  <c r="C1237"/>
  <c r="E1237"/>
  <c r="F1237"/>
  <c r="A1238"/>
  <c r="B1238"/>
  <c r="C1238"/>
  <c r="E1238"/>
  <c r="F1238"/>
  <c r="A1239"/>
  <c r="B1239"/>
  <c r="C1239"/>
  <c r="E1239"/>
  <c r="F1239"/>
  <c r="A1240"/>
  <c r="B1240"/>
  <c r="C1240"/>
  <c r="E1240"/>
  <c r="F1240"/>
  <c r="A1241"/>
  <c r="B1241"/>
  <c r="C1241"/>
  <c r="E1241"/>
  <c r="F1241"/>
  <c r="A1242"/>
  <c r="B1242"/>
  <c r="C1242"/>
  <c r="E1242"/>
  <c r="F1242"/>
  <c r="A1243"/>
  <c r="B1243"/>
  <c r="C1243"/>
  <c r="E1243"/>
  <c r="F1243"/>
  <c r="A1244"/>
  <c r="B1244"/>
  <c r="C1244"/>
  <c r="E1244"/>
  <c r="F1244"/>
  <c r="A1245"/>
  <c r="B1245"/>
  <c r="C1245"/>
  <c r="E1245"/>
  <c r="F1245"/>
  <c r="A1246"/>
  <c r="B1246"/>
  <c r="C1246"/>
  <c r="E1246"/>
  <c r="F1246"/>
  <c r="A1247"/>
  <c r="B1247"/>
  <c r="C1247"/>
  <c r="E1247"/>
  <c r="F1247"/>
  <c r="A1248"/>
  <c r="B1248"/>
  <c r="C1248"/>
  <c r="E1248"/>
  <c r="F1248"/>
  <c r="A1249"/>
  <c r="B1249"/>
  <c r="C1249"/>
  <c r="E1249"/>
  <c r="F1249"/>
  <c r="A1250"/>
  <c r="B1250"/>
  <c r="C1250"/>
  <c r="E1250"/>
  <c r="F1250"/>
  <c r="A1251"/>
  <c r="B1251"/>
  <c r="C1251"/>
  <c r="E1251"/>
  <c r="F1251"/>
  <c r="A1252"/>
  <c r="B1252"/>
  <c r="C1252"/>
  <c r="E1252"/>
  <c r="F1252"/>
  <c r="A1253"/>
  <c r="B1253"/>
  <c r="C1253"/>
  <c r="E1253"/>
  <c r="F1253"/>
  <c r="A1254"/>
  <c r="B1254"/>
  <c r="C1254"/>
  <c r="E1254"/>
  <c r="F1254"/>
  <c r="A1255"/>
  <c r="B1255"/>
  <c r="C1255"/>
  <c r="E1255"/>
  <c r="F1255"/>
  <c r="A1256"/>
  <c r="B1256"/>
  <c r="C1256"/>
  <c r="E1256"/>
  <c r="F1256"/>
  <c r="A1257"/>
  <c r="B1257"/>
  <c r="C1257"/>
  <c r="E1257"/>
  <c r="F1257"/>
  <c r="C1258"/>
  <c r="E1258"/>
  <c r="F1258"/>
  <c r="A1259"/>
  <c r="B1259"/>
  <c r="C1259"/>
  <c r="E1259"/>
  <c r="F1259"/>
  <c r="A1260"/>
  <c r="B1260"/>
  <c r="C1260"/>
  <c r="E1260"/>
  <c r="F1260"/>
  <c r="A1261"/>
  <c r="B1261"/>
  <c r="C1261"/>
  <c r="E1261"/>
  <c r="F1261"/>
  <c r="A1262"/>
  <c r="B1262"/>
  <c r="C1262"/>
  <c r="E1262"/>
  <c r="F1262"/>
  <c r="A1263"/>
  <c r="B1263"/>
  <c r="C1263"/>
  <c r="E1263"/>
  <c r="F1263"/>
  <c r="A1264"/>
  <c r="B1264"/>
  <c r="C1264"/>
  <c r="E1264"/>
  <c r="F1264"/>
  <c r="A1265"/>
  <c r="B1265"/>
  <c r="C1265"/>
  <c r="E1265"/>
  <c r="F1265"/>
  <c r="A1266"/>
  <c r="B1266"/>
  <c r="C1266"/>
  <c r="E1266"/>
  <c r="F1266"/>
  <c r="A1267"/>
  <c r="B1267"/>
  <c r="C1267"/>
  <c r="E1267"/>
  <c r="F1267"/>
  <c r="A1268"/>
  <c r="B1268"/>
  <c r="C1268"/>
  <c r="E1268"/>
  <c r="F1268"/>
  <c r="A1269"/>
  <c r="B1269"/>
  <c r="C1269"/>
  <c r="E1269"/>
  <c r="F1269"/>
  <c r="A1270"/>
  <c r="B1270"/>
  <c r="C1270"/>
  <c r="E1270"/>
  <c r="F1270"/>
  <c r="A1271"/>
  <c r="B1271"/>
  <c r="C1271"/>
  <c r="E1271"/>
  <c r="F1271"/>
  <c r="A1272"/>
  <c r="B1272"/>
  <c r="C1272"/>
  <c r="E1272"/>
  <c r="F1272"/>
  <c r="A1273"/>
  <c r="B1273"/>
  <c r="C1273"/>
  <c r="E1273"/>
  <c r="F1273"/>
  <c r="A1274"/>
  <c r="B1274"/>
  <c r="C1274"/>
  <c r="E1274"/>
  <c r="F1274"/>
  <c r="A1275"/>
  <c r="B1275"/>
  <c r="C1275"/>
  <c r="E1275"/>
  <c r="F1275"/>
  <c r="A1276"/>
  <c r="B1276"/>
  <c r="C1276"/>
  <c r="E1276"/>
  <c r="F1276"/>
  <c r="A1277"/>
  <c r="B1277"/>
  <c r="C1277"/>
  <c r="E1277"/>
  <c r="F1277"/>
  <c r="A1278"/>
  <c r="B1278"/>
  <c r="C1278"/>
  <c r="E1278"/>
  <c r="F1278"/>
  <c r="A1279"/>
  <c r="B1279"/>
  <c r="C1279"/>
  <c r="E1279"/>
  <c r="F1279"/>
  <c r="A1280"/>
  <c r="B1280"/>
  <c r="C1280"/>
  <c r="E1280"/>
  <c r="F1280"/>
  <c r="A1281"/>
  <c r="B1281"/>
  <c r="C1281"/>
  <c r="E1281"/>
  <c r="F1281"/>
  <c r="A1282"/>
  <c r="B1282"/>
  <c r="C1282"/>
  <c r="E1282"/>
  <c r="F1282"/>
  <c r="A1283"/>
  <c r="B1283"/>
  <c r="C1283"/>
  <c r="E1283"/>
  <c r="F1283"/>
  <c r="A1284"/>
  <c r="B1284"/>
  <c r="C1284"/>
  <c r="E1284"/>
  <c r="F1284"/>
  <c r="A1285"/>
  <c r="B1285"/>
  <c r="C1285"/>
  <c r="E1285"/>
  <c r="F1285"/>
  <c r="A1286"/>
  <c r="B1286"/>
  <c r="C1286"/>
  <c r="E1286"/>
  <c r="F1286"/>
  <c r="A1287"/>
  <c r="B1287"/>
  <c r="C1287"/>
  <c r="E1287"/>
  <c r="F1287"/>
  <c r="A1288"/>
  <c r="B1288"/>
  <c r="C1288"/>
  <c r="E1288"/>
  <c r="F1288"/>
  <c r="A1289"/>
  <c r="B1289"/>
  <c r="C1289"/>
  <c r="E1289"/>
  <c r="F1289"/>
  <c r="A1290"/>
  <c r="B1290"/>
  <c r="C1290"/>
  <c r="E1290"/>
  <c r="F1290"/>
  <c r="A1291"/>
  <c r="B1291"/>
  <c r="C1291"/>
  <c r="E1291"/>
  <c r="F1291"/>
  <c r="A1292"/>
  <c r="B1292"/>
  <c r="C1292"/>
  <c r="E1292"/>
  <c r="F1292"/>
  <c r="A1293"/>
  <c r="B1293"/>
  <c r="C1293"/>
  <c r="E1293"/>
  <c r="F1293"/>
  <c r="A1294"/>
  <c r="B1294"/>
  <c r="C1294"/>
  <c r="E1294"/>
  <c r="F1294"/>
  <c r="A1295"/>
  <c r="B1295"/>
  <c r="C1295"/>
  <c r="E1295"/>
  <c r="F1295"/>
  <c r="A1296"/>
  <c r="B1296"/>
  <c r="C1296"/>
  <c r="E1296"/>
  <c r="F1296"/>
  <c r="A1297"/>
  <c r="B1297"/>
  <c r="C1297"/>
  <c r="E1297"/>
  <c r="F1297"/>
  <c r="A1298"/>
  <c r="B1298"/>
  <c r="C1298"/>
  <c r="E1298"/>
  <c r="F1298"/>
  <c r="A1299"/>
  <c r="B1299"/>
  <c r="C1299"/>
  <c r="E1299"/>
  <c r="F1299"/>
  <c r="A1300"/>
  <c r="B1300"/>
  <c r="C1300"/>
  <c r="E1300"/>
  <c r="F1300"/>
  <c r="A1301"/>
  <c r="B1301"/>
  <c r="C1301"/>
  <c r="E1301"/>
  <c r="F1301"/>
  <c r="A1302"/>
  <c r="B1302"/>
  <c r="C1302"/>
  <c r="E1302"/>
  <c r="F1302"/>
  <c r="A1303"/>
  <c r="B1303"/>
  <c r="C1303"/>
  <c r="E1303"/>
  <c r="F1303"/>
  <c r="A1304"/>
  <c r="B1304"/>
  <c r="C1304"/>
  <c r="E1304"/>
  <c r="F1304"/>
  <c r="A1305"/>
  <c r="B1305"/>
  <c r="C1305"/>
  <c r="E1305"/>
  <c r="F1305"/>
  <c r="A1306"/>
  <c r="B1306"/>
  <c r="C1306"/>
  <c r="E1306"/>
  <c r="F1306"/>
  <c r="A1307"/>
  <c r="B1307"/>
  <c r="C1307"/>
  <c r="E1307"/>
  <c r="F1307"/>
  <c r="A1308"/>
  <c r="B1308"/>
  <c r="C1308"/>
  <c r="E1308"/>
  <c r="F1308"/>
  <c r="A1309"/>
  <c r="B1309"/>
  <c r="C1309"/>
  <c r="E1309"/>
  <c r="F1309"/>
  <c r="A1310"/>
  <c r="B1310"/>
  <c r="C1310"/>
  <c r="E1310"/>
  <c r="F1310"/>
  <c r="A1311"/>
  <c r="B1311"/>
  <c r="C1311"/>
  <c r="E1311"/>
  <c r="F1311"/>
  <c r="A1312"/>
  <c r="B1312"/>
  <c r="C1312"/>
  <c r="E1312"/>
  <c r="F1312"/>
  <c r="A1313"/>
  <c r="B1313"/>
  <c r="C1313"/>
  <c r="E1313"/>
  <c r="F1313"/>
  <c r="A1314"/>
  <c r="B1314"/>
  <c r="C1314"/>
  <c r="E1314"/>
  <c r="F1314"/>
  <c r="A1315"/>
  <c r="B1315"/>
  <c r="C1315"/>
  <c r="E1315"/>
  <c r="F1315"/>
  <c r="A1316"/>
  <c r="B1316"/>
  <c r="C1316"/>
  <c r="E1316"/>
  <c r="F1316"/>
  <c r="A1317"/>
  <c r="B1317"/>
  <c r="C1317"/>
  <c r="E1317"/>
  <c r="F1317"/>
  <c r="A1318"/>
  <c r="B1318"/>
  <c r="C1318"/>
  <c r="E1318"/>
  <c r="F1318"/>
  <c r="A1319"/>
  <c r="B1319"/>
  <c r="C1319"/>
  <c r="E1319"/>
  <c r="F1319"/>
  <c r="A1320"/>
  <c r="B1320"/>
  <c r="C1320"/>
  <c r="E1320"/>
  <c r="F1320"/>
  <c r="A1321"/>
  <c r="B1321"/>
  <c r="C1321"/>
  <c r="E1321"/>
  <c r="F1321"/>
  <c r="A1322"/>
  <c r="B1322"/>
  <c r="C1322"/>
  <c r="E1322"/>
  <c r="F1322"/>
  <c r="A1323"/>
  <c r="B1323"/>
  <c r="C1323"/>
  <c r="E1323"/>
  <c r="F1323"/>
  <c r="A1324"/>
  <c r="B1324"/>
  <c r="C1324"/>
  <c r="E1324"/>
  <c r="F1324"/>
  <c r="A1325"/>
  <c r="B1325"/>
  <c r="C1325"/>
  <c r="E1325"/>
  <c r="F1325"/>
  <c r="A1326"/>
  <c r="B1326"/>
  <c r="C1326"/>
  <c r="E1326"/>
  <c r="F1326"/>
  <c r="A1327"/>
  <c r="B1327"/>
  <c r="C1327"/>
  <c r="E1327"/>
  <c r="F1327"/>
  <c r="A1328"/>
  <c r="B1328"/>
  <c r="C1328"/>
  <c r="E1328"/>
  <c r="F1328"/>
  <c r="A1329"/>
  <c r="B1329"/>
  <c r="C1329"/>
  <c r="E1329"/>
  <c r="F1329"/>
  <c r="A1330"/>
  <c r="B1330"/>
  <c r="C1330"/>
  <c r="E1330"/>
  <c r="F1330"/>
  <c r="A1331"/>
  <c r="B1331"/>
  <c r="C1331"/>
  <c r="E1331"/>
  <c r="F1331"/>
  <c r="A1332"/>
  <c r="B1332"/>
  <c r="C1332"/>
  <c r="E1332"/>
  <c r="F1332"/>
  <c r="A1333"/>
  <c r="B1333"/>
  <c r="C1333"/>
  <c r="E1333"/>
  <c r="F1333"/>
  <c r="A1334"/>
  <c r="B1334"/>
  <c r="C1334"/>
  <c r="E1334"/>
  <c r="F1334"/>
  <c r="A1335"/>
  <c r="B1335"/>
  <c r="C1335"/>
  <c r="E1335"/>
  <c r="F1335"/>
  <c r="A1336"/>
  <c r="B1336"/>
  <c r="C1336"/>
  <c r="E1336"/>
  <c r="F1336"/>
  <c r="A1337"/>
  <c r="B1337"/>
  <c r="C1337"/>
  <c r="E1337"/>
  <c r="F1337"/>
  <c r="A1338"/>
  <c r="B1338"/>
  <c r="C1338"/>
  <c r="E1338"/>
  <c r="F1338"/>
  <c r="A1339"/>
  <c r="B1339"/>
  <c r="C1339"/>
  <c r="E1339"/>
  <c r="F1339"/>
  <c r="A1340"/>
  <c r="B1340"/>
  <c r="C1340"/>
  <c r="E1340"/>
  <c r="F1340"/>
  <c r="A1341"/>
  <c r="B1341"/>
  <c r="C1341"/>
  <c r="E1341"/>
  <c r="F1341"/>
  <c r="A1342"/>
  <c r="B1342"/>
  <c r="C1342"/>
  <c r="E1342"/>
  <c r="F1342"/>
  <c r="A1343"/>
  <c r="B1343"/>
  <c r="C1343"/>
  <c r="E1343"/>
  <c r="F1343"/>
  <c r="A1344"/>
  <c r="B1344"/>
  <c r="C1344"/>
  <c r="E1344"/>
  <c r="F1344"/>
  <c r="A1345"/>
  <c r="B1345"/>
  <c r="C1345"/>
  <c r="E1345"/>
  <c r="F1345"/>
  <c r="A1346"/>
  <c r="B1346"/>
  <c r="C1346"/>
  <c r="E1346"/>
  <c r="F1346"/>
  <c r="A1347"/>
  <c r="B1347"/>
  <c r="C1347"/>
  <c r="E1347"/>
  <c r="F1347"/>
  <c r="A1348"/>
  <c r="B1348"/>
  <c r="C1348"/>
  <c r="E1348"/>
  <c r="F1348"/>
  <c r="A1349"/>
  <c r="B1349"/>
  <c r="C1349"/>
  <c r="E1349"/>
  <c r="F1349"/>
  <c r="A1350"/>
  <c r="B1350"/>
  <c r="C1350"/>
  <c r="E1350"/>
  <c r="F1350"/>
  <c r="A1351"/>
  <c r="B1351"/>
  <c r="C1351"/>
  <c r="E1351"/>
  <c r="F1351"/>
  <c r="A1352"/>
  <c r="B1352"/>
  <c r="C1352"/>
  <c r="E1352"/>
  <c r="F1352"/>
  <c r="A1353"/>
  <c r="B1353"/>
  <c r="C1353"/>
  <c r="E1353"/>
  <c r="F1353"/>
  <c r="A1354"/>
  <c r="B1354"/>
  <c r="C1354"/>
  <c r="E1354"/>
  <c r="F1354"/>
  <c r="A1355"/>
  <c r="B1355"/>
  <c r="C1355"/>
  <c r="E1355"/>
  <c r="F1355"/>
  <c r="A1356"/>
  <c r="B1356"/>
  <c r="C1356"/>
  <c r="E1356"/>
  <c r="F1356"/>
  <c r="A1357"/>
  <c r="B1357"/>
  <c r="C1357"/>
  <c r="E1357"/>
  <c r="F1357"/>
  <c r="A1358"/>
  <c r="B1358"/>
  <c r="C1358"/>
  <c r="E1358"/>
  <c r="F1358"/>
  <c r="A1359"/>
  <c r="B1359"/>
  <c r="C1359"/>
  <c r="E1359"/>
  <c r="F1359"/>
  <c r="A1360"/>
  <c r="B1360"/>
  <c r="C1360"/>
  <c r="E1360"/>
  <c r="F1360"/>
  <c r="A1361"/>
  <c r="B1361"/>
  <c r="C1361"/>
  <c r="E1361"/>
  <c r="F1361"/>
  <c r="A1362"/>
  <c r="B1362"/>
  <c r="C1362"/>
  <c r="E1362"/>
  <c r="F1362"/>
  <c r="A1363"/>
  <c r="B1363"/>
  <c r="C1363"/>
  <c r="E1363"/>
  <c r="F1363"/>
  <c r="A1364"/>
  <c r="B1364"/>
  <c r="C1364"/>
  <c r="E1364"/>
  <c r="F1364"/>
  <c r="A1365"/>
  <c r="B1365"/>
  <c r="C1365"/>
  <c r="E1365"/>
  <c r="F1365"/>
  <c r="A1366"/>
  <c r="B1366"/>
  <c r="C1366"/>
  <c r="E1366"/>
  <c r="F1366"/>
  <c r="A1367"/>
  <c r="B1367"/>
  <c r="C1367"/>
  <c r="E1367"/>
  <c r="F1367"/>
  <c r="A1368"/>
  <c r="B1368"/>
  <c r="C1368"/>
  <c r="E1368"/>
  <c r="F1368"/>
  <c r="A1369"/>
  <c r="B1369"/>
  <c r="C1369"/>
  <c r="E1369"/>
  <c r="F1369"/>
  <c r="A1370"/>
  <c r="B1370"/>
  <c r="C1370"/>
  <c r="E1370"/>
  <c r="F1370"/>
  <c r="A1371"/>
  <c r="B1371"/>
  <c r="C1371"/>
  <c r="E1371"/>
  <c r="F1371"/>
  <c r="A1372"/>
  <c r="B1372"/>
  <c r="C1372"/>
  <c r="E1372"/>
  <c r="F1372"/>
  <c r="A1373"/>
  <c r="B1373"/>
  <c r="C1373"/>
  <c r="E1373"/>
  <c r="F1373"/>
  <c r="A1374"/>
  <c r="B1374"/>
  <c r="C1374"/>
  <c r="E1374"/>
  <c r="F1374"/>
  <c r="A1375"/>
  <c r="B1375"/>
  <c r="C1375"/>
  <c r="E1375"/>
  <c r="F1375"/>
  <c r="A1376"/>
  <c r="B1376"/>
  <c r="C1376"/>
  <c r="E1376"/>
  <c r="F1376"/>
  <c r="A1377"/>
  <c r="B1377"/>
  <c r="C1377"/>
  <c r="E1377"/>
  <c r="F1377"/>
  <c r="A1378"/>
  <c r="B1378"/>
  <c r="C1378"/>
  <c r="E1378"/>
  <c r="F1378"/>
  <c r="A1379"/>
  <c r="B1379"/>
  <c r="C1379"/>
  <c r="E1379"/>
  <c r="F1379"/>
  <c r="A1380"/>
  <c r="B1380"/>
  <c r="C1380"/>
  <c r="E1380"/>
  <c r="F1380"/>
  <c r="A1381"/>
  <c r="B1381"/>
  <c r="C1381"/>
  <c r="E1381"/>
  <c r="F1381"/>
  <c r="A1382"/>
  <c r="B1382"/>
  <c r="C1382"/>
  <c r="E1382"/>
  <c r="F1382"/>
  <c r="A1383"/>
  <c r="B1383"/>
  <c r="C1383"/>
  <c r="E1383"/>
  <c r="F1383"/>
  <c r="A1384"/>
  <c r="B1384"/>
  <c r="C1384"/>
  <c r="E1384"/>
  <c r="F1384"/>
  <c r="A1385"/>
  <c r="B1385"/>
  <c r="C1385"/>
  <c r="E1385"/>
  <c r="F1385"/>
  <c r="A1386"/>
  <c r="B1386"/>
  <c r="C1386"/>
  <c r="E1386"/>
  <c r="F1386"/>
  <c r="A1387"/>
  <c r="B1387"/>
  <c r="C1387"/>
  <c r="E1387"/>
  <c r="F1387"/>
  <c r="A1388"/>
  <c r="B1388"/>
  <c r="C1388"/>
  <c r="E1388"/>
  <c r="F1388"/>
  <c r="A1389"/>
  <c r="B1389"/>
  <c r="C1389"/>
  <c r="E1389"/>
  <c r="F1389"/>
  <c r="A1390"/>
  <c r="B1390"/>
  <c r="C1390"/>
  <c r="E1390"/>
  <c r="F1390"/>
  <c r="A1391"/>
  <c r="B1391"/>
  <c r="C1391"/>
  <c r="E1391"/>
  <c r="F1391"/>
  <c r="A1392"/>
  <c r="B1392"/>
  <c r="C1392"/>
  <c r="E1392"/>
  <c r="F1392"/>
  <c r="A1393"/>
  <c r="B1393"/>
  <c r="C1393"/>
  <c r="E1393"/>
  <c r="F1393"/>
  <c r="A1394"/>
  <c r="B1394"/>
  <c r="C1394"/>
  <c r="E1394"/>
  <c r="F1394"/>
  <c r="A1395"/>
  <c r="B1395"/>
  <c r="C1395"/>
  <c r="E1395"/>
  <c r="F1395"/>
  <c r="A1396"/>
  <c r="B1396"/>
  <c r="C1396"/>
  <c r="E1396"/>
  <c r="F1396"/>
  <c r="A1397"/>
  <c r="B1397"/>
  <c r="C1397"/>
  <c r="E1397"/>
  <c r="F1397"/>
  <c r="A1398"/>
  <c r="B1398"/>
  <c r="C1398"/>
  <c r="E1398"/>
  <c r="F1398"/>
  <c r="A1399"/>
  <c r="B1399"/>
  <c r="C1399"/>
  <c r="E1399"/>
  <c r="F1399"/>
  <c r="A1400"/>
  <c r="B1400"/>
  <c r="C1400"/>
  <c r="E1400"/>
  <c r="F1400"/>
  <c r="A1401"/>
  <c r="B1401"/>
  <c r="C1401"/>
  <c r="E1401"/>
  <c r="F1401"/>
  <c r="A1402"/>
  <c r="B1402"/>
  <c r="C1402"/>
  <c r="E1402"/>
  <c r="F1402"/>
  <c r="A1403"/>
  <c r="B1403"/>
  <c r="C1403"/>
  <c r="E1403"/>
  <c r="F1403"/>
  <c r="A1404"/>
  <c r="B1404"/>
  <c r="C1404"/>
  <c r="E1404"/>
  <c r="F1404"/>
  <c r="A1405"/>
  <c r="B1405"/>
  <c r="C1405"/>
  <c r="E1405"/>
  <c r="F1405"/>
  <c r="A1406"/>
  <c r="B1406"/>
  <c r="C1406"/>
  <c r="E1406"/>
  <c r="F1406"/>
  <c r="A1407"/>
  <c r="B1407"/>
  <c r="C1407"/>
  <c r="E1407"/>
  <c r="F1407"/>
  <c r="A1408"/>
  <c r="B1408"/>
  <c r="C1408"/>
  <c r="E1408"/>
  <c r="F1408"/>
  <c r="A1409"/>
  <c r="B1409"/>
  <c r="C1409"/>
  <c r="E1409"/>
  <c r="F1409"/>
  <c r="A1410"/>
  <c r="B1410"/>
  <c r="C1410"/>
  <c r="E1410"/>
  <c r="F1410"/>
  <c r="A1411"/>
  <c r="B1411"/>
  <c r="C1411"/>
  <c r="E1411"/>
  <c r="F1411"/>
  <c r="A1412"/>
  <c r="B1412"/>
  <c r="C1412"/>
  <c r="E1412"/>
  <c r="F1412"/>
  <c r="A1413"/>
  <c r="B1413"/>
  <c r="C1413"/>
  <c r="E1413"/>
  <c r="F1413"/>
  <c r="A1414"/>
  <c r="B1414"/>
  <c r="C1414"/>
  <c r="E1414"/>
  <c r="F1414"/>
  <c r="A1415"/>
  <c r="B1415"/>
  <c r="C1415"/>
  <c r="E1415"/>
  <c r="F1415"/>
  <c r="A1416"/>
  <c r="B1416"/>
  <c r="C1416"/>
  <c r="E1416"/>
  <c r="F1416"/>
  <c r="A1417"/>
  <c r="B1417"/>
  <c r="C1417"/>
  <c r="E1417"/>
  <c r="F1417"/>
  <c r="A1418"/>
  <c r="B1418"/>
  <c r="C1418"/>
  <c r="E1418"/>
  <c r="F1418"/>
  <c r="A1419"/>
  <c r="B1419"/>
  <c r="C1419"/>
  <c r="E1419"/>
  <c r="F1419"/>
  <c r="A1420"/>
  <c r="B1420"/>
  <c r="C1420"/>
  <c r="E1420"/>
  <c r="F1420"/>
  <c r="A1421"/>
  <c r="B1421"/>
  <c r="C1421"/>
  <c r="E1421"/>
  <c r="F1421"/>
  <c r="A1422"/>
  <c r="B1422"/>
  <c r="C1422"/>
  <c r="E1422"/>
  <c r="F1422"/>
  <c r="A1423"/>
  <c r="B1423"/>
  <c r="C1423"/>
  <c r="E1423"/>
  <c r="F1423"/>
  <c r="A1424"/>
  <c r="B1424"/>
  <c r="C1424"/>
  <c r="E1424"/>
  <c r="F1424"/>
  <c r="A1425"/>
  <c r="B1425"/>
  <c r="C1425"/>
  <c r="E1425"/>
  <c r="F1425"/>
  <c r="A1426"/>
  <c r="B1426"/>
  <c r="C1426"/>
  <c r="E1426"/>
  <c r="F1426"/>
  <c r="A1427"/>
  <c r="B1427"/>
  <c r="C1427"/>
  <c r="E1427"/>
  <c r="F1427"/>
  <c r="A1428"/>
  <c r="B1428"/>
  <c r="C1428"/>
  <c r="E1428"/>
  <c r="F1428"/>
  <c r="A1429"/>
  <c r="B1429"/>
  <c r="C1429"/>
  <c r="E1429"/>
  <c r="F1429"/>
  <c r="A1430"/>
  <c r="B1430"/>
  <c r="C1430"/>
  <c r="E1430"/>
  <c r="F1430"/>
  <c r="A1431"/>
  <c r="B1431"/>
  <c r="C1431"/>
  <c r="E1431"/>
  <c r="F1431"/>
  <c r="A1432"/>
  <c r="B1432"/>
  <c r="C1432"/>
  <c r="E1432"/>
  <c r="F1432"/>
  <c r="A1433"/>
  <c r="B1433"/>
  <c r="C1433"/>
  <c r="E1433"/>
  <c r="F1433"/>
  <c r="A1434"/>
  <c r="B1434"/>
  <c r="C1434"/>
  <c r="E1434"/>
  <c r="F1434"/>
  <c r="A1435"/>
  <c r="B1435"/>
  <c r="C1435"/>
  <c r="E1435"/>
  <c r="F1435"/>
  <c r="A1436"/>
  <c r="B1436"/>
  <c r="C1436"/>
  <c r="E1436"/>
  <c r="F1436"/>
  <c r="A1437"/>
  <c r="B1437"/>
  <c r="C1437"/>
  <c r="E1437"/>
  <c r="F1437"/>
  <c r="A1438"/>
  <c r="B1438"/>
  <c r="C1438"/>
  <c r="E1438"/>
  <c r="F1438"/>
  <c r="A1439"/>
  <c r="B1439"/>
  <c r="C1439"/>
  <c r="E1439"/>
  <c r="F1439"/>
  <c r="A1440"/>
  <c r="B1440"/>
  <c r="C1440"/>
  <c r="E1440"/>
  <c r="F1440"/>
  <c r="A1441"/>
  <c r="B1441"/>
  <c r="C1441"/>
  <c r="E1441"/>
  <c r="F1441"/>
  <c r="A1442"/>
  <c r="B1442"/>
  <c r="C1442"/>
  <c r="E1442"/>
  <c r="F1442"/>
  <c r="A1443"/>
  <c r="B1443"/>
  <c r="C1443"/>
  <c r="E1443"/>
  <c r="F1443"/>
  <c r="A1444"/>
  <c r="B1444"/>
  <c r="C1444"/>
  <c r="E1444"/>
  <c r="F1444"/>
  <c r="A1445"/>
  <c r="B1445"/>
  <c r="C1445"/>
  <c r="E1445"/>
  <c r="F1445"/>
  <c r="A1446"/>
  <c r="B1446"/>
  <c r="C1446"/>
  <c r="E1446"/>
  <c r="F1446"/>
  <c r="A1447"/>
  <c r="B1447"/>
  <c r="C1447"/>
  <c r="E1447"/>
  <c r="F1447"/>
  <c r="A1448"/>
  <c r="B1448"/>
  <c r="C1448"/>
  <c r="E1448"/>
  <c r="F1448"/>
  <c r="A1449"/>
  <c r="B1449"/>
  <c r="C1449"/>
  <c r="E1449"/>
  <c r="F1449"/>
  <c r="A1450"/>
  <c r="B1450"/>
  <c r="C1450"/>
  <c r="E1450"/>
  <c r="F1450"/>
  <c r="A1451"/>
  <c r="B1451"/>
  <c r="C1451"/>
  <c r="E1451"/>
  <c r="F1451"/>
  <c r="A1452"/>
  <c r="B1452"/>
  <c r="C1452"/>
  <c r="E1452"/>
  <c r="F1452"/>
  <c r="A1453"/>
  <c r="B1453"/>
  <c r="C1453"/>
  <c r="E1453"/>
  <c r="F1453"/>
  <c r="A1454"/>
  <c r="B1454"/>
  <c r="C1454"/>
  <c r="E1454"/>
  <c r="F1454"/>
  <c r="A1455"/>
  <c r="B1455"/>
  <c r="C1455"/>
  <c r="E1455"/>
  <c r="F1455"/>
  <c r="A1456"/>
  <c r="B1456"/>
  <c r="C1456"/>
  <c r="E1456"/>
  <c r="F1456"/>
  <c r="A1457"/>
  <c r="B1457"/>
  <c r="C1457"/>
  <c r="E1457"/>
  <c r="F1457"/>
  <c r="A1458"/>
  <c r="B1458"/>
  <c r="C1458"/>
  <c r="E1458"/>
  <c r="F1458"/>
  <c r="A1459"/>
  <c r="B1459"/>
  <c r="C1459"/>
  <c r="E1459"/>
  <c r="F1459"/>
  <c r="A1460"/>
  <c r="B1460"/>
  <c r="C1460"/>
  <c r="E1460"/>
  <c r="F1460"/>
  <c r="A1461"/>
  <c r="B1461"/>
  <c r="C1461"/>
  <c r="E1461"/>
  <c r="F1461"/>
  <c r="A1462"/>
  <c r="B1462"/>
  <c r="C1462"/>
  <c r="E1462"/>
  <c r="F1462"/>
  <c r="A1463"/>
  <c r="B1463"/>
  <c r="C1463"/>
  <c r="E1463"/>
  <c r="F1463"/>
  <c r="A1464"/>
  <c r="B1464"/>
  <c r="C1464"/>
  <c r="E1464"/>
  <c r="F1464"/>
  <c r="A1465"/>
  <c r="B1465"/>
  <c r="C1465"/>
  <c r="E1465"/>
  <c r="F1465"/>
  <c r="A1466"/>
  <c r="B1466"/>
  <c r="C1466"/>
  <c r="E1466"/>
  <c r="F1466"/>
  <c r="A1467"/>
  <c r="B1467"/>
  <c r="C1467"/>
  <c r="E1467"/>
  <c r="F1467"/>
  <c r="A1468"/>
  <c r="B1468"/>
  <c r="C1468"/>
  <c r="E1468"/>
  <c r="F1468"/>
  <c r="A1469"/>
  <c r="B1469"/>
  <c r="C1469"/>
  <c r="E1469"/>
  <c r="F1469"/>
  <c r="A1470"/>
  <c r="B1470"/>
  <c r="C1470"/>
  <c r="E1470"/>
  <c r="F1470"/>
  <c r="A1471"/>
  <c r="B1471"/>
  <c r="C1471"/>
  <c r="E1471"/>
  <c r="F1471"/>
  <c r="A1472"/>
  <c r="B1472"/>
  <c r="C1472"/>
  <c r="E1472"/>
  <c r="F1472"/>
  <c r="A1473"/>
  <c r="B1473"/>
  <c r="C1473"/>
  <c r="E1473"/>
  <c r="F1473"/>
  <c r="A1474"/>
  <c r="B1474"/>
  <c r="C1474"/>
  <c r="E1474"/>
  <c r="F1474"/>
  <c r="A1475"/>
  <c r="B1475"/>
  <c r="C1475"/>
  <c r="E1475"/>
  <c r="F1475"/>
  <c r="A1476"/>
  <c r="B1476"/>
  <c r="C1476"/>
  <c r="E1476"/>
  <c r="F1476"/>
  <c r="C1477"/>
  <c r="E1477"/>
  <c r="F1477"/>
  <c r="A1478"/>
  <c r="B1478"/>
  <c r="C1478"/>
  <c r="E1478"/>
  <c r="F1478"/>
  <c r="A1479"/>
  <c r="B1479"/>
  <c r="C1479"/>
  <c r="E1479"/>
  <c r="F1479"/>
  <c r="A1480"/>
  <c r="B1480"/>
  <c r="C1480"/>
  <c r="E1480"/>
  <c r="F1480"/>
  <c r="A1481"/>
  <c r="B1481"/>
  <c r="C1481"/>
  <c r="E1481"/>
  <c r="F1481"/>
  <c r="A1482"/>
  <c r="B1482"/>
  <c r="C1482"/>
  <c r="E1482"/>
  <c r="F1482"/>
  <c r="A1483"/>
  <c r="B1483"/>
  <c r="C1483"/>
  <c r="E1483"/>
  <c r="F1483"/>
  <c r="A1484"/>
  <c r="B1484"/>
  <c r="C1484"/>
  <c r="E1484"/>
  <c r="F1484"/>
  <c r="A1485"/>
  <c r="B1485"/>
  <c r="C1485"/>
  <c r="E1485"/>
  <c r="F1485"/>
  <c r="A1486"/>
  <c r="B1486"/>
  <c r="C1486"/>
  <c r="E1486"/>
  <c r="F1486"/>
  <c r="A1487"/>
  <c r="B1487"/>
  <c r="C1487"/>
  <c r="E1487"/>
  <c r="F1487"/>
  <c r="A1488"/>
  <c r="B1488"/>
  <c r="C1488"/>
  <c r="E1488"/>
  <c r="F1488"/>
  <c r="A1489"/>
  <c r="B1489"/>
  <c r="C1489"/>
  <c r="E1489"/>
  <c r="F1489"/>
  <c r="A1490"/>
  <c r="B1490"/>
  <c r="C1490"/>
  <c r="E1490"/>
  <c r="F1490"/>
  <c r="A1491"/>
  <c r="B1491"/>
  <c r="C1491"/>
  <c r="E1491"/>
  <c r="F1491"/>
  <c r="A1492"/>
  <c r="B1492"/>
  <c r="C1492"/>
  <c r="E1492"/>
  <c r="F1492"/>
  <c r="A1493"/>
  <c r="B1493"/>
  <c r="C1493"/>
  <c r="E1493"/>
  <c r="F1493"/>
  <c r="A1494"/>
  <c r="B1494"/>
  <c r="C1494"/>
  <c r="E1494"/>
  <c r="F1494"/>
  <c r="A1495"/>
  <c r="B1495"/>
  <c r="C1495"/>
  <c r="E1495"/>
  <c r="F1495"/>
  <c r="A1496"/>
  <c r="B1496"/>
  <c r="C1496"/>
  <c r="E1496"/>
  <c r="F1496"/>
  <c r="A1497"/>
  <c r="B1497"/>
  <c r="C1497"/>
  <c r="E1497"/>
  <c r="F1497"/>
  <c r="A1498"/>
  <c r="B1498"/>
  <c r="C1498"/>
  <c r="E1498"/>
  <c r="F1498"/>
  <c r="A1499"/>
  <c r="B1499"/>
  <c r="C1499"/>
  <c r="E1499"/>
  <c r="F1499"/>
  <c r="A1500"/>
  <c r="B1500"/>
  <c r="C1500"/>
  <c r="E1500"/>
  <c r="F1500"/>
  <c r="A1501"/>
  <c r="B1501"/>
  <c r="C1501"/>
  <c r="E1501"/>
  <c r="F1501"/>
  <c r="A1502"/>
  <c r="B1502"/>
  <c r="C1502"/>
  <c r="E1502"/>
  <c r="F1502"/>
  <c r="A1503"/>
  <c r="B1503"/>
  <c r="C1503"/>
  <c r="E1503"/>
  <c r="F1503"/>
  <c r="A1504"/>
  <c r="B1504"/>
  <c r="C1504"/>
  <c r="E1504"/>
  <c r="F1504"/>
  <c r="A1505"/>
  <c r="B1505"/>
  <c r="C1505"/>
  <c r="E1505"/>
  <c r="F1505"/>
  <c r="A1506"/>
  <c r="B1506"/>
  <c r="C1506"/>
  <c r="E1506"/>
  <c r="F1506"/>
  <c r="A1507"/>
  <c r="B1507"/>
  <c r="C1507"/>
  <c r="E1507"/>
  <c r="F1507"/>
  <c r="A1508"/>
  <c r="B1508"/>
  <c r="C1508"/>
  <c r="E1508"/>
  <c r="F1508"/>
  <c r="A1509"/>
  <c r="B1509"/>
  <c r="C1509"/>
  <c r="E1509"/>
  <c r="F1509"/>
  <c r="A1510"/>
  <c r="B1510"/>
  <c r="C1510"/>
  <c r="E1510"/>
  <c r="F1510"/>
  <c r="A1511"/>
  <c r="B1511"/>
  <c r="C1511"/>
  <c r="E1511"/>
  <c r="F1511"/>
  <c r="A1512"/>
  <c r="B1512"/>
  <c r="C1512"/>
  <c r="E1512"/>
  <c r="F1512"/>
  <c r="A1513"/>
  <c r="B1513"/>
  <c r="C1513"/>
  <c r="E1513"/>
  <c r="F1513"/>
  <c r="A1514"/>
  <c r="B1514"/>
  <c r="C1514"/>
  <c r="E1514"/>
  <c r="F1514"/>
  <c r="A1515"/>
  <c r="B1515"/>
  <c r="C1515"/>
  <c r="E1515"/>
  <c r="F1515"/>
  <c r="A1516"/>
  <c r="B1516"/>
  <c r="C1516"/>
  <c r="E1516"/>
  <c r="F1516"/>
  <c r="A1517"/>
  <c r="B1517"/>
  <c r="C1517"/>
  <c r="E1517"/>
  <c r="F1517"/>
  <c r="A1518"/>
  <c r="B1518"/>
  <c r="C1518"/>
  <c r="E1518"/>
  <c r="F1518"/>
  <c r="A1519"/>
  <c r="B1519"/>
  <c r="C1519"/>
  <c r="E1519"/>
  <c r="F1519"/>
  <c r="A1520"/>
  <c r="B1520"/>
  <c r="C1520"/>
  <c r="E1520"/>
  <c r="F1520"/>
  <c r="A1521"/>
  <c r="B1521"/>
  <c r="C1521"/>
  <c r="E1521"/>
  <c r="F1521"/>
  <c r="A1522"/>
  <c r="B1522"/>
  <c r="C1522"/>
  <c r="E1522"/>
  <c r="F1522"/>
  <c r="A1523"/>
  <c r="B1523"/>
  <c r="C1523"/>
  <c r="E1523"/>
  <c r="F1523"/>
  <c r="A1524"/>
  <c r="B1524"/>
  <c r="C1524"/>
  <c r="E1524"/>
  <c r="F1524"/>
  <c r="A1525"/>
  <c r="B1525"/>
  <c r="C1525"/>
  <c r="E1525"/>
  <c r="F1525"/>
  <c r="A1526"/>
  <c r="B1526"/>
  <c r="C1526"/>
  <c r="E1526"/>
  <c r="F1526"/>
  <c r="A1527"/>
  <c r="B1527"/>
  <c r="C1527"/>
  <c r="E1527"/>
  <c r="F1527"/>
  <c r="A1528"/>
  <c r="B1528"/>
  <c r="C1528"/>
  <c r="E1528"/>
  <c r="F1528"/>
  <c r="A1529"/>
  <c r="B1529"/>
  <c r="C1529"/>
  <c r="E1529"/>
  <c r="F1529"/>
  <c r="A1530"/>
  <c r="B1530"/>
  <c r="C1530"/>
  <c r="E1530"/>
  <c r="F1530"/>
  <c r="A1531"/>
  <c r="B1531"/>
  <c r="C1531"/>
  <c r="E1531"/>
  <c r="F1531"/>
  <c r="A1532"/>
  <c r="B1532"/>
  <c r="C1532"/>
  <c r="E1532"/>
  <c r="F1532"/>
  <c r="A1533"/>
  <c r="B1533"/>
  <c r="C1533"/>
  <c r="E1533"/>
  <c r="F1533"/>
  <c r="A1534"/>
  <c r="B1534"/>
  <c r="C1534"/>
  <c r="E1534"/>
  <c r="F1534"/>
  <c r="A1535"/>
  <c r="B1535"/>
  <c r="C1535"/>
  <c r="E1535"/>
  <c r="F1535"/>
  <c r="A1536"/>
  <c r="B1536"/>
  <c r="C1536"/>
  <c r="E1536"/>
  <c r="F1536"/>
  <c r="A1537"/>
  <c r="B1537"/>
  <c r="C1537"/>
  <c r="E1537"/>
  <c r="F1537"/>
  <c r="A1538"/>
  <c r="B1538"/>
  <c r="C1538"/>
  <c r="E1538"/>
  <c r="F1538"/>
  <c r="A1539"/>
  <c r="B1539"/>
  <c r="C1539"/>
  <c r="E1539"/>
  <c r="F1539"/>
  <c r="A1540"/>
  <c r="B1540"/>
  <c r="C1540"/>
  <c r="E1540"/>
  <c r="F1540"/>
  <c r="A1541"/>
  <c r="B1541"/>
  <c r="C1541"/>
  <c r="E1541"/>
  <c r="F1541"/>
  <c r="A1542"/>
  <c r="B1542"/>
  <c r="C1542"/>
  <c r="E1542"/>
  <c r="F1542"/>
  <c r="A1543"/>
  <c r="B1543"/>
  <c r="C1543"/>
  <c r="E1543"/>
  <c r="F1543"/>
  <c r="A1544"/>
  <c r="B1544"/>
  <c r="C1544"/>
  <c r="E1544"/>
  <c r="F1544"/>
  <c r="A1545"/>
  <c r="B1545"/>
  <c r="C1545"/>
  <c r="E1545"/>
  <c r="F1545"/>
  <c r="A1546"/>
  <c r="B1546"/>
  <c r="C1546"/>
  <c r="E1546"/>
  <c r="F1546"/>
  <c r="A1547"/>
  <c r="B1547"/>
  <c r="C1547"/>
  <c r="E1547"/>
  <c r="F1547"/>
  <c r="A1548"/>
  <c r="B1548"/>
  <c r="C1548"/>
  <c r="E1548"/>
  <c r="F1548"/>
  <c r="A1549"/>
  <c r="B1549"/>
  <c r="C1549"/>
  <c r="E1549"/>
  <c r="F1549"/>
  <c r="A1550"/>
  <c r="B1550"/>
  <c r="C1550"/>
  <c r="E1550"/>
  <c r="F1550"/>
  <c r="A1551"/>
  <c r="B1551"/>
  <c r="C1551"/>
  <c r="E1551"/>
  <c r="F1551"/>
  <c r="A1552"/>
  <c r="B1552"/>
  <c r="C1552"/>
  <c r="E1552"/>
  <c r="F1552"/>
  <c r="A1553"/>
  <c r="B1553"/>
  <c r="C1553"/>
  <c r="E1553"/>
  <c r="F1553"/>
  <c r="A1554"/>
  <c r="B1554"/>
  <c r="C1554"/>
  <c r="E1554"/>
  <c r="F1554"/>
  <c r="A1555"/>
  <c r="B1555"/>
  <c r="C1555"/>
  <c r="E1555"/>
  <c r="F1555"/>
  <c r="A1556"/>
  <c r="B1556"/>
  <c r="C1556"/>
  <c r="E1556"/>
  <c r="F1556"/>
  <c r="A1557"/>
  <c r="B1557"/>
  <c r="C1557"/>
  <c r="E1557"/>
  <c r="F1557"/>
  <c r="A1558"/>
  <c r="B1558"/>
  <c r="C1558"/>
  <c r="E1558"/>
  <c r="F1558"/>
  <c r="A1559"/>
  <c r="B1559"/>
  <c r="C1559"/>
  <c r="E1559"/>
  <c r="F1559"/>
  <c r="A1560"/>
  <c r="B1560"/>
  <c r="C1560"/>
  <c r="E1560"/>
  <c r="F1560"/>
  <c r="A1561"/>
  <c r="B1561"/>
  <c r="C1561"/>
  <c r="E1561"/>
  <c r="F1561"/>
  <c r="A1562"/>
  <c r="B1562"/>
  <c r="C1562"/>
  <c r="E1562"/>
  <c r="F1562"/>
  <c r="A1563"/>
  <c r="B1563"/>
  <c r="C1563"/>
  <c r="E1563"/>
  <c r="F1563"/>
  <c r="A1564"/>
  <c r="B1564"/>
  <c r="C1564"/>
  <c r="E1564"/>
  <c r="F1564"/>
  <c r="A1565"/>
  <c r="B1565"/>
  <c r="C1565"/>
  <c r="E1565"/>
  <c r="F1565"/>
  <c r="A1566"/>
  <c r="B1566"/>
  <c r="C1566"/>
  <c r="E1566"/>
  <c r="F1566"/>
  <c r="A1567"/>
  <c r="B1567"/>
  <c r="C1567"/>
  <c r="E1567"/>
  <c r="F1567"/>
  <c r="A1568"/>
  <c r="B1568"/>
  <c r="C1568"/>
  <c r="E1568"/>
  <c r="F1568"/>
  <c r="A1569"/>
  <c r="B1569"/>
  <c r="C1569"/>
  <c r="E1569"/>
  <c r="F1569"/>
  <c r="A1570"/>
  <c r="B1570"/>
  <c r="C1570"/>
  <c r="E1570"/>
  <c r="F1570"/>
  <c r="A1571"/>
  <c r="B1571"/>
  <c r="C1571"/>
  <c r="E1571"/>
  <c r="F1571"/>
  <c r="A1572"/>
  <c r="B1572"/>
  <c r="C1572"/>
  <c r="E1572"/>
  <c r="F1572"/>
  <c r="A1573"/>
  <c r="B1573"/>
  <c r="C1573"/>
  <c r="E1573"/>
  <c r="F1573"/>
  <c r="A1574"/>
  <c r="B1574"/>
  <c r="C1574"/>
  <c r="E1574"/>
  <c r="F1574"/>
  <c r="A1575"/>
  <c r="B1575"/>
  <c r="C1575"/>
  <c r="E1575"/>
  <c r="F1575"/>
  <c r="A1576"/>
  <c r="B1576"/>
  <c r="C1576"/>
  <c r="E1576"/>
  <c r="F1576"/>
  <c r="A1577"/>
  <c r="B1577"/>
  <c r="C1577"/>
  <c r="E1577"/>
  <c r="F1577"/>
  <c r="A1578"/>
  <c r="B1578"/>
  <c r="C1578"/>
  <c r="E1578"/>
  <c r="F1578"/>
  <c r="A1579"/>
  <c r="B1579"/>
  <c r="C1579"/>
  <c r="E1579"/>
  <c r="F1579"/>
  <c r="A1580"/>
  <c r="B1580"/>
  <c r="C1580"/>
  <c r="E1580"/>
  <c r="F1580"/>
  <c r="A1581"/>
  <c r="B1581"/>
  <c r="C1581"/>
  <c r="E1581"/>
  <c r="F1581"/>
  <c r="A1582"/>
  <c r="B1582"/>
  <c r="C1582"/>
  <c r="E1582"/>
  <c r="F1582"/>
  <c r="A1583"/>
  <c r="B1583"/>
  <c r="C1583"/>
  <c r="E1583"/>
  <c r="F1583"/>
  <c r="A1584"/>
  <c r="B1584"/>
  <c r="C1584"/>
  <c r="E1584"/>
  <c r="F1584"/>
  <c r="A1585"/>
  <c r="B1585"/>
  <c r="C1585"/>
  <c r="E1585"/>
  <c r="F1585"/>
  <c r="A1586"/>
  <c r="B1586"/>
  <c r="C1586"/>
  <c r="E1586"/>
  <c r="F1586"/>
  <c r="A1587"/>
  <c r="B1587"/>
  <c r="C1587"/>
  <c r="E1587"/>
  <c r="F1587"/>
  <c r="A1588"/>
  <c r="B1588"/>
  <c r="C1588"/>
  <c r="E1588"/>
  <c r="F1588"/>
  <c r="A1589"/>
  <c r="B1589"/>
  <c r="C1589"/>
  <c r="E1589"/>
  <c r="F1589"/>
  <c r="A1590"/>
  <c r="B1590"/>
  <c r="C1590"/>
  <c r="E1590"/>
  <c r="F1590"/>
  <c r="A1591"/>
  <c r="B1591"/>
  <c r="C1591"/>
  <c r="E1591"/>
  <c r="F1591"/>
  <c r="A1592"/>
  <c r="B1592"/>
  <c r="C1592"/>
  <c r="E1592"/>
  <c r="F1592"/>
  <c r="A1593"/>
  <c r="B1593"/>
  <c r="C1593"/>
  <c r="E1593"/>
  <c r="F1593"/>
  <c r="A1594"/>
  <c r="B1594"/>
  <c r="C1594"/>
  <c r="E1594"/>
  <c r="F1594"/>
  <c r="A1595"/>
  <c r="B1595"/>
  <c r="C1595"/>
  <c r="E1595"/>
  <c r="F1595"/>
  <c r="A1596"/>
  <c r="B1596"/>
  <c r="C1596"/>
  <c r="E1596"/>
  <c r="F1596"/>
  <c r="A1597"/>
  <c r="B1597"/>
  <c r="C1597"/>
  <c r="E1597"/>
  <c r="F1597"/>
  <c r="A1598"/>
  <c r="B1598"/>
  <c r="C1598"/>
  <c r="E1598"/>
  <c r="F1598"/>
  <c r="A1599"/>
  <c r="B1599"/>
  <c r="C1599"/>
  <c r="E1599"/>
  <c r="F1599"/>
  <c r="A1600"/>
  <c r="B1600"/>
  <c r="C1600"/>
  <c r="E1600"/>
  <c r="F1600"/>
  <c r="A1601"/>
  <c r="B1601"/>
  <c r="C1601"/>
  <c r="E1601"/>
  <c r="F1601"/>
  <c r="A1602"/>
  <c r="B1602"/>
  <c r="C1602"/>
  <c r="E1602"/>
  <c r="F1602"/>
  <c r="A1603"/>
  <c r="B1603"/>
  <c r="C1603"/>
  <c r="E1603"/>
  <c r="F1603"/>
  <c r="A1604"/>
  <c r="B1604"/>
  <c r="C1604"/>
  <c r="E1604"/>
  <c r="F1604"/>
  <c r="A1605"/>
  <c r="B1605"/>
  <c r="C1605"/>
  <c r="E1605"/>
  <c r="F1605"/>
  <c r="A1606"/>
  <c r="B1606"/>
  <c r="C1606"/>
  <c r="E1606"/>
  <c r="F1606"/>
  <c r="A1607"/>
  <c r="B1607"/>
  <c r="C1607"/>
  <c r="E1607"/>
  <c r="F1607"/>
  <c r="A1608"/>
  <c r="B1608"/>
  <c r="C1608"/>
  <c r="E1608"/>
  <c r="F1608"/>
  <c r="A1609"/>
  <c r="B1609"/>
  <c r="C1609"/>
  <c r="E1609"/>
  <c r="F1609"/>
  <c r="A1610"/>
  <c r="B1610"/>
  <c r="C1610"/>
  <c r="E1610"/>
  <c r="F1610"/>
  <c r="A1611"/>
  <c r="B1611"/>
  <c r="C1611"/>
  <c r="E1611"/>
  <c r="F1611"/>
  <c r="A1612"/>
  <c r="B1612"/>
  <c r="C1612"/>
  <c r="E1612"/>
  <c r="F1612"/>
  <c r="A1613"/>
  <c r="B1613"/>
  <c r="C1613"/>
  <c r="E1613"/>
  <c r="F1613"/>
  <c r="A1614"/>
  <c r="B1614"/>
  <c r="C1614"/>
  <c r="E1614"/>
  <c r="F1614"/>
  <c r="A1615"/>
  <c r="B1615"/>
  <c r="C1615"/>
  <c r="E1615"/>
  <c r="F1615"/>
  <c r="A1616"/>
  <c r="B1616"/>
  <c r="C1616"/>
  <c r="E1616"/>
  <c r="F1616"/>
  <c r="A1617"/>
  <c r="B1617"/>
  <c r="C1617"/>
  <c r="E1617"/>
  <c r="F1617"/>
  <c r="A1618"/>
  <c r="B1618"/>
  <c r="C1618"/>
  <c r="E1618"/>
  <c r="F1618"/>
  <c r="A1619"/>
  <c r="B1619"/>
  <c r="C1619"/>
  <c r="E1619"/>
  <c r="F1619"/>
  <c r="A1620"/>
  <c r="B1620"/>
  <c r="C1620"/>
  <c r="E1620"/>
  <c r="F1620"/>
  <c r="A1621"/>
  <c r="B1621"/>
  <c r="C1621"/>
  <c r="E1621"/>
  <c r="F1621"/>
  <c r="A1622"/>
  <c r="B1622"/>
  <c r="C1622"/>
  <c r="E1622"/>
  <c r="F1622"/>
  <c r="A1623"/>
  <c r="B1623"/>
  <c r="C1623"/>
  <c r="E1623"/>
  <c r="F1623"/>
  <c r="A1624"/>
  <c r="B1624"/>
  <c r="C1624"/>
  <c r="E1624"/>
  <c r="F1624"/>
  <c r="A1625"/>
  <c r="B1625"/>
  <c r="C1625"/>
  <c r="E1625"/>
  <c r="F1625"/>
  <c r="A1626"/>
  <c r="B1626"/>
  <c r="C1626"/>
  <c r="E1626"/>
  <c r="F1626"/>
  <c r="A1627"/>
  <c r="B1627"/>
  <c r="C1627"/>
  <c r="E1627"/>
  <c r="F1627"/>
  <c r="A1628"/>
  <c r="B1628"/>
  <c r="C1628"/>
  <c r="E1628"/>
  <c r="F1628"/>
  <c r="A1629"/>
  <c r="B1629"/>
  <c r="C1629"/>
  <c r="E1629"/>
  <c r="F1629"/>
  <c r="A1630"/>
  <c r="B1630"/>
  <c r="C1630"/>
  <c r="E1630"/>
  <c r="F1630"/>
  <c r="A1631"/>
  <c r="B1631"/>
  <c r="C1631"/>
  <c r="E1631"/>
  <c r="F1631"/>
  <c r="A1632"/>
  <c r="B1632"/>
  <c r="C1632"/>
  <c r="E1632"/>
  <c r="F1632"/>
  <c r="A1633"/>
  <c r="B1633"/>
  <c r="C1633"/>
  <c r="E1633"/>
  <c r="F1633"/>
  <c r="A1634"/>
  <c r="B1634"/>
  <c r="C1634"/>
  <c r="E1634"/>
  <c r="F1634"/>
  <c r="A1635"/>
  <c r="B1635"/>
  <c r="C1635"/>
  <c r="E1635"/>
  <c r="F1635"/>
  <c r="A1636"/>
  <c r="B1636"/>
  <c r="C1636"/>
  <c r="E1636"/>
  <c r="F1636"/>
  <c r="A1637"/>
  <c r="B1637"/>
  <c r="C1637"/>
  <c r="E1637"/>
  <c r="F1637"/>
  <c r="A1638"/>
  <c r="B1638"/>
  <c r="C1638"/>
  <c r="E1638"/>
  <c r="F1638"/>
  <c r="A1639"/>
  <c r="B1639"/>
  <c r="C1639"/>
  <c r="E1639"/>
  <c r="F1639"/>
  <c r="A1640"/>
  <c r="B1640"/>
  <c r="C1640"/>
  <c r="E1640"/>
  <c r="F1640"/>
  <c r="A1641"/>
  <c r="B1641"/>
  <c r="C1641"/>
  <c r="E1641"/>
  <c r="F1641"/>
  <c r="A1642"/>
  <c r="B1642"/>
  <c r="C1642"/>
  <c r="E1642"/>
  <c r="F1642"/>
  <c r="A1643"/>
  <c r="B1643"/>
  <c r="C1643"/>
  <c r="E1643"/>
  <c r="F1643"/>
  <c r="A1644"/>
  <c r="B1644"/>
  <c r="C1644"/>
  <c r="E1644"/>
  <c r="F1644"/>
  <c r="A1645"/>
  <c r="B1645"/>
  <c r="C1645"/>
  <c r="E1645"/>
  <c r="F1645"/>
  <c r="A1646"/>
  <c r="B1646"/>
  <c r="C1646"/>
  <c r="E1646"/>
  <c r="F1646"/>
  <c r="A1647"/>
  <c r="B1647"/>
  <c r="C1647"/>
  <c r="E1647"/>
  <c r="F1647"/>
  <c r="A1648"/>
  <c r="B1648"/>
  <c r="C1648"/>
  <c r="E1648"/>
  <c r="F1648"/>
  <c r="A1649"/>
  <c r="B1649"/>
  <c r="C1649"/>
  <c r="E1649"/>
  <c r="F1649"/>
  <c r="A1650"/>
  <c r="B1650"/>
  <c r="C1650"/>
  <c r="E1650"/>
  <c r="F1650"/>
  <c r="A1651"/>
  <c r="B1651"/>
  <c r="C1651"/>
  <c r="E1651"/>
  <c r="F1651"/>
  <c r="A1652"/>
  <c r="B1652"/>
  <c r="C1652"/>
  <c r="E1652"/>
  <c r="F1652"/>
  <c r="A1653"/>
  <c r="B1653"/>
  <c r="C1653"/>
  <c r="E1653"/>
  <c r="F1653"/>
  <c r="A1654"/>
  <c r="B1654"/>
  <c r="C1654"/>
  <c r="E1654"/>
  <c r="F1654"/>
  <c r="A1655"/>
  <c r="B1655"/>
  <c r="C1655"/>
  <c r="E1655"/>
  <c r="F1655"/>
  <c r="A1656"/>
  <c r="B1656"/>
  <c r="C1656"/>
  <c r="E1656"/>
  <c r="F1656"/>
  <c r="A1657"/>
  <c r="B1657"/>
  <c r="C1657"/>
  <c r="E1657"/>
  <c r="F1657"/>
  <c r="A1658"/>
  <c r="B1658"/>
  <c r="C1658"/>
  <c r="E1658"/>
  <c r="F1658"/>
  <c r="A1659"/>
  <c r="B1659"/>
  <c r="C1659"/>
  <c r="E1659"/>
  <c r="F1659"/>
  <c r="A1660"/>
  <c r="B1660"/>
  <c r="C1660"/>
  <c r="E1660"/>
  <c r="F1660"/>
  <c r="A1661"/>
  <c r="B1661"/>
  <c r="C1661"/>
  <c r="E1661"/>
  <c r="F1661"/>
  <c r="A1662"/>
  <c r="B1662"/>
  <c r="C1662"/>
  <c r="E1662"/>
  <c r="F1662"/>
  <c r="A1663"/>
  <c r="B1663"/>
  <c r="C1663"/>
  <c r="E1663"/>
  <c r="F1663"/>
  <c r="A1664"/>
  <c r="B1664"/>
  <c r="C1664"/>
  <c r="E1664"/>
  <c r="F1664"/>
  <c r="A1665"/>
  <c r="B1665"/>
  <c r="C1665"/>
  <c r="E1665"/>
  <c r="F1665"/>
  <c r="A1666"/>
  <c r="B1666"/>
  <c r="C1666"/>
  <c r="E1666"/>
  <c r="F1666"/>
  <c r="A1667"/>
  <c r="B1667"/>
  <c r="C1667"/>
  <c r="E1667"/>
  <c r="F1667"/>
  <c r="A1668"/>
  <c r="B1668"/>
  <c r="C1668"/>
  <c r="E1668"/>
  <c r="F1668"/>
  <c r="A1669"/>
  <c r="B1669"/>
  <c r="C1669"/>
  <c r="E1669"/>
  <c r="F1669"/>
  <c r="A1670"/>
  <c r="B1670"/>
  <c r="C1670"/>
  <c r="E1670"/>
  <c r="F1670"/>
  <c r="A1671"/>
  <c r="B1671"/>
  <c r="C1671"/>
  <c r="E1671"/>
  <c r="F1671"/>
  <c r="A1672"/>
  <c r="B1672"/>
  <c r="C1672"/>
  <c r="E1672"/>
  <c r="F1672"/>
  <c r="A1673"/>
  <c r="B1673"/>
  <c r="C1673"/>
  <c r="E1673"/>
  <c r="F1673"/>
  <c r="A1674"/>
  <c r="B1674"/>
  <c r="C1674"/>
  <c r="E1674"/>
  <c r="F1674"/>
  <c r="A1675"/>
  <c r="B1675"/>
  <c r="C1675"/>
  <c r="E1675"/>
  <c r="F1675"/>
  <c r="A1676"/>
  <c r="B1676"/>
  <c r="C1676"/>
  <c r="E1676"/>
  <c r="F1676"/>
  <c r="A1677"/>
  <c r="B1677"/>
  <c r="C1677"/>
  <c r="E1677"/>
  <c r="F1677"/>
  <c r="A1678"/>
  <c r="B1678"/>
  <c r="C1678"/>
  <c r="E1678"/>
  <c r="F1678"/>
  <c r="A1679"/>
  <c r="B1679"/>
  <c r="C1679"/>
  <c r="E1679"/>
  <c r="F1679"/>
  <c r="A1680"/>
  <c r="B1680"/>
  <c r="C1680"/>
  <c r="E1680"/>
  <c r="F1680"/>
  <c r="A1681"/>
  <c r="B1681"/>
  <c r="C1681"/>
  <c r="E1681"/>
  <c r="F1681"/>
  <c r="A1682"/>
  <c r="B1682"/>
  <c r="C1682"/>
  <c r="E1682"/>
  <c r="F1682"/>
  <c r="A1683"/>
  <c r="B1683"/>
  <c r="C1683"/>
  <c r="E1683"/>
  <c r="F1683"/>
  <c r="A1684"/>
  <c r="B1684"/>
  <c r="C1684"/>
  <c r="E1684"/>
  <c r="F1684"/>
  <c r="A1685"/>
  <c r="B1685"/>
  <c r="C1685"/>
  <c r="E1685"/>
  <c r="F1685"/>
  <c r="A1686"/>
  <c r="B1686"/>
  <c r="C1686"/>
  <c r="E1686"/>
  <c r="F1686"/>
  <c r="A1687"/>
  <c r="B1687"/>
  <c r="C1687"/>
  <c r="E1687"/>
  <c r="F1687"/>
  <c r="A1688"/>
  <c r="B1688"/>
  <c r="C1688"/>
  <c r="E1688"/>
  <c r="F1688"/>
  <c r="A1689"/>
  <c r="B1689"/>
  <c r="C1689"/>
  <c r="E1689"/>
  <c r="F1689"/>
  <c r="A1690"/>
  <c r="B1690"/>
  <c r="C1690"/>
  <c r="E1690"/>
  <c r="F1690"/>
  <c r="A1691"/>
  <c r="B1691"/>
  <c r="C1691"/>
  <c r="E1691"/>
  <c r="F1691"/>
  <c r="A1692"/>
  <c r="B1692"/>
  <c r="C1692"/>
  <c r="E1692"/>
  <c r="F1692"/>
  <c r="A1693"/>
  <c r="B1693"/>
  <c r="C1693"/>
  <c r="E1693"/>
  <c r="F1693"/>
  <c r="A1694"/>
  <c r="B1694"/>
  <c r="C1694"/>
  <c r="E1694"/>
  <c r="F1694"/>
  <c r="A1695"/>
  <c r="B1695"/>
  <c r="C1695"/>
  <c r="E1695"/>
  <c r="F1695"/>
  <c r="A1696"/>
  <c r="B1696"/>
  <c r="C1696"/>
  <c r="E1696"/>
  <c r="F1696"/>
  <c r="A1697"/>
  <c r="B1697"/>
  <c r="C1697"/>
  <c r="E1697"/>
  <c r="F1697"/>
  <c r="A1698"/>
  <c r="B1698"/>
  <c r="C1698"/>
  <c r="E1698"/>
  <c r="F1698"/>
  <c r="A1699"/>
  <c r="B1699"/>
  <c r="C1699"/>
  <c r="E1699"/>
  <c r="F1699"/>
  <c r="A1700"/>
  <c r="B1700"/>
  <c r="C1700"/>
  <c r="E1700"/>
  <c r="F1700"/>
  <c r="A1701"/>
  <c r="B1701"/>
  <c r="C1701"/>
  <c r="E1701"/>
  <c r="F1701"/>
  <c r="A1702"/>
  <c r="B1702"/>
  <c r="C1702"/>
  <c r="E1702"/>
  <c r="F1702"/>
  <c r="A1703"/>
  <c r="B1703"/>
  <c r="C1703"/>
  <c r="E1703"/>
  <c r="F1703"/>
  <c r="A1704"/>
  <c r="B1704"/>
  <c r="C1704"/>
  <c r="E1704"/>
  <c r="F1704"/>
  <c r="A1705"/>
  <c r="B1705"/>
  <c r="C1705"/>
  <c r="E1705"/>
  <c r="F1705"/>
  <c r="A1706"/>
  <c r="B1706"/>
  <c r="C1706"/>
  <c r="E1706"/>
  <c r="F1706"/>
  <c r="A1707"/>
  <c r="B1707"/>
  <c r="C1707"/>
  <c r="E1707"/>
  <c r="F1707"/>
  <c r="A1708"/>
  <c r="B1708"/>
  <c r="C1708"/>
  <c r="E1708"/>
  <c r="F1708"/>
  <c r="A1709"/>
  <c r="B1709"/>
  <c r="C1709"/>
  <c r="E1709"/>
  <c r="F1709"/>
  <c r="A1710"/>
  <c r="B1710"/>
  <c r="C1710"/>
  <c r="E1710"/>
  <c r="F1710"/>
  <c r="A1711"/>
  <c r="B1711"/>
  <c r="C1711"/>
  <c r="E1711"/>
  <c r="F1711"/>
  <c r="A1712"/>
  <c r="B1712"/>
  <c r="C1712"/>
  <c r="E1712"/>
  <c r="F1712"/>
  <c r="A1713"/>
  <c r="B1713"/>
  <c r="C1713"/>
  <c r="E1713"/>
  <c r="F1713"/>
  <c r="A1714"/>
  <c r="B1714"/>
  <c r="C1714"/>
  <c r="E1714"/>
  <c r="F1714"/>
  <c r="A1715"/>
  <c r="B1715"/>
  <c r="C1715"/>
  <c r="E1715"/>
  <c r="F1715"/>
  <c r="A1716"/>
  <c r="B1716"/>
  <c r="C1716"/>
  <c r="E1716"/>
  <c r="F1716"/>
  <c r="A1717"/>
  <c r="B1717"/>
  <c r="C1717"/>
  <c r="E1717"/>
  <c r="F1717"/>
  <c r="A1718"/>
  <c r="B1718"/>
  <c r="C1718"/>
  <c r="E1718"/>
  <c r="F1718"/>
  <c r="A1719"/>
  <c r="B1719"/>
  <c r="C1719"/>
  <c r="E1719"/>
  <c r="F1719"/>
  <c r="A1720"/>
  <c r="B1720"/>
  <c r="C1720"/>
  <c r="E1720"/>
  <c r="F1720"/>
  <c r="A1721"/>
  <c r="B1721"/>
  <c r="C1721"/>
  <c r="E1721"/>
  <c r="F1721"/>
  <c r="A1722"/>
  <c r="B1722"/>
  <c r="C1722"/>
  <c r="E1722"/>
  <c r="F1722"/>
  <c r="A1723"/>
  <c r="B1723"/>
  <c r="C1723"/>
  <c r="E1723"/>
  <c r="F1723"/>
  <c r="A1724"/>
  <c r="B1724"/>
  <c r="C1724"/>
  <c r="E1724"/>
  <c r="F1724"/>
  <c r="A1725"/>
  <c r="B1725"/>
  <c r="C1725"/>
  <c r="E1725"/>
  <c r="F1725"/>
  <c r="A1726"/>
  <c r="B1726"/>
  <c r="C1726"/>
  <c r="E1726"/>
  <c r="F1726"/>
  <c r="A1727"/>
  <c r="B1727"/>
  <c r="C1727"/>
  <c r="E1727"/>
  <c r="F1727"/>
  <c r="A1728"/>
  <c r="B1728"/>
  <c r="C1728"/>
  <c r="E1728"/>
  <c r="F1728"/>
  <c r="A1729"/>
  <c r="B1729"/>
  <c r="C1729"/>
  <c r="E1729"/>
  <c r="F1729"/>
  <c r="A1730"/>
  <c r="B1730"/>
  <c r="C1730"/>
  <c r="E1730"/>
  <c r="F1730"/>
  <c r="A1731"/>
  <c r="B1731"/>
  <c r="C1731"/>
  <c r="E1731"/>
  <c r="F1731"/>
  <c r="A1732"/>
  <c r="B1732"/>
  <c r="C1732"/>
  <c r="E1732"/>
  <c r="F1732"/>
  <c r="A1733"/>
  <c r="B1733"/>
  <c r="C1733"/>
  <c r="E1733"/>
  <c r="F1733"/>
  <c r="A1734"/>
  <c r="B1734"/>
  <c r="C1734"/>
  <c r="E1734"/>
  <c r="F1734"/>
  <c r="A1735"/>
  <c r="B1735"/>
  <c r="C1735"/>
  <c r="E1735"/>
  <c r="F1735"/>
  <c r="A1736"/>
  <c r="B1736"/>
  <c r="C1736"/>
  <c r="E1736"/>
  <c r="F1736"/>
  <c r="A1737"/>
  <c r="B1737"/>
  <c r="C1737"/>
  <c r="E1737"/>
  <c r="F1737"/>
  <c r="A1738"/>
  <c r="B1738"/>
  <c r="C1738"/>
  <c r="E1738"/>
  <c r="F1738"/>
  <c r="A1739"/>
  <c r="B1739"/>
  <c r="C1739"/>
  <c r="E1739"/>
  <c r="F1739"/>
  <c r="A1740"/>
  <c r="B1740"/>
  <c r="C1740"/>
  <c r="E1740"/>
  <c r="F1740"/>
  <c r="A1741"/>
  <c r="B1741"/>
  <c r="C1741"/>
  <c r="E1741"/>
  <c r="F1741"/>
  <c r="A1742"/>
  <c r="B1742"/>
  <c r="C1742"/>
  <c r="E1742"/>
  <c r="F1742"/>
  <c r="A1743"/>
  <c r="B1743"/>
  <c r="C1743"/>
  <c r="E1743"/>
  <c r="F1743"/>
  <c r="A1744"/>
  <c r="B1744"/>
  <c r="C1744"/>
  <c r="E1744"/>
  <c r="F1744"/>
  <c r="A1745"/>
  <c r="B1745"/>
  <c r="C1745"/>
  <c r="E1745"/>
  <c r="F1745"/>
  <c r="A1746"/>
  <c r="B1746"/>
  <c r="C1746"/>
  <c r="E1746"/>
  <c r="F1746"/>
  <c r="A1747"/>
  <c r="B1747"/>
  <c r="C1747"/>
  <c r="E1747"/>
  <c r="F1747"/>
  <c r="A1748"/>
  <c r="B1748"/>
  <c r="C1748"/>
  <c r="E1748"/>
  <c r="F1748"/>
  <c r="A1749"/>
  <c r="B1749"/>
  <c r="C1749"/>
  <c r="E1749"/>
  <c r="F1749"/>
  <c r="A1750"/>
  <c r="B1750"/>
  <c r="C1750"/>
  <c r="E1750"/>
  <c r="F1750"/>
  <c r="A1751"/>
  <c r="B1751"/>
  <c r="C1751"/>
  <c r="E1751"/>
  <c r="F1751"/>
  <c r="A1752"/>
  <c r="B1752"/>
  <c r="C1752"/>
  <c r="E1752"/>
  <c r="F1752"/>
  <c r="A1753"/>
  <c r="B1753"/>
  <c r="C1753"/>
  <c r="E1753"/>
  <c r="F1753"/>
  <c r="A1754"/>
  <c r="B1754"/>
  <c r="C1754"/>
  <c r="E1754"/>
  <c r="F1754"/>
  <c r="A1755"/>
  <c r="B1755"/>
  <c r="C1755"/>
  <c r="E1755"/>
  <c r="F1755"/>
  <c r="A1756"/>
  <c r="B1756"/>
  <c r="C1756"/>
  <c r="E1756"/>
  <c r="F1756"/>
  <c r="A1757"/>
  <c r="B1757"/>
  <c r="C1757"/>
  <c r="E1757"/>
  <c r="F1757"/>
  <c r="A1758"/>
  <c r="B1758"/>
  <c r="C1758"/>
  <c r="E1758"/>
  <c r="F1758"/>
  <c r="A1759"/>
  <c r="B1759"/>
  <c r="C1759"/>
  <c r="E1759"/>
  <c r="F1759"/>
  <c r="A1760"/>
  <c r="B1760"/>
  <c r="C1760"/>
  <c r="E1760"/>
  <c r="F1760"/>
  <c r="A1761"/>
  <c r="B1761"/>
  <c r="C1761"/>
  <c r="E1761"/>
  <c r="F1761"/>
  <c r="A1762"/>
  <c r="B1762"/>
  <c r="C1762"/>
  <c r="E1762"/>
  <c r="F1762"/>
  <c r="A1763"/>
  <c r="B1763"/>
  <c r="C1763"/>
  <c r="E1763"/>
  <c r="F1763"/>
  <c r="A1764"/>
  <c r="B1764"/>
  <c r="C1764"/>
  <c r="E1764"/>
  <c r="F1764"/>
  <c r="A1765"/>
  <c r="B1765"/>
  <c r="C1765"/>
  <c r="E1765"/>
  <c r="F1765"/>
  <c r="A1766"/>
  <c r="B1766"/>
  <c r="C1766"/>
  <c r="E1766"/>
  <c r="F1766"/>
  <c r="A1767"/>
  <c r="B1767"/>
  <c r="C1767"/>
  <c r="E1767"/>
  <c r="F1767"/>
  <c r="A1768"/>
  <c r="B1768"/>
  <c r="C1768"/>
  <c r="E1768"/>
  <c r="F1768"/>
  <c r="A1769"/>
  <c r="B1769"/>
  <c r="C1769"/>
  <c r="E1769"/>
  <c r="F1769"/>
  <c r="A1770"/>
  <c r="B1770"/>
  <c r="C1770"/>
  <c r="E1770"/>
  <c r="F1770"/>
  <c r="A1771"/>
  <c r="B1771"/>
  <c r="C1771"/>
  <c r="E1771"/>
  <c r="F1771"/>
  <c r="A1772"/>
  <c r="B1772"/>
  <c r="C1772"/>
  <c r="E1772"/>
  <c r="F1772"/>
  <c r="A1773"/>
  <c r="B1773"/>
  <c r="C1773"/>
  <c r="E1773"/>
  <c r="F1773"/>
  <c r="A1774"/>
  <c r="B1774"/>
  <c r="C1774"/>
  <c r="E1774"/>
  <c r="F1774"/>
  <c r="A1775"/>
  <c r="B1775"/>
  <c r="C1775"/>
  <c r="E1775"/>
  <c r="F1775"/>
  <c r="A1776"/>
  <c r="B1776"/>
  <c r="C1776"/>
  <c r="E1776"/>
  <c r="F1776"/>
  <c r="A1777"/>
  <c r="B1777"/>
  <c r="C1777"/>
  <c r="E1777"/>
  <c r="F1777"/>
  <c r="A1778"/>
  <c r="B1778"/>
  <c r="C1778"/>
  <c r="E1778"/>
  <c r="F1778"/>
  <c r="A1779"/>
  <c r="B1779"/>
  <c r="C1779"/>
  <c r="E1779"/>
  <c r="F1779"/>
  <c r="A1780"/>
  <c r="B1780"/>
  <c r="C1780"/>
  <c r="E1780"/>
  <c r="F1780"/>
  <c r="A1781"/>
  <c r="B1781"/>
  <c r="C1781"/>
  <c r="E1781"/>
  <c r="F1781"/>
  <c r="A1782"/>
  <c r="B1782"/>
  <c r="C1782"/>
  <c r="E1782"/>
  <c r="F1782"/>
  <c r="A1783"/>
  <c r="B1783"/>
  <c r="C1783"/>
  <c r="E1783"/>
  <c r="F1783"/>
  <c r="A1784"/>
  <c r="B1784"/>
  <c r="C1784"/>
  <c r="E1784"/>
  <c r="F1784"/>
  <c r="A1785"/>
  <c r="B1785"/>
  <c r="C1785"/>
  <c r="E1785"/>
  <c r="F1785"/>
  <c r="A1786"/>
  <c r="B1786"/>
  <c r="C1786"/>
  <c r="E1786"/>
  <c r="F1786"/>
  <c r="A1787"/>
  <c r="B1787"/>
  <c r="C1787"/>
  <c r="E1787"/>
  <c r="F1787"/>
  <c r="A1788"/>
  <c r="B1788"/>
  <c r="C1788"/>
  <c r="E1788"/>
  <c r="F1788"/>
  <c r="A1789"/>
  <c r="B1789"/>
  <c r="C1789"/>
  <c r="E1789"/>
  <c r="F1789"/>
  <c r="A1790"/>
  <c r="B1790"/>
  <c r="C1790"/>
  <c r="E1790"/>
  <c r="F1790"/>
  <c r="A1791"/>
  <c r="B1791"/>
  <c r="C1791"/>
  <c r="E1791"/>
  <c r="F1791"/>
  <c r="A1792"/>
  <c r="B1792"/>
  <c r="C1792"/>
  <c r="E1792"/>
  <c r="F1792"/>
  <c r="A1793"/>
  <c r="B1793"/>
  <c r="C1793"/>
  <c r="E1793"/>
  <c r="F1793"/>
  <c r="A1794"/>
  <c r="B1794"/>
  <c r="C1794"/>
  <c r="E1794"/>
  <c r="F1794"/>
  <c r="A1795"/>
  <c r="B1795"/>
  <c r="C1795"/>
  <c r="E1795"/>
  <c r="F1795"/>
  <c r="A1796"/>
  <c r="B1796"/>
  <c r="C1796"/>
  <c r="E1796"/>
  <c r="F1796"/>
  <c r="A1797"/>
  <c r="B1797"/>
  <c r="C1797"/>
  <c r="E1797"/>
  <c r="F1797"/>
  <c r="A1798"/>
  <c r="B1798"/>
  <c r="C1798"/>
  <c r="E1798"/>
  <c r="F1798"/>
  <c r="A1799"/>
  <c r="B1799"/>
  <c r="C1799"/>
  <c r="E1799"/>
  <c r="F1799"/>
  <c r="A1800"/>
  <c r="B1800"/>
  <c r="C1800"/>
  <c r="E1800"/>
  <c r="F1800"/>
  <c r="A1801"/>
  <c r="B1801"/>
  <c r="C1801"/>
  <c r="E1801"/>
  <c r="F1801"/>
  <c r="A1802"/>
  <c r="B1802"/>
  <c r="C1802"/>
  <c r="E1802"/>
  <c r="F1802"/>
  <c r="A1803"/>
  <c r="B1803"/>
  <c r="C1803"/>
  <c r="E1803"/>
  <c r="F1803"/>
  <c r="A1804"/>
  <c r="B1804"/>
  <c r="C1804"/>
  <c r="E1804"/>
  <c r="F1804"/>
  <c r="A1805"/>
  <c r="B1805"/>
  <c r="C1805"/>
  <c r="E1805"/>
  <c r="F1805"/>
  <c r="A1806"/>
  <c r="B1806"/>
  <c r="C1806"/>
  <c r="E1806"/>
  <c r="F1806"/>
  <c r="A1807"/>
  <c r="B1807"/>
  <c r="C1807"/>
  <c r="E1807"/>
  <c r="F1807"/>
  <c r="A1808"/>
  <c r="B1808"/>
  <c r="C1808"/>
  <c r="E1808"/>
  <c r="F1808"/>
  <c r="A1809"/>
  <c r="B1809"/>
  <c r="C1809"/>
  <c r="E1809"/>
  <c r="F1809"/>
  <c r="A1810"/>
  <c r="B1810"/>
  <c r="C1810"/>
  <c r="E1810"/>
  <c r="F1810"/>
  <c r="A1811"/>
  <c r="B1811"/>
  <c r="C1811"/>
  <c r="E1811"/>
  <c r="F1811"/>
  <c r="A1812"/>
  <c r="B1812"/>
  <c r="C1812"/>
  <c r="E1812"/>
  <c r="F1812"/>
  <c r="A1813"/>
  <c r="B1813"/>
  <c r="C1813"/>
  <c r="E1813"/>
  <c r="F1813"/>
  <c r="C1814"/>
  <c r="E1814"/>
  <c r="F1814"/>
  <c r="C1815"/>
  <c r="E1815"/>
  <c r="F1815"/>
  <c r="C1816"/>
  <c r="E1816"/>
  <c r="F1816"/>
  <c r="A1817"/>
  <c r="B1817"/>
  <c r="C1817"/>
  <c r="E1817"/>
  <c r="F1817"/>
  <c r="C1818"/>
  <c r="E1818"/>
  <c r="F1818"/>
  <c r="C1819"/>
  <c r="E1819"/>
  <c r="F1819"/>
  <c r="C1820"/>
  <c r="E1820"/>
  <c r="F1820"/>
  <c r="A1821"/>
  <c r="B1821"/>
  <c r="C1821"/>
  <c r="E1821"/>
  <c r="F1821"/>
  <c r="A1822"/>
  <c r="B1822"/>
  <c r="C1822"/>
  <c r="E1822"/>
  <c r="F1822"/>
  <c r="A1823"/>
  <c r="B1823"/>
  <c r="C1823"/>
  <c r="E1823"/>
  <c r="F1823"/>
  <c r="A1824"/>
  <c r="B1824"/>
  <c r="C1824"/>
  <c r="E1824"/>
  <c r="F1824"/>
  <c r="A1825"/>
  <c r="B1825"/>
  <c r="C1825"/>
  <c r="E1825"/>
  <c r="F1825"/>
  <c r="A1826"/>
  <c r="B1826"/>
  <c r="C1826"/>
  <c r="E1826"/>
  <c r="F1826"/>
  <c r="A1827"/>
  <c r="B1827"/>
  <c r="C1827"/>
  <c r="E1827"/>
  <c r="F1827"/>
  <c r="A1828"/>
  <c r="B1828"/>
  <c r="C1828"/>
  <c r="E1828"/>
  <c r="F1828"/>
  <c r="A1829"/>
  <c r="B1829"/>
  <c r="C1829"/>
  <c r="E1829"/>
  <c r="F1829"/>
  <c r="A1830"/>
  <c r="B1830"/>
  <c r="C1830"/>
  <c r="E1830"/>
  <c r="F1830"/>
  <c r="A1831"/>
  <c r="B1831"/>
  <c r="C1831"/>
  <c r="E1831"/>
  <c r="F1831"/>
  <c r="A1832"/>
  <c r="B1832"/>
  <c r="C1832"/>
  <c r="E1832"/>
  <c r="F1832"/>
  <c r="A1833"/>
  <c r="B1833"/>
  <c r="C1833"/>
  <c r="E1833"/>
  <c r="F1833"/>
  <c r="A1834"/>
  <c r="B1834"/>
  <c r="C1834"/>
  <c r="E1834"/>
  <c r="F1834"/>
  <c r="A1835"/>
  <c r="B1835"/>
  <c r="C1835"/>
  <c r="E1835"/>
  <c r="F1835"/>
  <c r="A1836"/>
  <c r="B1836"/>
  <c r="C1836"/>
  <c r="E1836"/>
  <c r="F1836"/>
  <c r="A1837"/>
  <c r="B1837"/>
  <c r="C1837"/>
  <c r="E1837"/>
  <c r="F1837"/>
  <c r="A1838"/>
  <c r="B1838"/>
  <c r="C1838"/>
  <c r="E1838"/>
  <c r="F1838"/>
  <c r="A1839"/>
  <c r="B1839"/>
  <c r="C1839"/>
  <c r="E1839"/>
  <c r="F1839"/>
  <c r="A1840"/>
  <c r="B1840"/>
  <c r="C1840"/>
  <c r="E1840"/>
  <c r="F1840"/>
  <c r="A1841"/>
  <c r="B1841"/>
  <c r="C1841"/>
  <c r="E1841"/>
  <c r="F1841"/>
  <c r="A1842"/>
  <c r="B1842"/>
  <c r="C1842"/>
  <c r="E1842"/>
  <c r="F1842"/>
  <c r="A1843"/>
  <c r="B1843"/>
  <c r="C1843"/>
  <c r="E1843"/>
  <c r="F1843"/>
  <c r="A1844"/>
  <c r="B1844"/>
  <c r="C1844"/>
  <c r="E1844"/>
  <c r="F1844"/>
  <c r="A1845"/>
  <c r="B1845"/>
  <c r="C1845"/>
  <c r="E1845"/>
  <c r="F1845"/>
  <c r="A1846"/>
  <c r="B1846"/>
  <c r="C1846"/>
  <c r="E1846"/>
  <c r="F1846"/>
  <c r="A1847"/>
  <c r="B1847"/>
  <c r="C1847"/>
  <c r="E1847"/>
  <c r="F1847"/>
  <c r="A1848"/>
  <c r="B1848"/>
  <c r="C1848"/>
  <c r="E1848"/>
  <c r="F1848"/>
  <c r="A1849"/>
  <c r="B1849"/>
  <c r="C1849"/>
  <c r="E1849"/>
  <c r="F1849"/>
  <c r="A1850"/>
  <c r="B1850"/>
  <c r="C1850"/>
  <c r="E1850"/>
  <c r="F1850"/>
  <c r="A1851"/>
  <c r="B1851"/>
  <c r="C1851"/>
  <c r="E1851"/>
  <c r="F1851"/>
  <c r="A1852"/>
  <c r="B1852"/>
  <c r="C1852"/>
  <c r="E1852"/>
  <c r="F1852"/>
  <c r="A1853"/>
  <c r="B1853"/>
  <c r="C1853"/>
  <c r="E1853"/>
  <c r="F1853"/>
  <c r="A1854"/>
  <c r="B1854"/>
  <c r="C1854"/>
  <c r="E1854"/>
  <c r="F1854"/>
  <c r="A1855"/>
  <c r="B1855"/>
  <c r="C1855"/>
  <c r="E1855"/>
  <c r="F1855"/>
  <c r="A1856"/>
  <c r="B1856"/>
  <c r="C1856"/>
  <c r="E1856"/>
  <c r="F1856"/>
  <c r="A1857"/>
  <c r="B1857"/>
  <c r="C1857"/>
  <c r="E1857"/>
  <c r="F1857"/>
  <c r="A1858"/>
  <c r="B1858"/>
  <c r="C1858"/>
  <c r="E1858"/>
  <c r="F1858"/>
  <c r="A1859"/>
  <c r="B1859"/>
  <c r="C1859"/>
  <c r="E1859"/>
  <c r="F1859"/>
  <c r="A1860"/>
  <c r="B1860"/>
  <c r="C1860"/>
  <c r="E1860"/>
  <c r="F1860"/>
  <c r="A1861"/>
  <c r="B1861"/>
  <c r="C1861"/>
  <c r="E1861"/>
  <c r="F1861"/>
  <c r="A1862"/>
  <c r="B1862"/>
  <c r="C1862"/>
  <c r="E1862"/>
  <c r="F1862"/>
  <c r="A1863"/>
  <c r="B1863"/>
  <c r="C1863"/>
  <c r="E1863"/>
  <c r="F1863"/>
  <c r="A1864"/>
  <c r="B1864"/>
  <c r="C1864"/>
  <c r="E1864"/>
  <c r="F1864"/>
  <c r="A1865"/>
  <c r="B1865"/>
  <c r="C1865"/>
  <c r="E1865"/>
  <c r="F1865"/>
  <c r="A1866"/>
  <c r="B1866"/>
  <c r="C1866"/>
  <c r="E1866"/>
  <c r="F1866"/>
  <c r="A1867"/>
  <c r="B1867"/>
  <c r="C1867"/>
  <c r="E1867"/>
  <c r="F1867"/>
  <c r="A1868"/>
  <c r="B1868"/>
  <c r="C1868"/>
  <c r="E1868"/>
  <c r="F1868"/>
  <c r="A1869"/>
  <c r="B1869"/>
  <c r="C1869"/>
  <c r="E1869"/>
  <c r="F1869"/>
  <c r="A1870"/>
  <c r="B1870"/>
  <c r="C1870"/>
  <c r="E1870"/>
  <c r="F1870"/>
  <c r="A1871"/>
  <c r="B1871"/>
  <c r="C1871"/>
  <c r="E1871"/>
  <c r="F1871"/>
  <c r="A1872"/>
  <c r="B1872"/>
  <c r="C1872"/>
  <c r="E1872"/>
  <c r="F1872"/>
  <c r="A1873"/>
  <c r="B1873"/>
  <c r="C1873"/>
  <c r="E1873"/>
  <c r="F1873"/>
  <c r="A1874"/>
  <c r="B1874"/>
  <c r="C1874"/>
  <c r="E1874"/>
  <c r="F1874"/>
  <c r="A1875"/>
  <c r="B1875"/>
  <c r="C1875"/>
  <c r="E1875"/>
  <c r="F1875"/>
  <c r="A1876"/>
  <c r="B1876"/>
  <c r="C1876"/>
  <c r="E1876"/>
  <c r="F1876"/>
  <c r="A1877"/>
  <c r="B1877"/>
  <c r="C1877"/>
  <c r="E1877"/>
  <c r="F1877"/>
  <c r="A1878"/>
  <c r="B1878"/>
  <c r="C1878"/>
  <c r="E1878"/>
  <c r="F1878"/>
  <c r="A1879"/>
  <c r="B1879"/>
  <c r="C1879"/>
  <c r="E1879"/>
  <c r="F1879"/>
  <c r="A1880"/>
  <c r="B1880"/>
  <c r="C1880"/>
  <c r="E1880"/>
  <c r="F1880"/>
  <c r="A1881"/>
  <c r="B1881"/>
  <c r="C1881"/>
  <c r="E1881"/>
  <c r="F1881"/>
  <c r="A1882"/>
  <c r="B1882"/>
  <c r="C1882"/>
  <c r="E1882"/>
  <c r="F1882"/>
  <c r="A1883"/>
  <c r="B1883"/>
  <c r="C1883"/>
  <c r="E1883"/>
  <c r="F1883"/>
  <c r="A1884"/>
  <c r="B1884"/>
  <c r="C1884"/>
  <c r="E1884"/>
  <c r="F1884"/>
  <c r="A1885"/>
  <c r="B1885"/>
  <c r="C1885"/>
  <c r="E1885"/>
  <c r="F1885"/>
  <c r="A1886"/>
  <c r="B1886"/>
  <c r="C1886"/>
  <c r="E1886"/>
  <c r="F1886"/>
  <c r="A1887"/>
  <c r="B1887"/>
  <c r="C1887"/>
  <c r="E1887"/>
  <c r="F1887"/>
  <c r="A1888"/>
  <c r="B1888"/>
  <c r="C1888"/>
  <c r="E1888"/>
  <c r="F1888"/>
  <c r="A1889"/>
  <c r="B1889"/>
  <c r="C1889"/>
  <c r="E1889"/>
  <c r="F1889"/>
  <c r="A1890"/>
  <c r="B1890"/>
  <c r="C1890"/>
  <c r="E1890"/>
  <c r="F1890"/>
  <c r="A1891"/>
  <c r="B1891"/>
  <c r="C1891"/>
  <c r="E1891"/>
  <c r="F1891"/>
  <c r="C1892"/>
  <c r="E1892"/>
  <c r="F1892"/>
  <c r="A1893"/>
  <c r="B1893"/>
  <c r="C1893"/>
  <c r="E1893"/>
  <c r="F1893"/>
  <c r="A1894"/>
  <c r="B1894"/>
  <c r="C1894"/>
  <c r="E1894"/>
  <c r="F1894"/>
  <c r="A1895"/>
  <c r="B1895"/>
  <c r="C1895"/>
  <c r="E1895"/>
  <c r="F1895"/>
  <c r="A1896"/>
  <c r="B1896"/>
  <c r="C1896"/>
  <c r="E1896"/>
  <c r="F1896"/>
  <c r="A1897"/>
  <c r="B1897"/>
  <c r="C1897"/>
  <c r="E1897"/>
  <c r="F1897"/>
  <c r="A1898"/>
  <c r="B1898"/>
  <c r="C1898"/>
  <c r="E1898"/>
  <c r="F1898"/>
  <c r="A1899"/>
  <c r="B1899"/>
  <c r="C1899"/>
  <c r="E1899"/>
  <c r="F1899"/>
  <c r="A1900"/>
  <c r="B1900"/>
  <c r="C1900"/>
  <c r="E1900"/>
  <c r="F1900"/>
  <c r="A1901"/>
  <c r="B1901"/>
  <c r="C1901"/>
  <c r="E1901"/>
  <c r="F1901"/>
  <c r="A1902"/>
  <c r="B1902"/>
  <c r="C1902"/>
  <c r="E1902"/>
  <c r="F1902"/>
  <c r="A1903"/>
  <c r="B1903"/>
  <c r="C1903"/>
  <c r="E1903"/>
  <c r="F1903"/>
  <c r="A1904"/>
  <c r="B1904"/>
  <c r="C1904"/>
  <c r="E1904"/>
  <c r="F1904"/>
  <c r="A1905"/>
  <c r="B1905"/>
  <c r="C1905"/>
  <c r="E1905"/>
  <c r="F1905"/>
  <c r="A1906"/>
  <c r="B1906"/>
  <c r="C1906"/>
  <c r="E1906"/>
  <c r="F1906"/>
  <c r="A1907"/>
  <c r="B1907"/>
  <c r="C1907"/>
  <c r="E1907"/>
  <c r="F1907"/>
  <c r="A1908"/>
  <c r="B1908"/>
  <c r="C1908"/>
  <c r="E1908"/>
  <c r="F1908"/>
  <c r="A1909"/>
  <c r="B1909"/>
  <c r="C1909"/>
  <c r="E1909"/>
  <c r="F1909"/>
  <c r="A1910"/>
  <c r="B1910"/>
  <c r="C1910"/>
  <c r="E1910"/>
  <c r="F1910"/>
  <c r="A1911"/>
  <c r="B1911"/>
  <c r="C1911"/>
  <c r="E1911"/>
  <c r="F1911"/>
  <c r="A1912"/>
  <c r="B1912"/>
  <c r="C1912"/>
  <c r="E1912"/>
  <c r="F1912"/>
  <c r="A1913"/>
  <c r="B1913"/>
  <c r="C1913"/>
  <c r="E1913"/>
  <c r="F1913"/>
  <c r="A1914"/>
  <c r="B1914"/>
  <c r="C1914"/>
  <c r="E1914"/>
  <c r="F1914"/>
  <c r="A1915"/>
  <c r="B1915"/>
  <c r="C1915"/>
  <c r="E1915"/>
  <c r="F1915"/>
  <c r="A1916"/>
  <c r="B1916"/>
  <c r="C1916"/>
  <c r="E1916"/>
  <c r="F1916"/>
  <c r="A1917"/>
  <c r="B1917"/>
  <c r="C1917"/>
  <c r="E1917"/>
  <c r="F1917"/>
  <c r="A1918"/>
  <c r="B1918"/>
  <c r="C1918"/>
  <c r="E1918"/>
  <c r="F1918"/>
  <c r="A1919"/>
  <c r="B1919"/>
  <c r="C1919"/>
  <c r="E1919"/>
  <c r="F1919"/>
  <c r="A1920"/>
  <c r="B1920"/>
  <c r="C1920"/>
  <c r="E1920"/>
  <c r="F1920"/>
  <c r="A1921"/>
  <c r="B1921"/>
  <c r="C1921"/>
  <c r="E1921"/>
  <c r="F1921"/>
  <c r="A1922"/>
  <c r="B1922"/>
  <c r="C1922"/>
  <c r="E1922"/>
  <c r="F1922"/>
  <c r="A1923"/>
  <c r="B1923"/>
  <c r="C1923"/>
  <c r="E1923"/>
  <c r="F1923"/>
  <c r="A1924"/>
  <c r="B1924"/>
  <c r="C1924"/>
  <c r="E1924"/>
  <c r="F1924"/>
  <c r="A1925"/>
  <c r="B1925"/>
  <c r="C1925"/>
  <c r="E1925"/>
  <c r="F1925"/>
  <c r="A1926"/>
  <c r="B1926"/>
  <c r="C1926"/>
  <c r="E1926"/>
  <c r="F1926"/>
  <c r="A1927"/>
  <c r="B1927"/>
  <c r="C1927"/>
  <c r="E1927"/>
  <c r="F1927"/>
  <c r="A1928"/>
  <c r="B1928"/>
  <c r="C1928"/>
  <c r="E1928"/>
  <c r="F1928"/>
  <c r="A1929"/>
  <c r="B1929"/>
  <c r="C1929"/>
  <c r="E1929"/>
  <c r="F1929"/>
  <c r="A1930"/>
  <c r="B1930"/>
  <c r="C1930"/>
  <c r="E1930"/>
  <c r="F1930"/>
  <c r="A1931"/>
  <c r="B1931"/>
  <c r="C1931"/>
  <c r="E1931"/>
  <c r="F1931"/>
  <c r="A1932"/>
  <c r="B1932"/>
  <c r="C1932"/>
  <c r="E1932"/>
  <c r="F1932"/>
  <c r="A1933"/>
  <c r="B1933"/>
  <c r="C1933"/>
  <c r="E1933"/>
  <c r="F1933"/>
  <c r="A1934"/>
  <c r="B1934"/>
  <c r="C1934"/>
  <c r="E1934"/>
  <c r="F1934"/>
  <c r="A1935"/>
  <c r="B1935"/>
  <c r="C1935"/>
  <c r="E1935"/>
  <c r="F1935"/>
  <c r="A1936"/>
  <c r="B1936"/>
  <c r="C1936"/>
  <c r="E1936"/>
  <c r="F1936"/>
  <c r="A1937"/>
  <c r="B1937"/>
  <c r="C1937"/>
  <c r="E1937"/>
  <c r="F1937"/>
  <c r="A1938"/>
  <c r="B1938"/>
  <c r="C1938"/>
  <c r="E1938"/>
  <c r="F1938"/>
  <c r="A1939"/>
  <c r="B1939"/>
  <c r="C1939"/>
  <c r="E1939"/>
  <c r="F1939"/>
  <c r="A1940"/>
  <c r="B1940"/>
  <c r="C1940"/>
  <c r="E1940"/>
  <c r="F1940"/>
  <c r="A1941"/>
  <c r="B1941"/>
  <c r="C1941"/>
  <c r="E1941"/>
  <c r="F1941"/>
  <c r="A1942"/>
  <c r="B1942"/>
  <c r="C1942"/>
  <c r="E1942"/>
  <c r="F1942"/>
  <c r="A1943"/>
  <c r="B1943"/>
  <c r="C1943"/>
  <c r="E1943"/>
  <c r="F1943"/>
  <c r="A1944"/>
  <c r="B1944"/>
  <c r="C1944"/>
  <c r="E1944"/>
  <c r="F1944"/>
  <c r="A1945"/>
  <c r="B1945"/>
  <c r="C1945"/>
  <c r="E1945"/>
  <c r="F1945"/>
  <c r="A1946"/>
  <c r="B1946"/>
  <c r="C1946"/>
  <c r="E1946"/>
  <c r="F1946"/>
  <c r="A1947"/>
  <c r="B1947"/>
  <c r="C1947"/>
  <c r="E1947"/>
  <c r="F1947"/>
  <c r="A1948"/>
  <c r="B1948"/>
  <c r="C1948"/>
  <c r="E1948"/>
  <c r="F1948"/>
  <c r="A1949"/>
  <c r="B1949"/>
  <c r="C1949"/>
  <c r="E1949"/>
  <c r="F1949"/>
  <c r="A1950"/>
  <c r="B1950"/>
  <c r="C1950"/>
  <c r="E1950"/>
  <c r="F1950"/>
  <c r="A1951"/>
  <c r="B1951"/>
  <c r="C1951"/>
  <c r="E1951"/>
  <c r="F1951"/>
  <c r="A1952"/>
  <c r="B1952"/>
  <c r="C1952"/>
  <c r="E1952"/>
  <c r="F1952"/>
  <c r="A1953"/>
  <c r="B1953"/>
  <c r="C1953"/>
  <c r="E1953"/>
  <c r="F1953"/>
  <c r="A1954"/>
  <c r="B1954"/>
  <c r="C1954"/>
  <c r="E1954"/>
  <c r="F1954"/>
  <c r="A1955"/>
  <c r="B1955"/>
  <c r="C1955"/>
  <c r="E1955"/>
  <c r="F1955"/>
  <c r="A1956"/>
  <c r="B1956"/>
  <c r="C1956"/>
  <c r="E1956"/>
  <c r="F1956"/>
  <c r="A1957"/>
  <c r="B1957"/>
  <c r="C1957"/>
  <c r="E1957"/>
  <c r="F1957"/>
  <c r="A1958"/>
  <c r="B1958"/>
  <c r="C1958"/>
  <c r="E1958"/>
  <c r="F1958"/>
  <c r="A1959"/>
  <c r="B1959"/>
  <c r="C1959"/>
  <c r="E1959"/>
  <c r="F1959"/>
  <c r="A1960"/>
  <c r="B1960"/>
  <c r="C1960"/>
  <c r="E1960"/>
  <c r="F1960"/>
  <c r="A1961"/>
  <c r="B1961"/>
  <c r="C1961"/>
  <c r="E1961"/>
  <c r="F1961"/>
  <c r="A1962"/>
  <c r="B1962"/>
  <c r="C1962"/>
  <c r="E1962"/>
  <c r="F1962"/>
  <c r="A1963"/>
  <c r="B1963"/>
  <c r="C1963"/>
  <c r="E1963"/>
  <c r="F1963"/>
  <c r="A1964"/>
  <c r="B1964"/>
  <c r="C1964"/>
  <c r="E1964"/>
  <c r="F1964"/>
  <c r="A1965"/>
  <c r="B1965"/>
  <c r="C1965"/>
  <c r="E1965"/>
  <c r="F1965"/>
  <c r="A1966"/>
  <c r="B1966"/>
  <c r="C1966"/>
  <c r="E1966"/>
  <c r="F1966"/>
  <c r="A1967"/>
  <c r="B1967"/>
  <c r="C1967"/>
  <c r="E1967"/>
  <c r="F1967"/>
  <c r="A1968"/>
  <c r="B1968"/>
  <c r="C1968"/>
  <c r="E1968"/>
  <c r="F1968"/>
  <c r="A1969"/>
  <c r="B1969"/>
  <c r="C1969"/>
  <c r="E1969"/>
  <c r="F1969"/>
  <c r="A1970"/>
  <c r="B1970"/>
  <c r="C1970"/>
  <c r="E1970"/>
  <c r="F1970"/>
  <c r="A1971"/>
  <c r="B1971"/>
  <c r="C1971"/>
  <c r="E1971"/>
  <c r="F1971"/>
  <c r="A1972"/>
  <c r="B1972"/>
  <c r="C1972"/>
  <c r="E1972"/>
  <c r="F1972"/>
  <c r="A1973"/>
  <c r="B1973"/>
  <c r="C1973"/>
  <c r="E1973"/>
  <c r="F1973"/>
  <c r="A1974"/>
  <c r="B1974"/>
  <c r="C1974"/>
  <c r="E1974"/>
  <c r="F1974"/>
  <c r="A1975"/>
  <c r="B1975"/>
  <c r="C1975"/>
  <c r="E1975"/>
  <c r="F1975"/>
  <c r="A1976"/>
  <c r="B1976"/>
  <c r="C1976"/>
  <c r="E1976"/>
  <c r="F1976"/>
  <c r="A1977"/>
  <c r="B1977"/>
  <c r="C1977"/>
  <c r="E1977"/>
  <c r="F1977"/>
  <c r="A1978"/>
  <c r="B1978"/>
  <c r="C1978"/>
  <c r="E1978"/>
  <c r="F1978"/>
  <c r="A1979"/>
  <c r="B1979"/>
  <c r="C1979"/>
  <c r="E1979"/>
  <c r="F1979"/>
  <c r="A1980"/>
  <c r="B1980"/>
  <c r="C1980"/>
  <c r="E1980"/>
  <c r="F1980"/>
  <c r="A1981"/>
  <c r="B1981"/>
  <c r="C1981"/>
  <c r="E1981"/>
  <c r="F1981"/>
  <c r="A1982"/>
  <c r="B1982"/>
  <c r="C1982"/>
  <c r="E1982"/>
  <c r="F1982"/>
  <c r="A1983"/>
  <c r="B1983"/>
  <c r="C1983"/>
  <c r="E1983"/>
  <c r="F1983"/>
  <c r="A1984"/>
  <c r="B1984"/>
  <c r="C1984"/>
  <c r="E1984"/>
  <c r="F1984"/>
  <c r="A1985"/>
  <c r="B1985"/>
  <c r="C1985"/>
  <c r="E1985"/>
  <c r="F1985"/>
  <c r="A1986"/>
  <c r="B1986"/>
  <c r="C1986"/>
  <c r="E1986"/>
  <c r="F1986"/>
  <c r="A1987"/>
  <c r="B1987"/>
  <c r="C1987"/>
  <c r="E1987"/>
  <c r="F1987"/>
  <c r="A1988"/>
  <c r="B1988"/>
  <c r="C1988"/>
  <c r="E1988"/>
  <c r="F1988"/>
  <c r="A1989"/>
  <c r="B1989"/>
  <c r="C1989"/>
  <c r="E1989"/>
  <c r="F1989"/>
  <c r="A1990"/>
  <c r="B1990"/>
  <c r="C1990"/>
  <c r="E1990"/>
  <c r="F1990"/>
  <c r="A1991"/>
  <c r="B1991"/>
  <c r="C1991"/>
  <c r="E1991"/>
  <c r="F1991"/>
  <c r="A1992"/>
  <c r="B1992"/>
  <c r="C1992"/>
  <c r="E1992"/>
  <c r="F1992"/>
  <c r="A1993"/>
  <c r="B1993"/>
  <c r="C1993"/>
  <c r="E1993"/>
  <c r="F1993"/>
  <c r="A1994"/>
  <c r="B1994"/>
  <c r="C1994"/>
  <c r="E1994"/>
  <c r="F1994"/>
  <c r="A1995"/>
  <c r="B1995"/>
  <c r="C1995"/>
  <c r="E1995"/>
  <c r="F1995"/>
  <c r="A1996"/>
  <c r="B1996"/>
  <c r="C1996"/>
  <c r="E1996"/>
  <c r="F1996"/>
  <c r="A1997"/>
  <c r="B1997"/>
  <c r="C1997"/>
  <c r="E1997"/>
  <c r="F1997"/>
  <c r="A1998"/>
  <c r="B1998"/>
  <c r="C1998"/>
  <c r="E1998"/>
  <c r="F1998"/>
  <c r="A1999"/>
  <c r="B1999"/>
  <c r="C1999"/>
  <c r="E1999"/>
  <c r="F1999"/>
  <c r="A2000"/>
  <c r="B2000"/>
  <c r="C2000"/>
  <c r="E2000"/>
  <c r="F2000"/>
  <c r="A2001"/>
  <c r="B2001"/>
  <c r="C2001"/>
  <c r="E2001"/>
  <c r="F2001"/>
  <c r="A2002"/>
  <c r="B2002"/>
  <c r="C2002"/>
  <c r="E2002"/>
  <c r="F2002"/>
  <c r="A2003"/>
  <c r="B2003"/>
  <c r="C2003"/>
  <c r="E2003"/>
  <c r="F2003"/>
  <c r="A2004"/>
  <c r="B2004"/>
  <c r="C2004"/>
  <c r="E2004"/>
  <c r="F2004"/>
  <c r="A2005"/>
  <c r="B2005"/>
  <c r="C2005"/>
  <c r="E2005"/>
  <c r="F2005"/>
  <c r="A2006"/>
  <c r="B2006"/>
  <c r="C2006"/>
  <c r="E2006"/>
  <c r="F2006"/>
  <c r="A2007"/>
  <c r="B2007"/>
  <c r="C2007"/>
  <c r="E2007"/>
  <c r="F2007"/>
  <c r="A2008"/>
  <c r="B2008"/>
  <c r="C2008"/>
  <c r="E2008"/>
  <c r="F2008"/>
  <c r="A2009"/>
  <c r="B2009"/>
  <c r="C2009"/>
  <c r="E2009"/>
  <c r="F2009"/>
  <c r="A2010"/>
  <c r="B2010"/>
  <c r="C2010"/>
  <c r="E2010"/>
  <c r="F2010"/>
  <c r="A2011"/>
  <c r="B2011"/>
  <c r="C2011"/>
  <c r="E2011"/>
  <c r="F2011"/>
  <c r="A2012"/>
  <c r="B2012"/>
  <c r="C2012"/>
  <c r="E2012"/>
  <c r="F2012"/>
  <c r="A2013"/>
  <c r="B2013"/>
  <c r="C2013"/>
  <c r="E2013"/>
  <c r="F2013"/>
  <c r="A2014"/>
  <c r="B2014"/>
  <c r="C2014"/>
  <c r="E2014"/>
  <c r="F2014"/>
  <c r="A2015"/>
  <c r="B2015"/>
  <c r="C2015"/>
  <c r="E2015"/>
  <c r="F2015"/>
  <c r="A2016"/>
  <c r="B2016"/>
  <c r="C2016"/>
  <c r="E2016"/>
  <c r="F2016"/>
  <c r="A2017"/>
  <c r="B2017"/>
  <c r="C2017"/>
  <c r="E2017"/>
  <c r="F2017"/>
  <c r="A2018"/>
  <c r="B2018"/>
  <c r="C2018"/>
  <c r="E2018"/>
  <c r="F2018"/>
  <c r="A2019"/>
  <c r="B2019"/>
  <c r="C2019"/>
  <c r="E2019"/>
  <c r="F2019"/>
  <c r="A2020"/>
  <c r="B2020"/>
  <c r="C2020"/>
  <c r="E2020"/>
  <c r="F2020"/>
  <c r="A2021"/>
  <c r="B2021"/>
  <c r="C2021"/>
  <c r="E2021"/>
  <c r="F2021"/>
  <c r="A2022"/>
  <c r="B2022"/>
  <c r="C2022"/>
  <c r="E2022"/>
  <c r="F2022"/>
  <c r="A2023"/>
  <c r="B2023"/>
  <c r="C2023"/>
  <c r="E2023"/>
  <c r="F2023"/>
  <c r="A2024"/>
  <c r="B2024"/>
  <c r="C2024"/>
  <c r="E2024"/>
  <c r="F2024"/>
  <c r="A2025"/>
  <c r="B2025"/>
  <c r="C2025"/>
  <c r="E2025"/>
  <c r="F2025"/>
  <c r="A2026"/>
  <c r="B2026"/>
  <c r="C2026"/>
  <c r="E2026"/>
  <c r="F2026"/>
  <c r="A2027"/>
  <c r="B2027"/>
  <c r="C2027"/>
  <c r="E2027"/>
  <c r="F2027"/>
  <c r="A2028"/>
  <c r="B2028"/>
  <c r="C2028"/>
  <c r="E2028"/>
  <c r="F2028"/>
  <c r="A2029"/>
  <c r="B2029"/>
  <c r="C2029"/>
  <c r="E2029"/>
  <c r="F2029"/>
  <c r="A2030"/>
  <c r="B2030"/>
  <c r="C2030"/>
  <c r="E2030"/>
  <c r="F2030"/>
  <c r="A2031"/>
  <c r="B2031"/>
  <c r="C2031"/>
  <c r="E2031"/>
  <c r="F2031"/>
  <c r="A2032"/>
  <c r="B2032"/>
  <c r="C2032"/>
  <c r="E2032"/>
  <c r="F2032"/>
  <c r="A2033"/>
  <c r="B2033"/>
  <c r="C2033"/>
  <c r="E2033"/>
  <c r="F2033"/>
  <c r="A2034"/>
  <c r="B2034"/>
  <c r="C2034"/>
  <c r="E2034"/>
  <c r="F2034"/>
  <c r="A2035"/>
  <c r="B2035"/>
  <c r="C2035"/>
  <c r="E2035"/>
  <c r="F2035"/>
  <c r="A2036"/>
  <c r="B2036"/>
  <c r="C2036"/>
  <c r="E2036"/>
  <c r="F2036"/>
  <c r="A2037"/>
  <c r="B2037"/>
  <c r="C2037"/>
  <c r="E2037"/>
  <c r="F2037"/>
  <c r="A2038"/>
  <c r="B2038"/>
  <c r="C2038"/>
  <c r="E2038"/>
  <c r="F2038"/>
  <c r="A2039"/>
  <c r="B2039"/>
  <c r="C2039"/>
  <c r="E2039"/>
  <c r="F2039"/>
  <c r="A2040"/>
  <c r="B2040"/>
  <c r="C2040"/>
  <c r="E2040"/>
  <c r="F2040"/>
  <c r="A2041"/>
  <c r="B2041"/>
  <c r="C2041"/>
  <c r="E2041"/>
  <c r="F2041"/>
  <c r="A2042"/>
  <c r="B2042"/>
  <c r="C2042"/>
  <c r="E2042"/>
  <c r="F2042"/>
  <c r="A2043"/>
  <c r="B2043"/>
  <c r="C2043"/>
  <c r="E2043"/>
  <c r="F2043"/>
  <c r="A2044"/>
  <c r="B2044"/>
  <c r="C2044"/>
  <c r="E2044"/>
  <c r="F2044"/>
  <c r="A2045"/>
  <c r="B2045"/>
  <c r="C2045"/>
  <c r="E2045"/>
  <c r="F2045"/>
  <c r="A2046"/>
  <c r="B2046"/>
  <c r="C2046"/>
  <c r="E2046"/>
  <c r="F2046"/>
  <c r="A2047"/>
  <c r="B2047"/>
  <c r="C2047"/>
  <c r="E2047"/>
  <c r="F2047"/>
  <c r="A2048"/>
  <c r="B2048"/>
  <c r="C2048"/>
  <c r="E2048"/>
  <c r="F2048"/>
  <c r="A2049"/>
  <c r="B2049"/>
  <c r="C2049"/>
  <c r="E2049"/>
  <c r="F2049"/>
  <c r="A2050"/>
  <c r="B2050"/>
  <c r="C2050"/>
  <c r="E2050"/>
  <c r="F2050"/>
  <c r="A2051"/>
  <c r="B2051"/>
  <c r="C2051"/>
  <c r="E2051"/>
  <c r="F2051"/>
  <c r="A2052"/>
  <c r="B2052"/>
  <c r="C2052"/>
  <c r="E2052"/>
  <c r="F2052"/>
  <c r="A2053"/>
  <c r="B2053"/>
  <c r="C2053"/>
  <c r="E2053"/>
  <c r="F2053"/>
  <c r="A2054"/>
  <c r="B2054"/>
  <c r="C2054"/>
  <c r="E2054"/>
  <c r="F2054"/>
  <c r="A2055"/>
  <c r="B2055"/>
  <c r="C2055"/>
  <c r="E2055"/>
  <c r="F2055"/>
  <c r="A2056"/>
  <c r="B2056"/>
  <c r="C2056"/>
  <c r="E2056"/>
  <c r="F2056"/>
  <c r="A2057"/>
  <c r="B2057"/>
  <c r="C2057"/>
  <c r="E2057"/>
  <c r="F2057"/>
  <c r="A2058"/>
  <c r="B2058"/>
  <c r="C2058"/>
  <c r="E2058"/>
  <c r="F2058"/>
  <c r="A2059"/>
  <c r="B2059"/>
  <c r="C2059"/>
  <c r="E2059"/>
  <c r="F2059"/>
  <c r="A2060"/>
  <c r="B2060"/>
  <c r="C2060"/>
  <c r="E2060"/>
  <c r="F2060"/>
  <c r="A2061"/>
  <c r="B2061"/>
  <c r="C2061"/>
  <c r="E2061"/>
  <c r="F2061"/>
  <c r="A2062"/>
  <c r="B2062"/>
  <c r="C2062"/>
  <c r="E2062"/>
  <c r="F2062"/>
  <c r="A2063"/>
  <c r="B2063"/>
  <c r="C2063"/>
  <c r="E2063"/>
  <c r="F2063"/>
  <c r="A2064"/>
  <c r="B2064"/>
  <c r="C2064"/>
  <c r="E2064"/>
  <c r="F2064"/>
  <c r="A2065"/>
  <c r="B2065"/>
  <c r="C2065"/>
  <c r="E2065"/>
  <c r="F2065"/>
  <c r="A2066"/>
  <c r="B2066"/>
  <c r="C2066"/>
  <c r="E2066"/>
  <c r="F2066"/>
  <c r="A2067"/>
  <c r="B2067"/>
  <c r="C2067"/>
  <c r="E2067"/>
  <c r="F2067"/>
  <c r="A2068"/>
  <c r="B2068"/>
  <c r="C2068"/>
  <c r="E2068"/>
  <c r="F2068"/>
  <c r="A2069"/>
  <c r="B2069"/>
  <c r="C2069"/>
  <c r="E2069"/>
  <c r="F2069"/>
  <c r="A2070"/>
  <c r="B2070"/>
  <c r="C2070"/>
  <c r="E2070"/>
  <c r="F2070"/>
  <c r="A2071"/>
  <c r="B2071"/>
  <c r="C2071"/>
  <c r="E2071"/>
  <c r="F2071"/>
  <c r="A2072"/>
  <c r="B2072"/>
  <c r="C2072"/>
  <c r="E2072"/>
  <c r="F2072"/>
  <c r="A2073"/>
  <c r="B2073"/>
  <c r="C2073"/>
  <c r="E2073"/>
  <c r="F2073"/>
  <c r="A2074"/>
  <c r="B2074"/>
  <c r="C2074"/>
  <c r="E2074"/>
  <c r="F2074"/>
  <c r="A2075"/>
  <c r="B2075"/>
  <c r="C2075"/>
  <c r="E2075"/>
  <c r="F2075"/>
  <c r="A2076"/>
  <c r="B2076"/>
  <c r="C2076"/>
  <c r="E2076"/>
  <c r="F2076"/>
  <c r="A2077"/>
  <c r="B2077"/>
  <c r="C2077"/>
  <c r="E2077"/>
  <c r="F2077"/>
  <c r="A2078"/>
  <c r="B2078"/>
  <c r="C2078"/>
  <c r="E2078"/>
  <c r="F2078"/>
  <c r="A2079"/>
  <c r="B2079"/>
  <c r="C2079"/>
  <c r="E2079"/>
  <c r="F2079"/>
  <c r="A2080"/>
  <c r="B2080"/>
  <c r="C2080"/>
  <c r="E2080"/>
  <c r="F2080"/>
  <c r="A2081"/>
  <c r="B2081"/>
  <c r="C2081"/>
  <c r="E2081"/>
  <c r="F2081"/>
  <c r="A2082"/>
  <c r="B2082"/>
  <c r="C2082"/>
  <c r="E2082"/>
  <c r="F2082"/>
  <c r="A2083"/>
  <c r="B2083"/>
  <c r="C2083"/>
  <c r="E2083"/>
  <c r="F2083"/>
  <c r="A2084"/>
  <c r="B2084"/>
  <c r="C2084"/>
  <c r="E2084"/>
  <c r="F2084"/>
  <c r="A2085"/>
  <c r="B2085"/>
  <c r="C2085"/>
  <c r="E2085"/>
  <c r="F2085"/>
  <c r="A2086"/>
  <c r="B2086"/>
  <c r="C2086"/>
  <c r="E2086"/>
  <c r="F2086"/>
  <c r="A2087"/>
  <c r="B2087"/>
  <c r="C2087"/>
  <c r="E2087"/>
  <c r="F2087"/>
  <c r="A2088"/>
  <c r="B2088"/>
  <c r="C2088"/>
  <c r="E2088"/>
  <c r="F2088"/>
  <c r="A2089"/>
  <c r="B2089"/>
  <c r="C2089"/>
  <c r="E2089"/>
  <c r="F2089"/>
  <c r="A2090"/>
  <c r="B2090"/>
  <c r="C2090"/>
  <c r="E2090"/>
  <c r="F2090"/>
  <c r="A2091"/>
  <c r="B2091"/>
  <c r="C2091"/>
  <c r="E2091"/>
  <c r="F2091"/>
  <c r="A2092"/>
  <c r="B2092"/>
  <c r="C2092"/>
  <c r="E2092"/>
  <c r="F2092"/>
  <c r="A2093"/>
  <c r="B2093"/>
  <c r="C2093"/>
  <c r="E2093"/>
  <c r="F2093"/>
  <c r="A2094"/>
  <c r="B2094"/>
  <c r="C2094"/>
  <c r="E2094"/>
  <c r="F2094"/>
  <c r="A2095"/>
  <c r="B2095"/>
  <c r="C2095"/>
  <c r="E2095"/>
  <c r="F2095"/>
  <c r="A2096"/>
  <c r="B2096"/>
  <c r="C2096"/>
  <c r="E2096"/>
  <c r="F2096"/>
  <c r="A2097"/>
  <c r="B2097"/>
  <c r="C2097"/>
  <c r="E2097"/>
  <c r="F2097"/>
  <c r="A2098"/>
  <c r="B2098"/>
  <c r="C2098"/>
  <c r="E2098"/>
  <c r="F2098"/>
  <c r="A2099"/>
  <c r="B2099"/>
  <c r="C2099"/>
  <c r="E2099"/>
  <c r="F2099"/>
  <c r="A2100"/>
  <c r="B2100"/>
  <c r="C2100"/>
  <c r="E2100"/>
  <c r="F2100"/>
  <c r="A2101"/>
  <c r="B2101"/>
  <c r="C2101"/>
  <c r="E2101"/>
  <c r="F2101"/>
  <c r="A2102"/>
  <c r="B2102"/>
  <c r="C2102"/>
  <c r="E2102"/>
  <c r="F2102"/>
  <c r="A2103"/>
  <c r="B2103"/>
  <c r="C2103"/>
  <c r="E2103"/>
  <c r="F2103"/>
  <c r="A2104"/>
  <c r="B2104"/>
  <c r="C2104"/>
  <c r="E2104"/>
  <c r="F2104"/>
  <c r="A2105"/>
  <c r="B2105"/>
  <c r="C2105"/>
  <c r="E2105"/>
  <c r="F2105"/>
  <c r="A2106"/>
  <c r="B2106"/>
  <c r="C2106"/>
  <c r="E2106"/>
  <c r="F2106"/>
  <c r="A2107"/>
  <c r="B2107"/>
  <c r="C2107"/>
  <c r="E2107"/>
  <c r="F2107"/>
  <c r="A2108"/>
  <c r="B2108"/>
  <c r="C2108"/>
  <c r="E2108"/>
  <c r="F2108"/>
  <c r="A2109"/>
  <c r="B2109"/>
  <c r="C2109"/>
  <c r="E2109"/>
  <c r="F2109"/>
  <c r="A2110"/>
  <c r="B2110"/>
  <c r="C2110"/>
  <c r="E2110"/>
  <c r="F2110"/>
  <c r="A2111"/>
  <c r="B2111"/>
  <c r="C2111"/>
  <c r="E2111"/>
  <c r="F2111"/>
  <c r="A2112"/>
  <c r="B2112"/>
  <c r="C2112"/>
  <c r="E2112"/>
  <c r="F2112"/>
  <c r="A2113"/>
  <c r="B2113"/>
  <c r="C2113"/>
  <c r="E2113"/>
  <c r="F2113"/>
  <c r="A2114"/>
  <c r="B2114"/>
  <c r="C2114"/>
  <c r="E2114"/>
  <c r="F2114"/>
  <c r="A2115"/>
  <c r="B2115"/>
  <c r="C2115"/>
  <c r="E2115"/>
  <c r="F2115"/>
  <c r="A2116"/>
  <c r="B2116"/>
  <c r="C2116"/>
  <c r="E2116"/>
  <c r="F2116"/>
  <c r="A2117"/>
  <c r="B2117"/>
  <c r="C2117"/>
  <c r="E2117"/>
  <c r="F2117"/>
  <c r="A2118"/>
  <c r="B2118"/>
  <c r="C2118"/>
  <c r="E2118"/>
  <c r="F2118"/>
  <c r="A2119"/>
  <c r="B2119"/>
  <c r="C2119"/>
  <c r="E2119"/>
  <c r="F2119"/>
  <c r="A2120"/>
  <c r="B2120"/>
  <c r="C2120"/>
  <c r="E2120"/>
  <c r="F2120"/>
  <c r="A2121"/>
  <c r="B2121"/>
  <c r="C2121"/>
  <c r="E2121"/>
  <c r="F2121"/>
  <c r="A2122"/>
  <c r="B2122"/>
  <c r="C2122"/>
  <c r="E2122"/>
  <c r="F2122"/>
  <c r="A2123"/>
  <c r="B2123"/>
  <c r="C2123"/>
  <c r="E2123"/>
  <c r="F2123"/>
  <c r="A2124"/>
  <c r="B2124"/>
  <c r="C2124"/>
  <c r="E2124"/>
  <c r="F2124"/>
  <c r="A2125"/>
  <c r="B2125"/>
  <c r="C2125"/>
  <c r="E2125"/>
  <c r="F2125"/>
  <c r="A2126"/>
  <c r="B2126"/>
  <c r="C2126"/>
  <c r="E2126"/>
  <c r="F2126"/>
  <c r="A2127"/>
  <c r="B2127"/>
  <c r="C2127"/>
  <c r="E2127"/>
  <c r="F2127"/>
  <c r="A2128"/>
  <c r="B2128"/>
  <c r="C2128"/>
  <c r="E2128"/>
  <c r="F2128"/>
  <c r="A2129"/>
  <c r="B2129"/>
  <c r="C2129"/>
  <c r="E2129"/>
  <c r="F2129"/>
  <c r="A2130"/>
  <c r="B2130"/>
  <c r="C2130"/>
  <c r="E2130"/>
  <c r="F2130"/>
  <c r="A2131"/>
  <c r="B2131"/>
  <c r="C2131"/>
  <c r="E2131"/>
  <c r="F2131"/>
  <c r="A2132"/>
  <c r="B2132"/>
  <c r="C2132"/>
  <c r="E2132"/>
  <c r="F2132"/>
  <c r="A2133"/>
  <c r="B2133"/>
  <c r="C2133"/>
  <c r="E2133"/>
  <c r="F2133"/>
  <c r="A2134"/>
  <c r="B2134"/>
  <c r="C2134"/>
  <c r="E2134"/>
  <c r="F2134"/>
  <c r="A2135"/>
  <c r="B2135"/>
  <c r="C2135"/>
  <c r="E2135"/>
  <c r="F2135"/>
  <c r="A2136"/>
  <c r="B2136"/>
  <c r="C2136"/>
  <c r="E2136"/>
  <c r="F2136"/>
  <c r="A2137"/>
  <c r="B2137"/>
  <c r="C2137"/>
  <c r="E2137"/>
  <c r="F2137"/>
  <c r="A2138"/>
  <c r="B2138"/>
  <c r="C2138"/>
  <c r="E2138"/>
  <c r="F2138"/>
  <c r="A2139"/>
  <c r="B2139"/>
  <c r="C2139"/>
  <c r="E2139"/>
  <c r="F2139"/>
  <c r="A2140"/>
  <c r="B2140"/>
  <c r="C2140"/>
  <c r="E2140"/>
  <c r="F2140"/>
  <c r="A2141"/>
  <c r="B2141"/>
  <c r="C2141"/>
  <c r="E2141"/>
  <c r="F2141"/>
  <c r="A2142"/>
  <c r="B2142"/>
  <c r="C2142"/>
  <c r="E2142"/>
  <c r="F2142"/>
  <c r="A2143"/>
  <c r="B2143"/>
  <c r="C2143"/>
  <c r="E2143"/>
  <c r="F2143"/>
  <c r="A2144"/>
  <c r="B2144"/>
  <c r="C2144"/>
  <c r="E2144"/>
  <c r="F2144"/>
  <c r="A2145"/>
  <c r="B2145"/>
  <c r="C2145"/>
  <c r="E2145"/>
  <c r="F2145"/>
  <c r="A2146"/>
  <c r="B2146"/>
  <c r="C2146"/>
  <c r="E2146"/>
  <c r="F2146"/>
  <c r="A2147"/>
  <c r="B2147"/>
  <c r="C2147"/>
  <c r="E2147"/>
  <c r="F2147"/>
  <c r="A2148"/>
  <c r="B2148"/>
  <c r="C2148"/>
  <c r="E2148"/>
  <c r="F2148"/>
  <c r="A2149"/>
  <c r="B2149"/>
  <c r="C2149"/>
  <c r="E2149"/>
  <c r="F2149"/>
  <c r="A2150"/>
  <c r="B2150"/>
  <c r="C2150"/>
  <c r="E2150"/>
  <c r="F2150"/>
  <c r="A2151"/>
  <c r="B2151"/>
  <c r="C2151"/>
  <c r="E2151"/>
  <c r="F2151"/>
  <c r="A2152"/>
  <c r="B2152"/>
  <c r="C2152"/>
  <c r="E2152"/>
  <c r="F2152"/>
  <c r="A2153"/>
  <c r="B2153"/>
  <c r="C2153"/>
  <c r="E2153"/>
  <c r="F2153"/>
  <c r="A2154"/>
  <c r="B2154"/>
  <c r="C2154"/>
  <c r="E2154"/>
  <c r="F2154"/>
  <c r="A2155"/>
  <c r="B2155"/>
  <c r="C2155"/>
  <c r="E2155"/>
  <c r="F2155"/>
  <c r="A2156"/>
  <c r="B2156"/>
  <c r="C2156"/>
  <c r="E2156"/>
  <c r="F2156"/>
  <c r="A2157"/>
  <c r="B2157"/>
  <c r="C2157"/>
  <c r="E2157"/>
  <c r="F2157"/>
  <c r="A2158"/>
  <c r="B2158"/>
  <c r="C2158"/>
  <c r="E2158"/>
  <c r="F2158"/>
  <c r="A2159"/>
  <c r="B2159"/>
  <c r="C2159"/>
  <c r="E2159"/>
  <c r="F2159"/>
  <c r="A2160"/>
  <c r="B2160"/>
  <c r="C2160"/>
  <c r="E2160"/>
  <c r="F2160"/>
  <c r="A2161"/>
  <c r="B2161"/>
  <c r="C2161"/>
  <c r="E2161"/>
  <c r="F2161"/>
  <c r="A2162"/>
  <c r="B2162"/>
  <c r="C2162"/>
  <c r="E2162"/>
  <c r="F2162"/>
  <c r="A2163"/>
  <c r="B2163"/>
  <c r="C2163"/>
  <c r="E2163"/>
  <c r="F2163"/>
  <c r="A2164"/>
  <c r="B2164"/>
  <c r="C2164"/>
  <c r="E2164"/>
  <c r="F2164"/>
  <c r="A2165"/>
  <c r="B2165"/>
  <c r="C2165"/>
  <c r="E2165"/>
  <c r="F2165"/>
  <c r="A2166"/>
  <c r="B2166"/>
  <c r="C2166"/>
  <c r="E2166"/>
  <c r="F2166"/>
  <c r="A2167"/>
  <c r="B2167"/>
  <c r="C2167"/>
  <c r="E2167"/>
  <c r="F2167"/>
  <c r="A2168"/>
  <c r="B2168"/>
  <c r="C2168"/>
  <c r="E2168"/>
  <c r="F2168"/>
  <c r="A2169"/>
  <c r="B2169"/>
  <c r="C2169"/>
  <c r="E2169"/>
  <c r="F2169"/>
  <c r="A2170"/>
  <c r="B2170"/>
  <c r="C2170"/>
  <c r="E2170"/>
  <c r="F2170"/>
  <c r="A2171"/>
  <c r="B2171"/>
  <c r="C2171"/>
  <c r="E2171"/>
  <c r="F2171"/>
  <c r="A2172"/>
  <c r="B2172"/>
  <c r="C2172"/>
  <c r="E2172"/>
  <c r="F2172"/>
  <c r="A2173"/>
  <c r="B2173"/>
  <c r="C2173"/>
  <c r="E2173"/>
  <c r="F2173"/>
  <c r="A2174"/>
  <c r="B2174"/>
  <c r="C2174"/>
  <c r="E2174"/>
  <c r="F2174"/>
  <c r="A2175"/>
  <c r="B2175"/>
  <c r="C2175"/>
  <c r="E2175"/>
  <c r="F2175"/>
  <c r="A2176"/>
  <c r="B2176"/>
  <c r="C2176"/>
  <c r="E2176"/>
  <c r="F2176"/>
  <c r="A2177"/>
  <c r="B2177"/>
  <c r="C2177"/>
  <c r="E2177"/>
  <c r="F2177"/>
  <c r="A2178"/>
  <c r="B2178"/>
  <c r="C2178"/>
  <c r="E2178"/>
  <c r="F2178"/>
  <c r="A2179"/>
  <c r="B2179"/>
  <c r="C2179"/>
  <c r="E2179"/>
  <c r="F2179"/>
  <c r="A2180"/>
  <c r="B2180"/>
  <c r="C2180"/>
  <c r="E2180"/>
  <c r="F2180"/>
  <c r="A2181"/>
  <c r="B2181"/>
  <c r="C2181"/>
  <c r="E2181"/>
  <c r="F2181"/>
  <c r="A2182"/>
  <c r="B2182"/>
  <c r="C2182"/>
  <c r="E2182"/>
  <c r="F2182"/>
  <c r="A2183"/>
  <c r="B2183"/>
  <c r="C2183"/>
  <c r="E2183"/>
  <c r="F2183"/>
  <c r="A2184"/>
  <c r="B2184"/>
  <c r="C2184"/>
  <c r="E2184"/>
  <c r="F2184"/>
  <c r="A2185"/>
  <c r="B2185"/>
  <c r="C2185"/>
  <c r="E2185"/>
  <c r="F2185"/>
  <c r="A2186"/>
  <c r="B2186"/>
  <c r="C2186"/>
  <c r="E2186"/>
  <c r="F2186"/>
  <c r="A2187"/>
  <c r="B2187"/>
  <c r="C2187"/>
  <c r="E2187"/>
  <c r="F2187"/>
  <c r="A2188"/>
  <c r="B2188"/>
  <c r="C2188"/>
  <c r="E2188"/>
  <c r="F2188"/>
  <c r="A2189"/>
  <c r="B2189"/>
  <c r="C2189"/>
  <c r="E2189"/>
  <c r="F2189"/>
  <c r="A2190"/>
  <c r="B2190"/>
  <c r="C2190"/>
  <c r="E2190"/>
  <c r="F2190"/>
  <c r="A2191"/>
  <c r="B2191"/>
  <c r="C2191"/>
  <c r="E2191"/>
  <c r="F2191"/>
  <c r="A2192"/>
  <c r="B2192"/>
  <c r="C2192"/>
  <c r="E2192"/>
  <c r="F2192"/>
  <c r="A2193"/>
  <c r="B2193"/>
  <c r="C2193"/>
  <c r="E2193"/>
  <c r="F2193"/>
  <c r="A2194"/>
  <c r="B2194"/>
  <c r="C2194"/>
  <c r="E2194"/>
  <c r="F2194"/>
  <c r="A2195"/>
  <c r="B2195"/>
  <c r="C2195"/>
  <c r="E2195"/>
  <c r="F2195"/>
  <c r="A2196"/>
  <c r="B2196"/>
  <c r="C2196"/>
  <c r="E2196"/>
  <c r="F2196"/>
  <c r="A2197"/>
  <c r="B2197"/>
  <c r="C2197"/>
  <c r="E2197"/>
  <c r="F2197"/>
  <c r="A2198"/>
  <c r="B2198"/>
  <c r="C2198"/>
  <c r="E2198"/>
  <c r="F2198"/>
  <c r="A2199"/>
  <c r="B2199"/>
  <c r="C2199"/>
  <c r="E2199"/>
  <c r="F2199"/>
  <c r="A2200"/>
  <c r="B2200"/>
  <c r="C2200"/>
  <c r="E2200"/>
  <c r="F2200"/>
  <c r="A2201"/>
  <c r="B2201"/>
  <c r="C2201"/>
  <c r="E2201"/>
  <c r="F2201"/>
  <c r="A2202"/>
  <c r="B2202"/>
  <c r="C2202"/>
  <c r="E2202"/>
  <c r="F2202"/>
  <c r="A2203"/>
  <c r="B2203"/>
  <c r="C2203"/>
  <c r="E2203"/>
  <c r="F2203"/>
  <c r="A2204"/>
  <c r="B2204"/>
  <c r="C2204"/>
  <c r="E2204"/>
  <c r="F2204"/>
  <c r="A2205"/>
  <c r="B2205"/>
  <c r="C2205"/>
  <c r="E2205"/>
  <c r="F2205"/>
  <c r="A2206"/>
  <c r="B2206"/>
  <c r="C2206"/>
  <c r="E2206"/>
  <c r="F2206"/>
  <c r="A2207"/>
  <c r="B2207"/>
  <c r="C2207"/>
  <c r="E2207"/>
  <c r="F2207"/>
  <c r="A2208"/>
  <c r="B2208"/>
  <c r="C2208"/>
  <c r="E2208"/>
  <c r="F2208"/>
  <c r="A2209"/>
  <c r="B2209"/>
  <c r="C2209"/>
  <c r="E2209"/>
  <c r="F2209"/>
  <c r="A2210"/>
  <c r="B2210"/>
  <c r="C2210"/>
  <c r="E2210"/>
  <c r="F2210"/>
  <c r="A2211"/>
  <c r="B2211"/>
  <c r="C2211"/>
  <c r="E2211"/>
  <c r="F2211"/>
  <c r="A2212"/>
  <c r="B2212"/>
  <c r="C2212"/>
  <c r="E2212"/>
  <c r="F2212"/>
  <c r="A2213"/>
  <c r="B2213"/>
  <c r="C2213"/>
  <c r="E2213"/>
  <c r="F2213"/>
  <c r="A2214"/>
  <c r="B2214"/>
  <c r="C2214"/>
  <c r="E2214"/>
  <c r="F2214"/>
  <c r="A2215"/>
  <c r="B2215"/>
  <c r="C2215"/>
  <c r="E2215"/>
  <c r="F2215"/>
  <c r="A2216"/>
  <c r="B2216"/>
  <c r="C2216"/>
  <c r="E2216"/>
  <c r="F2216"/>
  <c r="A2217"/>
  <c r="B2217"/>
  <c r="C2217"/>
  <c r="E2217"/>
  <c r="F2217"/>
  <c r="A2218"/>
  <c r="B2218"/>
  <c r="C2218"/>
  <c r="E2218"/>
  <c r="F2218"/>
  <c r="A2219"/>
  <c r="B2219"/>
  <c r="C2219"/>
  <c r="E2219"/>
  <c r="F2219"/>
  <c r="A2220"/>
  <c r="B2220"/>
  <c r="C2220"/>
  <c r="E2220"/>
  <c r="F2220"/>
  <c r="A2221"/>
  <c r="B2221"/>
  <c r="C2221"/>
  <c r="E2221"/>
  <c r="F2221"/>
  <c r="A2222"/>
  <c r="B2222"/>
  <c r="C2222"/>
  <c r="E2222"/>
  <c r="F2222"/>
  <c r="A2223"/>
  <c r="B2223"/>
  <c r="C2223"/>
  <c r="E2223"/>
  <c r="F2223"/>
  <c r="A2224"/>
  <c r="B2224"/>
  <c r="C2224"/>
  <c r="E2224"/>
  <c r="F2224"/>
  <c r="A2225"/>
  <c r="B2225"/>
  <c r="C2225"/>
  <c r="E2225"/>
  <c r="F2225"/>
  <c r="A2226"/>
  <c r="B2226"/>
  <c r="C2226"/>
  <c r="E2226"/>
  <c r="F2226"/>
  <c r="A2227"/>
  <c r="B2227"/>
  <c r="C2227"/>
  <c r="E2227"/>
  <c r="F2227"/>
  <c r="A2228"/>
  <c r="B2228"/>
  <c r="C2228"/>
  <c r="E2228"/>
  <c r="F2228"/>
  <c r="A2229"/>
  <c r="B2229"/>
  <c r="C2229"/>
  <c r="E2229"/>
  <c r="F2229"/>
  <c r="A2230"/>
  <c r="B2230"/>
  <c r="C2230"/>
  <c r="E2230"/>
  <c r="F2230"/>
  <c r="A2231"/>
  <c r="B2231"/>
  <c r="C2231"/>
  <c r="E2231"/>
  <c r="F2231"/>
  <c r="A2232"/>
  <c r="B2232"/>
  <c r="C2232"/>
  <c r="E2232"/>
  <c r="F2232"/>
  <c r="A2233"/>
  <c r="B2233"/>
  <c r="C2233"/>
  <c r="E2233"/>
  <c r="F2233"/>
  <c r="A2234"/>
  <c r="B2234"/>
  <c r="C2234"/>
  <c r="E2234"/>
  <c r="F2234"/>
  <c r="A2235"/>
  <c r="B2235"/>
  <c r="C2235"/>
  <c r="E2235"/>
  <c r="F2235"/>
  <c r="A2236"/>
  <c r="B2236"/>
  <c r="C2236"/>
  <c r="E2236"/>
  <c r="F2236"/>
  <c r="A2237"/>
  <c r="B2237"/>
  <c r="C2237"/>
  <c r="E2237"/>
  <c r="F2237"/>
  <c r="A2238"/>
  <c r="B2238"/>
  <c r="C2238"/>
  <c r="E2238"/>
  <c r="F2238"/>
  <c r="A2239"/>
  <c r="B2239"/>
  <c r="C2239"/>
  <c r="E2239"/>
  <c r="F2239"/>
  <c r="A2240"/>
  <c r="B2240"/>
  <c r="C2240"/>
  <c r="E2240"/>
  <c r="F2240"/>
  <c r="A2241"/>
  <c r="B2241"/>
  <c r="C2241"/>
  <c r="E2241"/>
  <c r="F2241"/>
  <c r="A2242"/>
  <c r="B2242"/>
  <c r="C2242"/>
  <c r="E2242"/>
  <c r="F2242"/>
  <c r="A2243"/>
  <c r="B2243"/>
  <c r="C2243"/>
  <c r="E2243"/>
  <c r="F2243"/>
  <c r="A2244"/>
  <c r="B2244"/>
  <c r="C2244"/>
  <c r="E2244"/>
  <c r="F2244"/>
  <c r="A2245"/>
  <c r="B2245"/>
  <c r="C2245"/>
  <c r="E2245"/>
  <c r="F2245"/>
  <c r="A2246"/>
  <c r="B2246"/>
  <c r="C2246"/>
  <c r="E2246"/>
  <c r="F2246"/>
  <c r="A2247"/>
  <c r="B2247"/>
  <c r="C2247"/>
  <c r="E2247"/>
  <c r="F2247"/>
  <c r="A2248"/>
  <c r="B2248"/>
  <c r="C2248"/>
  <c r="E2248"/>
  <c r="F2248"/>
  <c r="A2249"/>
  <c r="B2249"/>
  <c r="C2249"/>
  <c r="E2249"/>
  <c r="F2249"/>
  <c r="A2250"/>
  <c r="B2250"/>
  <c r="C2250"/>
  <c r="E2250"/>
  <c r="F2250"/>
  <c r="A2251"/>
  <c r="B2251"/>
  <c r="C2251"/>
  <c r="E2251"/>
  <c r="F2251"/>
  <c r="A2252"/>
  <c r="B2252"/>
  <c r="C2252"/>
  <c r="E2252"/>
  <c r="F2252"/>
  <c r="A2253"/>
  <c r="B2253"/>
  <c r="C2253"/>
  <c r="E2253"/>
  <c r="F2253"/>
  <c r="A2254"/>
  <c r="B2254"/>
  <c r="C2254"/>
  <c r="E2254"/>
  <c r="F2254"/>
  <c r="A2255"/>
  <c r="B2255"/>
  <c r="C2255"/>
  <c r="E2255"/>
  <c r="F2255"/>
  <c r="A2256"/>
  <c r="B2256"/>
  <c r="C2256"/>
  <c r="E2256"/>
  <c r="F2256"/>
  <c r="A2257"/>
  <c r="B2257"/>
  <c r="C2257"/>
  <c r="E2257"/>
  <c r="F2257"/>
  <c r="A2258"/>
  <c r="B2258"/>
  <c r="C2258"/>
  <c r="E2258"/>
  <c r="F2258"/>
  <c r="A2259"/>
  <c r="B2259"/>
  <c r="C2259"/>
  <c r="E2259"/>
  <c r="F2259"/>
  <c r="A2260"/>
  <c r="B2260"/>
  <c r="C2260"/>
  <c r="E2260"/>
  <c r="F2260"/>
  <c r="A2261"/>
  <c r="B2261"/>
  <c r="C2261"/>
  <c r="E2261"/>
  <c r="F2261"/>
  <c r="A2262"/>
  <c r="B2262"/>
  <c r="C2262"/>
  <c r="E2262"/>
  <c r="F2262"/>
  <c r="A2263"/>
  <c r="B2263"/>
  <c r="C2263"/>
  <c r="E2263"/>
  <c r="F2263"/>
  <c r="A2264"/>
  <c r="B2264"/>
  <c r="C2264"/>
  <c r="E2264"/>
  <c r="F2264"/>
  <c r="A2265"/>
  <c r="B2265"/>
  <c r="C2265"/>
  <c r="E2265"/>
  <c r="F2265"/>
  <c r="A2266"/>
  <c r="B2266"/>
  <c r="C2266"/>
  <c r="E2266"/>
  <c r="F2266"/>
  <c r="A2267"/>
  <c r="B2267"/>
  <c r="C2267"/>
  <c r="E2267"/>
  <c r="F2267"/>
  <c r="A2268"/>
  <c r="B2268"/>
  <c r="C2268"/>
  <c r="E2268"/>
  <c r="F2268"/>
  <c r="A2269"/>
  <c r="B2269"/>
  <c r="C2269"/>
  <c r="E2269"/>
  <c r="F2269"/>
  <c r="A2270"/>
  <c r="B2270"/>
  <c r="C2270"/>
  <c r="E2270"/>
  <c r="F2270"/>
  <c r="A2271"/>
  <c r="B2271"/>
  <c r="C2271"/>
  <c r="E2271"/>
  <c r="F2271"/>
  <c r="A2272"/>
  <c r="B2272"/>
  <c r="C2272"/>
  <c r="E2272"/>
  <c r="F2272"/>
  <c r="A2273"/>
  <c r="B2273"/>
  <c r="C2273"/>
  <c r="E2273"/>
  <c r="F2273"/>
  <c r="A2274"/>
  <c r="B2274"/>
  <c r="C2274"/>
  <c r="E2274"/>
  <c r="F2274"/>
  <c r="A2275"/>
  <c r="B2275"/>
  <c r="C2275"/>
  <c r="E2275"/>
  <c r="F2275"/>
  <c r="A2276"/>
  <c r="B2276"/>
  <c r="C2276"/>
  <c r="E2276"/>
  <c r="F2276"/>
  <c r="A2277"/>
  <c r="B2277"/>
  <c r="C2277"/>
  <c r="E2277"/>
  <c r="F2277"/>
  <c r="A2278"/>
  <c r="B2278"/>
  <c r="C2278"/>
  <c r="E2278"/>
  <c r="F2278"/>
  <c r="A2279"/>
  <c r="B2279"/>
  <c r="C2279"/>
  <c r="E2279"/>
  <c r="F2279"/>
  <c r="A2280"/>
  <c r="B2280"/>
  <c r="C2280"/>
  <c r="E2280"/>
  <c r="F2280"/>
  <c r="A2281"/>
  <c r="B2281"/>
  <c r="C2281"/>
  <c r="E2281"/>
  <c r="F2281"/>
  <c r="A2282"/>
  <c r="B2282"/>
  <c r="C2282"/>
  <c r="E2282"/>
  <c r="F2282"/>
  <c r="A2283"/>
  <c r="B2283"/>
  <c r="C2283"/>
  <c r="E2283"/>
  <c r="F2283"/>
  <c r="A2284"/>
  <c r="B2284"/>
  <c r="C2284"/>
  <c r="E2284"/>
  <c r="F2284"/>
  <c r="A2285"/>
  <c r="B2285"/>
  <c r="C2285"/>
  <c r="E2285"/>
  <c r="F2285"/>
  <c r="A2286"/>
  <c r="B2286"/>
  <c r="C2286"/>
  <c r="E2286"/>
  <c r="F2286"/>
  <c r="A2287"/>
  <c r="B2287"/>
  <c r="C2287"/>
  <c r="E2287"/>
  <c r="F2287"/>
  <c r="A2288"/>
  <c r="B2288"/>
  <c r="C2288"/>
  <c r="E2288"/>
  <c r="F2288"/>
  <c r="A2289"/>
  <c r="B2289"/>
  <c r="C2289"/>
  <c r="E2289"/>
  <c r="F2289"/>
  <c r="A2290"/>
  <c r="B2290"/>
  <c r="C2290"/>
  <c r="E2290"/>
  <c r="F2290"/>
  <c r="A2291"/>
  <c r="B2291"/>
  <c r="C2291"/>
  <c r="E2291"/>
  <c r="F2291"/>
  <c r="A2292"/>
  <c r="B2292"/>
  <c r="C2292"/>
  <c r="E2292"/>
  <c r="F2292"/>
  <c r="A2293"/>
  <c r="B2293"/>
  <c r="C2293"/>
  <c r="E2293"/>
  <c r="F2293"/>
  <c r="A2294"/>
  <c r="B2294"/>
  <c r="C2294"/>
  <c r="E2294"/>
  <c r="F2294"/>
  <c r="A2295"/>
  <c r="B2295"/>
  <c r="C2295"/>
  <c r="E2295"/>
  <c r="F2295"/>
  <c r="A2296"/>
  <c r="B2296"/>
  <c r="C2296"/>
  <c r="E2296"/>
  <c r="F2296"/>
  <c r="A2297"/>
  <c r="B2297"/>
  <c r="C2297"/>
  <c r="E2297"/>
  <c r="F2297"/>
  <c r="A2298"/>
  <c r="B2298"/>
  <c r="C2298"/>
  <c r="E2298"/>
  <c r="F2298"/>
  <c r="A2299"/>
  <c r="B2299"/>
  <c r="C2299"/>
  <c r="E2299"/>
  <c r="F2299"/>
  <c r="A2300"/>
  <c r="B2300"/>
  <c r="C2300"/>
  <c r="E2300"/>
  <c r="F2300"/>
  <c r="A2301"/>
  <c r="B2301"/>
  <c r="C2301"/>
  <c r="E2301"/>
  <c r="F2301"/>
  <c r="A2302"/>
  <c r="B2302"/>
  <c r="C2302"/>
  <c r="E2302"/>
  <c r="F2302"/>
  <c r="A2303"/>
  <c r="B2303"/>
  <c r="C2303"/>
  <c r="E2303"/>
  <c r="F2303"/>
  <c r="A2304"/>
  <c r="B2304"/>
  <c r="C2304"/>
  <c r="E2304"/>
  <c r="F2304"/>
  <c r="A2305"/>
  <c r="B2305"/>
  <c r="C2305"/>
  <c r="E2305"/>
  <c r="F2305"/>
  <c r="A2306"/>
  <c r="B2306"/>
  <c r="C2306"/>
  <c r="E2306"/>
  <c r="F2306"/>
  <c r="A2307"/>
  <c r="B2307"/>
  <c r="C2307"/>
  <c r="E2307"/>
  <c r="F2307"/>
  <c r="A2308"/>
  <c r="B2308"/>
  <c r="C2308"/>
  <c r="E2308"/>
  <c r="F2308"/>
  <c r="A2309"/>
  <c r="B2309"/>
  <c r="C2309"/>
  <c r="E2309"/>
  <c r="F2309"/>
  <c r="A2310"/>
  <c r="B2310"/>
  <c r="C2310"/>
  <c r="E2310"/>
  <c r="F2310"/>
  <c r="A2311"/>
  <c r="B2311"/>
  <c r="C2311"/>
  <c r="E2311"/>
  <c r="F2311"/>
  <c r="A2312"/>
  <c r="B2312"/>
  <c r="C2312"/>
  <c r="E2312"/>
  <c r="F2312"/>
  <c r="A2313"/>
  <c r="B2313"/>
  <c r="C2313"/>
  <c r="E2313"/>
  <c r="F2313"/>
  <c r="A2314"/>
  <c r="B2314"/>
  <c r="C2314"/>
  <c r="E2314"/>
  <c r="F2314"/>
  <c r="A2315"/>
  <c r="B2315"/>
  <c r="C2315"/>
  <c r="E2315"/>
  <c r="F2315"/>
  <c r="A2316"/>
  <c r="B2316"/>
  <c r="C2316"/>
  <c r="E2316"/>
  <c r="F2316"/>
  <c r="A2317"/>
  <c r="B2317"/>
  <c r="C2317"/>
  <c r="E2317"/>
  <c r="F2317"/>
  <c r="A2318"/>
  <c r="B2318"/>
  <c r="C2318"/>
  <c r="E2318"/>
  <c r="F2318"/>
  <c r="A2319"/>
  <c r="B2319"/>
  <c r="C2319"/>
  <c r="E2319"/>
  <c r="F2319"/>
  <c r="A2320"/>
  <c r="B2320"/>
  <c r="C2320"/>
  <c r="E2320"/>
  <c r="F2320"/>
  <c r="A2321"/>
  <c r="B2321"/>
  <c r="C2321"/>
  <c r="E2321"/>
  <c r="F2321"/>
  <c r="A2322"/>
  <c r="B2322"/>
  <c r="C2322"/>
  <c r="E2322"/>
  <c r="F2322"/>
  <c r="A2323"/>
  <c r="B2323"/>
  <c r="C2323"/>
  <c r="E2323"/>
  <c r="F2323"/>
  <c r="A2324"/>
  <c r="B2324"/>
  <c r="C2324"/>
  <c r="E2324"/>
  <c r="F2324"/>
  <c r="A2325"/>
  <c r="B2325"/>
  <c r="C2325"/>
  <c r="E2325"/>
  <c r="F2325"/>
  <c r="A2326"/>
  <c r="B2326"/>
  <c r="C2326"/>
  <c r="E2326"/>
  <c r="F2326"/>
  <c r="A2327"/>
  <c r="B2327"/>
  <c r="C2327"/>
  <c r="E2327"/>
  <c r="F2327"/>
  <c r="A2328"/>
  <c r="B2328"/>
  <c r="C2328"/>
  <c r="E2328"/>
  <c r="F2328"/>
  <c r="A2329"/>
  <c r="B2329"/>
  <c r="C2329"/>
  <c r="E2329"/>
  <c r="F2329"/>
  <c r="A2330"/>
  <c r="B2330"/>
  <c r="C2330"/>
  <c r="E2330"/>
  <c r="F2330"/>
  <c r="A2331"/>
  <c r="B2331"/>
  <c r="C2331"/>
  <c r="E2331"/>
  <c r="F2331"/>
  <c r="A2332"/>
  <c r="B2332"/>
  <c r="C2332"/>
  <c r="E2332"/>
  <c r="F2332"/>
  <c r="A2333"/>
  <c r="B2333"/>
  <c r="C2333"/>
  <c r="E2333"/>
  <c r="F2333"/>
  <c r="A2334"/>
  <c r="B2334"/>
  <c r="C2334"/>
  <c r="E2334"/>
  <c r="F2334"/>
  <c r="A2335"/>
  <c r="B2335"/>
  <c r="C2335"/>
  <c r="E2335"/>
  <c r="F2335"/>
  <c r="A2336"/>
  <c r="B2336"/>
  <c r="C2336"/>
  <c r="E2336"/>
  <c r="F2336"/>
  <c r="A2337"/>
  <c r="B2337"/>
  <c r="C2337"/>
  <c r="E2337"/>
  <c r="F2337"/>
  <c r="A2338"/>
  <c r="B2338"/>
  <c r="C2338"/>
  <c r="E2338"/>
  <c r="F2338"/>
  <c r="A2339"/>
  <c r="B2339"/>
  <c r="C2339"/>
  <c r="E2339"/>
  <c r="F2339"/>
  <c r="A2340"/>
  <c r="B2340"/>
  <c r="C2340"/>
  <c r="E2340"/>
  <c r="F2340"/>
  <c r="A2341"/>
  <c r="B2341"/>
  <c r="C2341"/>
  <c r="E2341"/>
  <c r="F2341"/>
  <c r="A2342"/>
  <c r="B2342"/>
  <c r="C2342"/>
  <c r="E2342"/>
  <c r="F2342"/>
  <c r="A2343"/>
  <c r="B2343"/>
  <c r="C2343"/>
  <c r="E2343"/>
  <c r="F2343"/>
  <c r="A2344"/>
  <c r="B2344"/>
  <c r="C2344"/>
  <c r="E2344"/>
  <c r="F2344"/>
  <c r="A2345"/>
  <c r="B2345"/>
  <c r="C2345"/>
  <c r="E2345"/>
  <c r="F2345"/>
  <c r="A2346"/>
  <c r="B2346"/>
  <c r="C2346"/>
  <c r="E2346"/>
  <c r="F2346"/>
  <c r="A2347"/>
  <c r="B2347"/>
  <c r="C2347"/>
  <c r="E2347"/>
  <c r="F2347"/>
  <c r="A2348"/>
  <c r="B2348"/>
  <c r="C2348"/>
  <c r="E2348"/>
  <c r="F2348"/>
  <c r="A2349"/>
  <c r="B2349"/>
  <c r="C2349"/>
  <c r="E2349"/>
  <c r="F2349"/>
  <c r="A2350"/>
  <c r="B2350"/>
  <c r="C2350"/>
  <c r="E2350"/>
  <c r="F2350"/>
  <c r="A2351"/>
  <c r="B2351"/>
  <c r="C2351"/>
  <c r="E2351"/>
  <c r="F2351"/>
  <c r="A2352"/>
  <c r="B2352"/>
  <c r="C2352"/>
  <c r="E2352"/>
  <c r="F2352"/>
  <c r="A2353"/>
  <c r="B2353"/>
  <c r="C2353"/>
  <c r="E2353"/>
  <c r="F2353"/>
  <c r="A2354"/>
  <c r="B2354"/>
  <c r="C2354"/>
  <c r="E2354"/>
  <c r="F2354"/>
  <c r="A2355"/>
  <c r="B2355"/>
  <c r="C2355"/>
  <c r="E2355"/>
  <c r="F2355"/>
  <c r="A2356"/>
  <c r="B2356"/>
  <c r="C2356"/>
  <c r="E2356"/>
  <c r="F2356"/>
  <c r="A2357"/>
  <c r="B2357"/>
  <c r="C2357"/>
  <c r="E2357"/>
  <c r="F2357"/>
  <c r="A2358"/>
  <c r="B2358"/>
  <c r="C2358"/>
  <c r="E2358"/>
  <c r="F2358"/>
  <c r="A2359"/>
  <c r="B2359"/>
  <c r="C2359"/>
  <c r="E2359"/>
  <c r="F2359"/>
  <c r="A2360"/>
  <c r="B2360"/>
  <c r="C2360"/>
  <c r="E2360"/>
  <c r="F2360"/>
  <c r="A2361"/>
  <c r="B2361"/>
  <c r="C2361"/>
  <c r="E2361"/>
  <c r="F2361"/>
  <c r="A2362"/>
  <c r="B2362"/>
  <c r="C2362"/>
  <c r="E2362"/>
  <c r="F2362"/>
  <c r="A2363"/>
  <c r="B2363"/>
  <c r="C2363"/>
  <c r="E2363"/>
  <c r="F2363"/>
  <c r="A2364"/>
  <c r="B2364"/>
  <c r="C2364"/>
  <c r="E2364"/>
  <c r="F2364"/>
  <c r="A2365"/>
  <c r="B2365"/>
  <c r="C2365"/>
  <c r="E2365"/>
  <c r="F2365"/>
  <c r="A2366"/>
  <c r="B2366"/>
  <c r="C2366"/>
  <c r="E2366"/>
  <c r="F2366"/>
  <c r="A2367"/>
  <c r="B2367"/>
  <c r="C2367"/>
  <c r="E2367"/>
  <c r="F2367"/>
  <c r="A2368"/>
  <c r="B2368"/>
  <c r="C2368"/>
  <c r="E2368"/>
  <c r="F2368"/>
  <c r="A2369"/>
  <c r="B2369"/>
  <c r="C2369"/>
  <c r="E2369"/>
  <c r="F2369"/>
  <c r="A2370"/>
  <c r="B2370"/>
  <c r="C2370"/>
  <c r="E2370"/>
  <c r="F2370"/>
  <c r="A2371"/>
  <c r="B2371"/>
  <c r="C2371"/>
  <c r="E2371"/>
  <c r="F2371"/>
  <c r="A2372"/>
  <c r="B2372"/>
  <c r="C2372"/>
  <c r="E2372"/>
  <c r="F2372"/>
  <c r="A2373"/>
  <c r="B2373"/>
  <c r="C2373"/>
  <c r="E2373"/>
  <c r="F2373"/>
  <c r="A2374"/>
  <c r="B2374"/>
  <c r="C2374"/>
  <c r="E2374"/>
  <c r="F2374"/>
  <c r="A2375"/>
  <c r="B2375"/>
  <c r="C2375"/>
  <c r="E2375"/>
  <c r="F2375"/>
  <c r="A2376"/>
  <c r="B2376"/>
  <c r="C2376"/>
  <c r="E2376"/>
  <c r="F2376"/>
  <c r="A2377"/>
  <c r="B2377"/>
  <c r="C2377"/>
  <c r="E2377"/>
  <c r="F2377"/>
  <c r="A2378"/>
  <c r="B2378"/>
  <c r="C2378"/>
  <c r="E2378"/>
  <c r="F2378"/>
  <c r="A2379"/>
  <c r="B2379"/>
  <c r="C2379"/>
  <c r="E2379"/>
  <c r="F2379"/>
  <c r="A2380"/>
  <c r="B2380"/>
  <c r="C2380"/>
  <c r="E2380"/>
  <c r="F2380"/>
  <c r="A2381"/>
  <c r="B2381"/>
  <c r="C2381"/>
  <c r="E2381"/>
  <c r="F2381"/>
  <c r="A2382"/>
  <c r="B2382"/>
  <c r="C2382"/>
  <c r="E2382"/>
  <c r="F2382"/>
  <c r="A2383"/>
  <c r="B2383"/>
  <c r="C2383"/>
  <c r="E2383"/>
  <c r="F2383"/>
  <c r="A2384"/>
  <c r="B2384"/>
  <c r="C2384"/>
  <c r="E2384"/>
  <c r="F2384"/>
  <c r="A2385"/>
  <c r="B2385"/>
  <c r="C2385"/>
  <c r="E2385"/>
  <c r="F2385"/>
  <c r="A2386"/>
  <c r="B2386"/>
  <c r="C2386"/>
  <c r="E2386"/>
  <c r="F2386"/>
  <c r="A2387"/>
  <c r="B2387"/>
  <c r="C2387"/>
  <c r="E2387"/>
  <c r="F2387"/>
  <c r="A2388"/>
  <c r="B2388"/>
  <c r="C2388"/>
  <c r="E2388"/>
  <c r="F2388"/>
  <c r="A2389"/>
  <c r="B2389"/>
  <c r="C2389"/>
  <c r="E2389"/>
  <c r="F2389"/>
  <c r="A2390"/>
  <c r="B2390"/>
  <c r="C2390"/>
  <c r="E2390"/>
  <c r="F2390"/>
  <c r="A2391"/>
  <c r="B2391"/>
  <c r="C2391"/>
  <c r="E2391"/>
  <c r="F2391"/>
  <c r="A2392"/>
  <c r="B2392"/>
  <c r="C2392"/>
  <c r="E2392"/>
  <c r="F2392"/>
  <c r="A2393"/>
  <c r="B2393"/>
  <c r="C2393"/>
  <c r="E2393"/>
  <c r="F2393"/>
  <c r="A2394"/>
  <c r="B2394"/>
  <c r="C2394"/>
  <c r="E2394"/>
  <c r="F2394"/>
  <c r="A2395"/>
  <c r="B2395"/>
  <c r="C2395"/>
  <c r="E2395"/>
  <c r="F2395"/>
  <c r="A2396"/>
  <c r="B2396"/>
  <c r="C2396"/>
  <c r="E2396"/>
  <c r="F2396"/>
  <c r="A2397"/>
  <c r="B2397"/>
  <c r="C2397"/>
  <c r="E2397"/>
  <c r="F2397"/>
  <c r="A2398"/>
  <c r="B2398"/>
  <c r="C2398"/>
  <c r="E2398"/>
  <c r="F2398"/>
  <c r="A2399"/>
  <c r="B2399"/>
  <c r="C2399"/>
  <c r="E2399"/>
  <c r="F2399"/>
  <c r="A2400"/>
  <c r="B2400"/>
  <c r="C2400"/>
  <c r="E2400"/>
  <c r="F2400"/>
  <c r="A2401"/>
  <c r="B2401"/>
  <c r="C2401"/>
  <c r="E2401"/>
  <c r="F2401"/>
  <c r="A2402"/>
  <c r="B2402"/>
  <c r="C2402"/>
  <c r="E2402"/>
  <c r="F2402"/>
  <c r="A2403"/>
  <c r="B2403"/>
  <c r="C2403"/>
  <c r="E2403"/>
  <c r="F2403"/>
  <c r="A2404"/>
  <c r="B2404"/>
  <c r="C2404"/>
  <c r="E2404"/>
  <c r="F2404"/>
  <c r="A2405"/>
  <c r="B2405"/>
  <c r="C2405"/>
  <c r="E2405"/>
  <c r="F2405"/>
  <c r="A2406"/>
  <c r="B2406"/>
  <c r="C2406"/>
  <c r="E2406"/>
  <c r="F2406"/>
  <c r="A2407"/>
  <c r="B2407"/>
  <c r="C2407"/>
  <c r="E2407"/>
  <c r="F2407"/>
  <c r="A2408"/>
  <c r="B2408"/>
  <c r="C2408"/>
  <c r="E2408"/>
  <c r="F2408"/>
  <c r="A2409"/>
  <c r="B2409"/>
  <c r="C2409"/>
  <c r="E2409"/>
  <c r="F2409"/>
  <c r="A2410"/>
  <c r="B2410"/>
  <c r="C2410"/>
  <c r="E2410"/>
  <c r="F2410"/>
  <c r="A2411"/>
  <c r="B2411"/>
  <c r="C2411"/>
  <c r="E2411"/>
  <c r="F2411"/>
  <c r="A2412"/>
  <c r="B2412"/>
  <c r="C2412"/>
  <c r="E2412"/>
  <c r="F2412"/>
  <c r="A2413"/>
  <c r="B2413"/>
  <c r="C2413"/>
  <c r="E2413"/>
  <c r="F2413"/>
  <c r="A2414"/>
  <c r="B2414"/>
  <c r="C2414"/>
  <c r="E2414"/>
  <c r="F2414"/>
  <c r="A2415"/>
  <c r="B2415"/>
  <c r="C2415"/>
  <c r="E2415"/>
  <c r="F2415"/>
  <c r="A2416"/>
  <c r="B2416"/>
  <c r="C2416"/>
  <c r="E2416"/>
  <c r="F2416"/>
  <c r="A2417"/>
  <c r="B2417"/>
  <c r="C2417"/>
  <c r="E2417"/>
  <c r="F2417"/>
  <c r="A2418"/>
  <c r="B2418"/>
  <c r="C2418"/>
  <c r="E2418"/>
  <c r="F2418"/>
  <c r="A2419"/>
  <c r="B2419"/>
  <c r="C2419"/>
  <c r="E2419"/>
  <c r="F2419"/>
  <c r="A2420"/>
  <c r="B2420"/>
  <c r="C2420"/>
  <c r="E2420"/>
  <c r="F2420"/>
  <c r="A2421"/>
  <c r="B2421"/>
  <c r="C2421"/>
  <c r="E2421"/>
  <c r="F2421"/>
  <c r="A2422"/>
  <c r="B2422"/>
  <c r="C2422"/>
  <c r="E2422"/>
  <c r="F2422"/>
  <c r="A2423"/>
  <c r="B2423"/>
  <c r="C2423"/>
  <c r="E2423"/>
  <c r="F2423"/>
  <c r="A2424"/>
  <c r="B2424"/>
  <c r="C2424"/>
  <c r="E2424"/>
  <c r="F2424"/>
  <c r="A2425"/>
  <c r="B2425"/>
  <c r="C2425"/>
  <c r="E2425"/>
  <c r="F2425"/>
  <c r="A2426"/>
  <c r="B2426"/>
  <c r="C2426"/>
  <c r="E2426"/>
  <c r="F2426"/>
  <c r="A2427"/>
  <c r="B2427"/>
  <c r="C2427"/>
  <c r="E2427"/>
  <c r="F2427"/>
  <c r="A2428"/>
  <c r="B2428"/>
  <c r="C2428"/>
  <c r="E2428"/>
  <c r="F2428"/>
  <c r="A2429"/>
  <c r="B2429"/>
  <c r="C2429"/>
  <c r="E2429"/>
  <c r="F2429"/>
  <c r="A2430"/>
  <c r="B2430"/>
  <c r="C2430"/>
  <c r="E2430"/>
  <c r="F2430"/>
  <c r="A2431"/>
  <c r="B2431"/>
  <c r="C2431"/>
  <c r="E2431"/>
  <c r="F2431"/>
  <c r="A2432"/>
  <c r="B2432"/>
  <c r="C2432"/>
  <c r="E2432"/>
  <c r="F2432"/>
  <c r="A2433"/>
  <c r="B2433"/>
  <c r="C2433"/>
  <c r="E2433"/>
  <c r="F2433"/>
  <c r="A2434"/>
  <c r="B2434"/>
  <c r="C2434"/>
  <c r="E2434"/>
  <c r="F2434"/>
  <c r="A2435"/>
  <c r="B2435"/>
  <c r="C2435"/>
  <c r="E2435"/>
  <c r="F2435"/>
  <c r="A2436"/>
  <c r="B2436"/>
  <c r="C2436"/>
  <c r="E2436"/>
  <c r="F2436"/>
  <c r="A2437"/>
  <c r="B2437"/>
  <c r="C2437"/>
  <c r="E2437"/>
  <c r="F2437"/>
  <c r="A2438"/>
  <c r="B2438"/>
  <c r="C2438"/>
  <c r="E2438"/>
  <c r="F2438"/>
  <c r="A2439"/>
  <c r="B2439"/>
  <c r="C2439"/>
  <c r="E2439"/>
  <c r="F2439"/>
  <c r="A2440"/>
  <c r="B2440"/>
  <c r="C2440"/>
  <c r="E2440"/>
  <c r="F2440"/>
  <c r="A2441"/>
  <c r="B2441"/>
  <c r="C2441"/>
  <c r="E2441"/>
  <c r="F2441"/>
  <c r="A2442"/>
  <c r="B2442"/>
  <c r="C2442"/>
  <c r="E2442"/>
  <c r="F2442"/>
  <c r="A2443"/>
  <c r="B2443"/>
  <c r="C2443"/>
  <c r="E2443"/>
  <c r="F2443"/>
  <c r="A2444"/>
  <c r="B2444"/>
  <c r="C2444"/>
  <c r="E2444"/>
  <c r="F2444"/>
  <c r="A2445"/>
  <c r="B2445"/>
  <c r="C2445"/>
  <c r="E2445"/>
  <c r="F2445"/>
  <c r="A2446"/>
  <c r="B2446"/>
  <c r="C2446"/>
  <c r="E2446"/>
  <c r="F2446"/>
  <c r="A2447"/>
  <c r="B2447"/>
  <c r="C2447"/>
  <c r="E2447"/>
  <c r="F2447"/>
  <c r="A2448"/>
  <c r="B2448"/>
  <c r="C2448"/>
  <c r="E2448"/>
  <c r="F2448"/>
  <c r="A2449"/>
  <c r="B2449"/>
  <c r="C2449"/>
  <c r="E2449"/>
  <c r="F2449"/>
  <c r="A2450"/>
  <c r="B2450"/>
  <c r="C2450"/>
  <c r="E2450"/>
  <c r="F2450"/>
  <c r="A2451"/>
  <c r="B2451"/>
  <c r="C2451"/>
  <c r="E2451"/>
  <c r="F2451"/>
  <c r="A2452"/>
  <c r="B2452"/>
  <c r="C2452"/>
  <c r="E2452"/>
  <c r="F2452"/>
  <c r="A2453"/>
  <c r="B2453"/>
  <c r="C2453"/>
  <c r="E2453"/>
  <c r="F2453"/>
  <c r="A2454"/>
  <c r="B2454"/>
  <c r="C2454"/>
  <c r="E2454"/>
  <c r="F2454"/>
  <c r="A2455"/>
  <c r="B2455"/>
  <c r="C2455"/>
  <c r="E2455"/>
  <c r="F2455"/>
  <c r="A2456"/>
  <c r="B2456"/>
  <c r="C2456"/>
  <c r="E2456"/>
  <c r="F2456"/>
  <c r="A2457"/>
  <c r="B2457"/>
  <c r="C2457"/>
  <c r="E2457"/>
  <c r="F2457"/>
  <c r="A2458"/>
  <c r="B2458"/>
  <c r="C2458"/>
  <c r="E2458"/>
  <c r="F2458"/>
  <c r="A2459"/>
  <c r="B2459"/>
  <c r="C2459"/>
  <c r="E2459"/>
  <c r="F2459"/>
  <c r="A2460"/>
  <c r="B2460"/>
  <c r="C2460"/>
  <c r="E2460"/>
  <c r="F2460"/>
  <c r="A2461"/>
  <c r="B2461"/>
  <c r="C2461"/>
  <c r="E2461"/>
  <c r="F2461"/>
  <c r="A2462"/>
  <c r="B2462"/>
  <c r="C2462"/>
  <c r="E2462"/>
  <c r="F2462"/>
  <c r="A2463"/>
  <c r="B2463"/>
  <c r="C2463"/>
  <c r="E2463"/>
  <c r="F2463"/>
  <c r="A2464"/>
  <c r="B2464"/>
  <c r="C2464"/>
  <c r="E2464"/>
  <c r="F2464"/>
  <c r="A2465"/>
  <c r="B2465"/>
  <c r="C2465"/>
  <c r="E2465"/>
  <c r="F2465"/>
  <c r="A2466"/>
  <c r="B2466"/>
  <c r="C2466"/>
  <c r="E2466"/>
  <c r="F2466"/>
  <c r="A2467"/>
  <c r="B2467"/>
  <c r="C2467"/>
  <c r="E2467"/>
  <c r="F2467"/>
  <c r="A2468"/>
  <c r="B2468"/>
  <c r="C2468"/>
  <c r="E2468"/>
  <c r="F2468"/>
  <c r="A2469"/>
  <c r="B2469"/>
  <c r="C2469"/>
  <c r="E2469"/>
  <c r="F2469"/>
  <c r="A2470"/>
  <c r="B2470"/>
  <c r="C2470"/>
  <c r="E2470"/>
  <c r="F2470"/>
  <c r="A2471"/>
  <c r="B2471"/>
  <c r="C2471"/>
  <c r="E2471"/>
  <c r="F2471"/>
  <c r="A2472"/>
  <c r="B2472"/>
  <c r="C2472"/>
  <c r="E2472"/>
  <c r="F2472"/>
  <c r="A2473"/>
  <c r="B2473"/>
  <c r="C2473"/>
  <c r="E2473"/>
  <c r="F2473"/>
  <c r="A2474"/>
  <c r="B2474"/>
  <c r="C2474"/>
  <c r="E2474"/>
  <c r="F2474"/>
  <c r="A2475"/>
  <c r="B2475"/>
  <c r="C2475"/>
  <c r="E2475"/>
  <c r="F2475"/>
  <c r="A2476"/>
  <c r="B2476"/>
  <c r="C2476"/>
  <c r="E2476"/>
  <c r="F2476"/>
  <c r="A2477"/>
  <c r="B2477"/>
  <c r="C2477"/>
  <c r="E2477"/>
  <c r="F2477"/>
  <c r="A2478"/>
  <c r="B2478"/>
  <c r="C2478"/>
  <c r="E2478"/>
  <c r="F2478"/>
  <c r="A2479"/>
  <c r="B2479"/>
  <c r="C2479"/>
  <c r="E2479"/>
  <c r="F2479"/>
  <c r="A2480"/>
  <c r="B2480"/>
  <c r="C2480"/>
  <c r="E2480"/>
  <c r="F2480"/>
  <c r="A2481"/>
  <c r="B2481"/>
  <c r="C2481"/>
  <c r="E2481"/>
  <c r="F2481"/>
  <c r="A2482"/>
  <c r="B2482"/>
  <c r="C2482"/>
  <c r="E2482"/>
  <c r="F2482"/>
  <c r="A2483"/>
  <c r="B2483"/>
  <c r="C2483"/>
  <c r="E2483"/>
  <c r="F2483"/>
  <c r="A2484"/>
  <c r="B2484"/>
  <c r="C2484"/>
  <c r="E2484"/>
  <c r="F2484"/>
  <c r="A2485"/>
  <c r="B2485"/>
  <c r="C2485"/>
  <c r="E2485"/>
  <c r="F2485"/>
  <c r="A2486"/>
  <c r="B2486"/>
  <c r="C2486"/>
  <c r="E2486"/>
  <c r="F2486"/>
  <c r="A2487"/>
  <c r="B2487"/>
  <c r="C2487"/>
  <c r="E2487"/>
  <c r="F2487"/>
  <c r="A2488"/>
  <c r="B2488"/>
  <c r="C2488"/>
  <c r="E2488"/>
  <c r="F2488"/>
  <c r="A2489"/>
  <c r="B2489"/>
  <c r="C2489"/>
  <c r="E2489"/>
  <c r="F2489"/>
  <c r="A2490"/>
  <c r="B2490"/>
  <c r="C2490"/>
  <c r="E2490"/>
  <c r="F2490"/>
  <c r="A2491"/>
  <c r="B2491"/>
  <c r="C2491"/>
  <c r="E2491"/>
  <c r="F2491"/>
  <c r="A2492"/>
  <c r="B2492"/>
  <c r="C2492"/>
  <c r="E2492"/>
  <c r="F2492"/>
  <c r="A2493"/>
  <c r="B2493"/>
  <c r="C2493"/>
  <c r="E2493"/>
  <c r="F2493"/>
  <c r="A2494"/>
  <c r="B2494"/>
  <c r="C2494"/>
  <c r="E2494"/>
  <c r="F2494"/>
  <c r="A2495"/>
  <c r="B2495"/>
  <c r="C2495"/>
  <c r="E2495"/>
  <c r="F2495"/>
  <c r="A2496"/>
  <c r="B2496"/>
  <c r="C2496"/>
  <c r="E2496"/>
  <c r="F2496"/>
  <c r="A2497"/>
  <c r="B2497"/>
  <c r="C2497"/>
  <c r="E2497"/>
  <c r="F2497"/>
  <c r="A2498"/>
  <c r="B2498"/>
  <c r="C2498"/>
  <c r="E2498"/>
  <c r="F2498"/>
  <c r="A2499"/>
  <c r="B2499"/>
  <c r="C2499"/>
  <c r="E2499"/>
  <c r="F2499"/>
  <c r="A2500"/>
  <c r="B2500"/>
  <c r="C2500"/>
  <c r="E2500"/>
  <c r="F2500"/>
  <c r="A2501"/>
  <c r="B2501"/>
  <c r="C2501"/>
  <c r="E2501"/>
  <c r="F2501"/>
  <c r="A2502"/>
  <c r="B2502"/>
  <c r="C2502"/>
  <c r="E2502"/>
  <c r="F2502"/>
  <c r="A2503"/>
  <c r="B2503"/>
  <c r="C2503"/>
  <c r="E2503"/>
  <c r="F2503"/>
  <c r="A2504"/>
  <c r="B2504"/>
  <c r="C2504"/>
  <c r="E2504"/>
  <c r="F2504"/>
  <c r="A2505"/>
  <c r="B2505"/>
  <c r="C2505"/>
  <c r="E2505"/>
  <c r="F2505"/>
  <c r="A2506"/>
  <c r="B2506"/>
  <c r="C2506"/>
  <c r="E2506"/>
  <c r="F2506"/>
  <c r="A2507"/>
  <c r="B2507"/>
  <c r="C2507"/>
  <c r="E2507"/>
  <c r="F2507"/>
  <c r="A2508"/>
  <c r="B2508"/>
  <c r="C2508"/>
  <c r="E2508"/>
  <c r="F2508"/>
  <c r="A2509"/>
  <c r="B2509"/>
  <c r="C2509"/>
  <c r="E2509"/>
  <c r="F2509"/>
  <c r="A2510"/>
  <c r="B2510"/>
  <c r="C2510"/>
  <c r="E2510"/>
  <c r="F2510"/>
  <c r="A2511"/>
  <c r="B2511"/>
  <c r="C2511"/>
  <c r="E2511"/>
  <c r="F2511"/>
  <c r="A2512"/>
  <c r="B2512"/>
  <c r="C2512"/>
  <c r="E2512"/>
  <c r="F2512"/>
  <c r="A2513"/>
  <c r="B2513"/>
  <c r="C2513"/>
  <c r="E2513"/>
  <c r="F2513"/>
  <c r="A2514"/>
  <c r="B2514"/>
  <c r="C2514"/>
  <c r="E2514"/>
  <c r="F2514"/>
  <c r="A2515"/>
  <c r="B2515"/>
  <c r="C2515"/>
  <c r="E2515"/>
  <c r="F2515"/>
  <c r="A2516"/>
  <c r="B2516"/>
  <c r="C2516"/>
  <c r="E2516"/>
  <c r="F2516"/>
  <c r="A2517"/>
  <c r="B2517"/>
  <c r="C2517"/>
  <c r="E2517"/>
  <c r="F2517"/>
  <c r="A2518"/>
  <c r="B2518"/>
  <c r="C2518"/>
  <c r="E2518"/>
  <c r="F2518"/>
  <c r="A2519"/>
  <c r="B2519"/>
  <c r="C2519"/>
  <c r="E2519"/>
  <c r="F2519"/>
  <c r="A2520"/>
  <c r="B2520"/>
  <c r="C2520"/>
  <c r="E2520"/>
  <c r="F2520"/>
  <c r="A2521"/>
  <c r="B2521"/>
  <c r="C2521"/>
  <c r="E2521"/>
  <c r="F2521"/>
  <c r="A2522"/>
  <c r="B2522"/>
  <c r="C2522"/>
  <c r="E2522"/>
  <c r="F2522"/>
  <c r="A2523"/>
  <c r="B2523"/>
  <c r="C2523"/>
  <c r="E2523"/>
  <c r="F2523"/>
  <c r="A2524"/>
  <c r="B2524"/>
  <c r="C2524"/>
  <c r="E2524"/>
  <c r="F2524"/>
  <c r="A2525"/>
  <c r="B2525"/>
  <c r="C2525"/>
  <c r="E2525"/>
  <c r="F2525"/>
  <c r="A2526"/>
  <c r="B2526"/>
  <c r="C2526"/>
  <c r="E2526"/>
  <c r="F2526"/>
  <c r="A2527"/>
  <c r="B2527"/>
  <c r="C2527"/>
  <c r="E2527"/>
  <c r="F2527"/>
  <c r="A2528"/>
  <c r="B2528"/>
  <c r="C2528"/>
  <c r="E2528"/>
  <c r="F2528"/>
  <c r="A2529"/>
  <c r="B2529"/>
  <c r="C2529"/>
  <c r="E2529"/>
  <c r="F2529"/>
  <c r="A2530"/>
  <c r="B2530"/>
  <c r="C2530"/>
  <c r="E2530"/>
  <c r="F2530"/>
  <c r="A2531"/>
  <c r="B2531"/>
  <c r="C2531"/>
  <c r="E2531"/>
  <c r="F2531"/>
  <c r="A2532"/>
  <c r="B2532"/>
  <c r="C2532"/>
  <c r="E2532"/>
  <c r="F2532"/>
  <c r="A2533"/>
  <c r="B2533"/>
  <c r="C2533"/>
  <c r="E2533"/>
  <c r="F2533"/>
  <c r="A2534"/>
  <c r="B2534"/>
  <c r="C2534"/>
  <c r="E2534"/>
  <c r="F2534"/>
  <c r="A2535"/>
  <c r="B2535"/>
  <c r="C2535"/>
  <c r="E2535"/>
  <c r="F2535"/>
  <c r="A2536"/>
  <c r="B2536"/>
  <c r="C2536"/>
  <c r="E2536"/>
  <c r="F2536"/>
  <c r="A2537"/>
  <c r="B2537"/>
  <c r="C2537"/>
  <c r="E2537"/>
  <c r="F2537"/>
  <c r="A2538"/>
  <c r="B2538"/>
  <c r="C2538"/>
  <c r="E2538"/>
  <c r="F2538"/>
  <c r="A2539"/>
  <c r="B2539"/>
  <c r="C2539"/>
  <c r="E2539"/>
  <c r="F2539"/>
  <c r="A2540"/>
  <c r="B2540"/>
  <c r="C2540"/>
  <c r="E2540"/>
  <c r="F2540"/>
  <c r="A2541"/>
  <c r="B2541"/>
  <c r="C2541"/>
  <c r="E2541"/>
  <c r="F2541"/>
  <c r="A2542"/>
  <c r="B2542"/>
  <c r="C2542"/>
  <c r="E2542"/>
  <c r="F2542"/>
  <c r="A2543"/>
  <c r="B2543"/>
  <c r="C2543"/>
  <c r="E2543"/>
  <c r="F2543"/>
  <c r="A2544"/>
  <c r="B2544"/>
  <c r="C2544"/>
  <c r="E2544"/>
  <c r="F2544"/>
  <c r="A2545"/>
  <c r="B2545"/>
  <c r="C2545"/>
  <c r="E2545"/>
  <c r="F2545"/>
  <c r="A2546"/>
  <c r="B2546"/>
  <c r="C2546"/>
  <c r="E2546"/>
  <c r="F2546"/>
  <c r="A2547"/>
  <c r="B2547"/>
  <c r="C2547"/>
  <c r="E2547"/>
  <c r="F2547"/>
  <c r="A2548"/>
  <c r="B2548"/>
  <c r="C2548"/>
  <c r="E2548"/>
  <c r="F2548"/>
  <c r="A2549"/>
  <c r="B2549"/>
  <c r="C2549"/>
  <c r="E2549"/>
  <c r="F2549"/>
  <c r="A2550"/>
  <c r="B2550"/>
  <c r="C2550"/>
  <c r="E2550"/>
  <c r="F2550"/>
  <c r="A2551"/>
  <c r="B2551"/>
  <c r="C2551"/>
  <c r="E2551"/>
  <c r="F2551"/>
  <c r="A2552"/>
  <c r="B2552"/>
  <c r="C2552"/>
  <c r="E2552"/>
  <c r="F2552"/>
  <c r="A2553"/>
  <c r="B2553"/>
  <c r="C2553"/>
  <c r="E2553"/>
  <c r="F2553"/>
  <c r="A2554"/>
  <c r="B2554"/>
  <c r="C2554"/>
  <c r="E2554"/>
  <c r="F2554"/>
  <c r="A2555"/>
  <c r="B2555"/>
  <c r="C2555"/>
  <c r="E2555"/>
  <c r="F2555"/>
  <c r="A2556"/>
  <c r="B2556"/>
  <c r="C2556"/>
  <c r="E2556"/>
  <c r="F2556"/>
  <c r="A2557"/>
  <c r="B2557"/>
  <c r="C2557"/>
  <c r="E2557"/>
  <c r="F2557"/>
  <c r="A2558"/>
  <c r="B2558"/>
  <c r="C2558"/>
  <c r="E2558"/>
  <c r="F2558"/>
  <c r="A2559"/>
  <c r="B2559"/>
  <c r="C2559"/>
  <c r="E2559"/>
  <c r="F2559"/>
  <c r="A2560"/>
  <c r="B2560"/>
  <c r="C2560"/>
  <c r="E2560"/>
  <c r="F2560"/>
  <c r="A2561"/>
  <c r="B2561"/>
  <c r="C2561"/>
  <c r="E2561"/>
  <c r="F2561"/>
  <c r="A2562"/>
  <c r="B2562"/>
  <c r="C2562"/>
  <c r="E2562"/>
  <c r="F2562"/>
  <c r="A2563"/>
  <c r="B2563"/>
  <c r="C2563"/>
  <c r="E2563"/>
  <c r="F2563"/>
  <c r="A2564"/>
  <c r="B2564"/>
  <c r="C2564"/>
  <c r="E2564"/>
  <c r="F2564"/>
  <c r="A2565"/>
  <c r="B2565"/>
  <c r="C2565"/>
  <c r="E2565"/>
  <c r="F2565"/>
  <c r="A2566"/>
  <c r="B2566"/>
  <c r="C2566"/>
  <c r="E2566"/>
  <c r="F2566"/>
  <c r="A2567"/>
  <c r="B2567"/>
  <c r="C2567"/>
  <c r="E2567"/>
  <c r="F2567"/>
  <c r="A2568"/>
  <c r="B2568"/>
  <c r="C2568"/>
  <c r="E2568"/>
  <c r="F2568"/>
  <c r="A2569"/>
  <c r="B2569"/>
  <c r="C2569"/>
  <c r="E2569"/>
  <c r="F2569"/>
  <c r="A2570"/>
  <c r="B2570"/>
  <c r="C2570"/>
  <c r="E2570"/>
  <c r="F2570"/>
  <c r="A2571"/>
  <c r="B2571"/>
  <c r="C2571"/>
  <c r="E2571"/>
  <c r="F2571"/>
  <c r="A2572"/>
  <c r="B2572"/>
  <c r="C2572"/>
  <c r="E2572"/>
  <c r="F2572"/>
  <c r="A2573"/>
  <c r="B2573"/>
  <c r="C2573"/>
  <c r="E2573"/>
  <c r="F2573"/>
  <c r="A2574"/>
  <c r="B2574"/>
  <c r="C2574"/>
  <c r="E2574"/>
  <c r="F2574"/>
  <c r="A2575"/>
  <c r="B2575"/>
  <c r="C2575"/>
  <c r="E2575"/>
  <c r="F2575"/>
  <c r="A2576"/>
  <c r="B2576"/>
  <c r="C2576"/>
  <c r="E2576"/>
  <c r="F2576"/>
  <c r="A2577"/>
  <c r="B2577"/>
  <c r="C2577"/>
  <c r="E2577"/>
  <c r="F2577"/>
  <c r="A2578"/>
  <c r="B2578"/>
  <c r="C2578"/>
  <c r="E2578"/>
  <c r="F2578"/>
  <c r="A2579"/>
  <c r="B2579"/>
  <c r="C2579"/>
  <c r="E2579"/>
  <c r="F2579"/>
  <c r="A2580"/>
  <c r="B2580"/>
  <c r="C2580"/>
  <c r="E2580"/>
  <c r="F2580"/>
  <c r="A2581"/>
  <c r="B2581"/>
  <c r="C2581"/>
  <c r="E2581"/>
  <c r="F2581"/>
  <c r="A2582"/>
  <c r="B2582"/>
  <c r="C2582"/>
  <c r="E2582"/>
  <c r="F2582"/>
  <c r="A2583"/>
  <c r="B2583"/>
  <c r="C2583"/>
  <c r="E2583"/>
  <c r="F2583"/>
  <c r="A2584"/>
  <c r="B2584"/>
  <c r="C2584"/>
  <c r="E2584"/>
  <c r="F2584"/>
  <c r="A2585"/>
  <c r="B2585"/>
  <c r="C2585"/>
  <c r="E2585"/>
  <c r="F2585"/>
  <c r="A2586"/>
  <c r="B2586"/>
  <c r="C2586"/>
  <c r="E2586"/>
  <c r="F2586"/>
  <c r="A2587"/>
  <c r="B2587"/>
  <c r="C2587"/>
  <c r="E2587"/>
  <c r="F2587"/>
  <c r="A2588"/>
  <c r="B2588"/>
  <c r="C2588"/>
  <c r="E2588"/>
  <c r="F2588"/>
  <c r="A2589"/>
  <c r="B2589"/>
  <c r="C2589"/>
  <c r="E2589"/>
  <c r="F2589"/>
  <c r="A2590"/>
  <c r="B2590"/>
  <c r="C2590"/>
  <c r="E2590"/>
  <c r="F2590"/>
  <c r="A2591"/>
  <c r="B2591"/>
  <c r="C2591"/>
  <c r="E2591"/>
  <c r="F2591"/>
  <c r="A2592"/>
  <c r="B2592"/>
  <c r="C2592"/>
  <c r="E2592"/>
  <c r="F2592"/>
  <c r="A2593"/>
  <c r="B2593"/>
  <c r="C2593"/>
  <c r="E2593"/>
  <c r="F2593"/>
  <c r="A2594"/>
  <c r="B2594"/>
  <c r="C2594"/>
  <c r="E2594"/>
  <c r="F2594"/>
  <c r="A2595"/>
  <c r="B2595"/>
  <c r="C2595"/>
  <c r="E2595"/>
  <c r="F2595"/>
  <c r="A2596"/>
  <c r="B2596"/>
  <c r="C2596"/>
  <c r="E2596"/>
  <c r="F2596"/>
  <c r="A2597"/>
  <c r="B2597"/>
  <c r="C2597"/>
  <c r="E2597"/>
  <c r="F2597"/>
  <c r="A2598"/>
  <c r="B2598"/>
  <c r="C2598"/>
  <c r="E2598"/>
  <c r="F2598"/>
  <c r="A2599"/>
  <c r="B2599"/>
  <c r="C2599"/>
  <c r="E2599"/>
  <c r="F2599"/>
  <c r="A2600"/>
  <c r="B2600"/>
  <c r="C2600"/>
  <c r="E2600"/>
  <c r="F2600"/>
  <c r="A2601"/>
  <c r="B2601"/>
  <c r="C2601"/>
  <c r="E2601"/>
  <c r="F2601"/>
  <c r="A2602"/>
  <c r="B2602"/>
  <c r="C2602"/>
  <c r="E2602"/>
  <c r="F2602"/>
  <c r="A2603"/>
  <c r="B2603"/>
  <c r="C2603"/>
  <c r="E2603"/>
  <c r="F2603"/>
  <c r="A2604"/>
  <c r="B2604"/>
  <c r="C2604"/>
  <c r="E2604"/>
  <c r="F2604"/>
  <c r="A2605"/>
  <c r="B2605"/>
  <c r="C2605"/>
  <c r="E2605"/>
  <c r="F2605"/>
  <c r="A2606"/>
  <c r="B2606"/>
  <c r="C2606"/>
  <c r="E2606"/>
  <c r="F2606"/>
  <c r="A2607"/>
  <c r="B2607"/>
  <c r="C2607"/>
  <c r="E2607"/>
  <c r="F2607"/>
  <c r="A2608"/>
  <c r="B2608"/>
  <c r="C2608"/>
  <c r="E2608"/>
  <c r="F2608"/>
  <c r="A2609"/>
  <c r="B2609"/>
  <c r="C2609"/>
  <c r="E2609"/>
  <c r="F2609"/>
  <c r="A2610"/>
  <c r="B2610"/>
  <c r="C2610"/>
  <c r="E2610"/>
  <c r="F2610"/>
  <c r="A2611"/>
  <c r="B2611"/>
  <c r="C2611"/>
  <c r="E2611"/>
  <c r="F2611"/>
  <c r="A2612"/>
  <c r="B2612"/>
  <c r="C2612"/>
  <c r="E2612"/>
  <c r="F2612"/>
  <c r="A2613"/>
  <c r="B2613"/>
  <c r="C2613"/>
  <c r="E2613"/>
  <c r="F2613"/>
  <c r="A2614"/>
  <c r="B2614"/>
  <c r="C2614"/>
  <c r="E2614"/>
  <c r="F2614"/>
  <c r="A2615"/>
  <c r="B2615"/>
  <c r="C2615"/>
  <c r="E2615"/>
  <c r="F2615"/>
  <c r="A2616"/>
  <c r="B2616"/>
  <c r="C2616"/>
  <c r="E2616"/>
  <c r="F2616"/>
  <c r="A2617"/>
  <c r="B2617"/>
  <c r="C2617"/>
  <c r="E2617"/>
  <c r="F2617"/>
  <c r="A2618"/>
  <c r="B2618"/>
  <c r="C2618"/>
  <c r="E2618"/>
  <c r="F2618"/>
  <c r="A2619"/>
  <c r="B2619"/>
  <c r="C2619"/>
  <c r="E2619"/>
  <c r="F2619"/>
  <c r="A2620"/>
  <c r="B2620"/>
  <c r="C2620"/>
  <c r="E2620"/>
  <c r="F2620"/>
  <c r="A2621"/>
  <c r="B2621"/>
  <c r="C2621"/>
  <c r="E2621"/>
  <c r="F2621"/>
  <c r="A2622"/>
  <c r="B2622"/>
  <c r="C2622"/>
  <c r="E2622"/>
  <c r="F2622"/>
  <c r="A2623"/>
  <c r="B2623"/>
  <c r="C2623"/>
  <c r="E2623"/>
  <c r="F2623"/>
  <c r="A2624"/>
  <c r="B2624"/>
  <c r="C2624"/>
  <c r="E2624"/>
  <c r="F2624"/>
  <c r="A2625"/>
  <c r="B2625"/>
  <c r="C2625"/>
  <c r="E2625"/>
  <c r="F2625"/>
  <c r="A2626"/>
  <c r="B2626"/>
  <c r="C2626"/>
  <c r="E2626"/>
  <c r="F2626"/>
  <c r="A2627"/>
  <c r="B2627"/>
  <c r="C2627"/>
  <c r="E2627"/>
  <c r="F2627"/>
  <c r="A2628"/>
  <c r="B2628"/>
  <c r="C2628"/>
  <c r="E2628"/>
  <c r="F2628"/>
  <c r="A2629"/>
  <c r="B2629"/>
  <c r="C2629"/>
  <c r="E2629"/>
  <c r="F2629"/>
  <c r="A2630"/>
  <c r="B2630"/>
  <c r="C2630"/>
  <c r="E2630"/>
  <c r="F2630"/>
  <c r="A2631"/>
  <c r="B2631"/>
  <c r="C2631"/>
  <c r="E2631"/>
  <c r="F2631"/>
  <c r="A2632"/>
  <c r="B2632"/>
  <c r="C2632"/>
  <c r="E2632"/>
  <c r="F2632"/>
  <c r="A2633"/>
  <c r="B2633"/>
  <c r="C2633"/>
  <c r="E2633"/>
  <c r="F2633"/>
  <c r="A2634"/>
  <c r="B2634"/>
  <c r="C2634"/>
  <c r="E2634"/>
  <c r="F2634"/>
  <c r="A2635"/>
  <c r="B2635"/>
  <c r="C2635"/>
  <c r="E2635"/>
  <c r="F2635"/>
  <c r="A2636"/>
  <c r="B2636"/>
  <c r="C2636"/>
  <c r="E2636"/>
  <c r="F2636"/>
  <c r="A2637"/>
  <c r="B2637"/>
  <c r="C2637"/>
  <c r="E2637"/>
  <c r="F2637"/>
  <c r="A2638"/>
  <c r="B2638"/>
  <c r="C2638"/>
  <c r="E2638"/>
  <c r="F2638"/>
  <c r="A2639"/>
  <c r="B2639"/>
  <c r="C2639"/>
  <c r="E2639"/>
  <c r="F2639"/>
  <c r="A2640"/>
  <c r="B2640"/>
  <c r="C2640"/>
  <c r="E2640"/>
  <c r="F2640"/>
  <c r="A2641"/>
  <c r="B2641"/>
  <c r="C2641"/>
  <c r="E2641"/>
  <c r="F2641"/>
  <c r="A2642"/>
  <c r="B2642"/>
  <c r="C2642"/>
  <c r="E2642"/>
  <c r="F2642"/>
  <c r="A2643"/>
  <c r="B2643"/>
  <c r="C2643"/>
  <c r="E2643"/>
  <c r="F2643"/>
  <c r="A2644"/>
  <c r="B2644"/>
  <c r="C2644"/>
  <c r="E2644"/>
  <c r="F2644"/>
  <c r="A2645"/>
  <c r="B2645"/>
  <c r="C2645"/>
  <c r="E2645"/>
  <c r="F2645"/>
  <c r="A2646"/>
  <c r="B2646"/>
  <c r="C2646"/>
  <c r="E2646"/>
  <c r="F2646"/>
  <c r="A2647"/>
  <c r="B2647"/>
  <c r="C2647"/>
  <c r="E2647"/>
  <c r="F2647"/>
  <c r="A2648"/>
  <c r="B2648"/>
  <c r="C2648"/>
  <c r="E2648"/>
  <c r="F2648"/>
  <c r="A2649"/>
  <c r="B2649"/>
  <c r="C2649"/>
  <c r="E2649"/>
  <c r="F2649"/>
  <c r="A2650"/>
  <c r="B2650"/>
  <c r="C2650"/>
  <c r="E2650"/>
  <c r="F2650"/>
  <c r="A2651"/>
  <c r="B2651"/>
  <c r="C2651"/>
  <c r="E2651"/>
  <c r="F2651"/>
  <c r="A2652"/>
  <c r="B2652"/>
  <c r="C2652"/>
  <c r="E2652"/>
  <c r="F2652"/>
  <c r="A2653"/>
  <c r="B2653"/>
  <c r="C2653"/>
  <c r="E2653"/>
  <c r="F2653"/>
  <c r="A2654"/>
  <c r="B2654"/>
  <c r="C2654"/>
  <c r="E2654"/>
  <c r="F2654"/>
  <c r="A2655"/>
  <c r="B2655"/>
  <c r="C2655"/>
  <c r="E2655"/>
  <c r="F2655"/>
  <c r="A2656"/>
  <c r="B2656"/>
  <c r="C2656"/>
  <c r="E2656"/>
  <c r="F2656"/>
  <c r="A2657"/>
  <c r="B2657"/>
  <c r="C2657"/>
  <c r="E2657"/>
  <c r="F2657"/>
  <c r="A2658"/>
  <c r="B2658"/>
  <c r="C2658"/>
  <c r="E2658"/>
  <c r="F2658"/>
  <c r="A2659"/>
  <c r="B2659"/>
  <c r="C2659"/>
  <c r="E2659"/>
  <c r="F2659"/>
  <c r="A2660"/>
  <c r="B2660"/>
  <c r="C2660"/>
  <c r="E2660"/>
  <c r="F2660"/>
  <c r="A2661"/>
  <c r="B2661"/>
  <c r="C2661"/>
  <c r="E2661"/>
  <c r="F2661"/>
  <c r="A2662"/>
  <c r="B2662"/>
  <c r="C2662"/>
  <c r="E2662"/>
  <c r="F2662"/>
  <c r="A2663"/>
  <c r="B2663"/>
  <c r="C2663"/>
  <c r="E2663"/>
  <c r="F2663"/>
  <c r="A2664"/>
  <c r="B2664"/>
  <c r="C2664"/>
  <c r="E2664"/>
  <c r="F2664"/>
  <c r="A2665"/>
  <c r="B2665"/>
  <c r="C2665"/>
  <c r="E2665"/>
  <c r="F2665"/>
  <c r="A2666"/>
  <c r="B2666"/>
  <c r="C2666"/>
  <c r="E2666"/>
  <c r="F2666"/>
  <c r="A2667"/>
  <c r="B2667"/>
  <c r="C2667"/>
  <c r="E2667"/>
  <c r="F2667"/>
  <c r="A2668"/>
  <c r="B2668"/>
  <c r="C2668"/>
  <c r="E2668"/>
  <c r="F2668"/>
  <c r="A2669"/>
  <c r="B2669"/>
  <c r="C2669"/>
  <c r="E2669"/>
  <c r="F2669"/>
  <c r="A2670"/>
  <c r="B2670"/>
  <c r="C2670"/>
  <c r="E2670"/>
  <c r="F2670"/>
  <c r="A2671"/>
  <c r="B2671"/>
  <c r="C2671"/>
  <c r="E2671"/>
  <c r="F2671"/>
  <c r="A2672"/>
  <c r="B2672"/>
  <c r="C2672"/>
  <c r="E2672"/>
  <c r="F2672"/>
  <c r="A2673"/>
  <c r="B2673"/>
  <c r="C2673"/>
  <c r="E2673"/>
  <c r="F2673"/>
  <c r="A2674"/>
  <c r="B2674"/>
  <c r="C2674"/>
  <c r="E2674"/>
  <c r="F2674"/>
  <c r="A2675"/>
  <c r="B2675"/>
  <c r="C2675"/>
  <c r="E2675"/>
  <c r="F2675"/>
  <c r="A2676"/>
  <c r="B2676"/>
  <c r="C2676"/>
  <c r="E2676"/>
  <c r="F2676"/>
  <c r="A2677"/>
  <c r="B2677"/>
  <c r="C2677"/>
  <c r="E2677"/>
  <c r="F2677"/>
  <c r="A2678"/>
  <c r="B2678"/>
  <c r="C2678"/>
  <c r="E2678"/>
  <c r="F2678"/>
  <c r="A2679"/>
  <c r="B2679"/>
  <c r="C2679"/>
  <c r="E2679"/>
  <c r="F2679"/>
  <c r="A2680"/>
  <c r="B2680"/>
  <c r="C2680"/>
  <c r="E2680"/>
  <c r="F2680"/>
  <c r="A2681"/>
  <c r="B2681"/>
  <c r="C2681"/>
  <c r="E2681"/>
  <c r="F2681"/>
  <c r="A2682"/>
  <c r="B2682"/>
  <c r="C2682"/>
  <c r="E2682"/>
  <c r="F2682"/>
  <c r="A2683"/>
  <c r="B2683"/>
  <c r="C2683"/>
  <c r="E2683"/>
  <c r="F2683"/>
  <c r="C2684"/>
  <c r="E2684"/>
  <c r="F2684"/>
  <c r="C2685"/>
  <c r="E2685"/>
  <c r="F2685"/>
  <c r="C2686"/>
  <c r="E2686"/>
  <c r="F2686"/>
  <c r="C2687"/>
  <c r="E2687"/>
  <c r="F2687"/>
  <c r="C2688"/>
  <c r="E2688"/>
  <c r="F2688"/>
  <c r="C2689"/>
  <c r="E2689"/>
  <c r="F2689"/>
  <c r="C2690"/>
  <c r="E2690"/>
  <c r="F2690"/>
  <c r="C2691"/>
  <c r="E2691"/>
  <c r="F2691"/>
  <c r="C2692"/>
  <c r="E2692"/>
  <c r="F2692"/>
  <c r="C2693"/>
  <c r="E2693"/>
  <c r="F2693"/>
  <c r="C2694"/>
  <c r="E2694"/>
  <c r="F2694"/>
  <c r="C2695"/>
  <c r="E2695"/>
  <c r="F2695"/>
  <c r="A2696"/>
  <c r="B2696"/>
  <c r="C2696"/>
  <c r="E2696"/>
  <c r="F2696"/>
  <c r="C2697"/>
  <c r="E2697"/>
  <c r="F2697"/>
  <c r="C2698"/>
  <c r="E2698"/>
  <c r="F2698"/>
  <c r="C2699"/>
  <c r="E2699"/>
  <c r="F2699"/>
  <c r="C2700"/>
  <c r="E2700"/>
  <c r="F2700"/>
  <c r="C2701"/>
  <c r="E2701"/>
  <c r="F2701"/>
  <c r="C2702"/>
  <c r="E2702"/>
  <c r="F2702"/>
  <c r="C2703"/>
  <c r="E2703"/>
  <c r="F2703"/>
  <c r="C2704"/>
  <c r="E2704"/>
  <c r="F2704"/>
  <c r="C2705"/>
  <c r="E2705"/>
  <c r="F2705"/>
  <c r="C2706"/>
  <c r="E2706"/>
  <c r="F2706"/>
  <c r="C2707"/>
  <c r="E2707"/>
  <c r="F2707"/>
  <c r="C2708"/>
  <c r="E2708"/>
  <c r="F2708"/>
  <c r="A2709"/>
  <c r="B2709"/>
  <c r="C2709"/>
  <c r="E2709"/>
  <c r="F2709"/>
  <c r="C2710"/>
  <c r="E2710"/>
  <c r="F2710"/>
  <c r="C2711"/>
  <c r="E2711"/>
  <c r="F2711"/>
  <c r="C2712"/>
  <c r="E2712"/>
  <c r="F2712"/>
  <c r="C2713"/>
  <c r="E2713"/>
  <c r="F2713"/>
  <c r="C2714"/>
  <c r="E2714"/>
  <c r="F2714"/>
  <c r="C2715"/>
  <c r="E2715"/>
  <c r="F2715"/>
  <c r="C2716"/>
  <c r="E2716"/>
  <c r="F2716"/>
  <c r="C2717"/>
  <c r="E2717"/>
  <c r="F2717"/>
  <c r="C2718"/>
  <c r="E2718"/>
  <c r="F2718"/>
  <c r="C2719"/>
  <c r="E2719"/>
  <c r="F2719"/>
  <c r="C2720"/>
  <c r="E2720"/>
  <c r="F2720"/>
  <c r="C2721"/>
  <c r="E2721"/>
  <c r="F2721"/>
  <c r="A2722"/>
  <c r="B2722"/>
  <c r="C2722"/>
  <c r="E2722"/>
  <c r="F2722"/>
  <c r="C2723"/>
  <c r="E2723"/>
  <c r="F2723"/>
  <c r="C2724"/>
  <c r="E2724"/>
  <c r="F2724"/>
  <c r="C2725"/>
  <c r="E2725"/>
  <c r="F2725"/>
  <c r="C2726"/>
  <c r="E2726"/>
  <c r="F2726"/>
  <c r="C2727"/>
  <c r="E2727"/>
  <c r="F2727"/>
  <c r="C2728"/>
  <c r="E2728"/>
  <c r="F2728"/>
  <c r="C2729"/>
  <c r="E2729"/>
  <c r="F2729"/>
  <c r="C2730"/>
  <c r="E2730"/>
  <c r="F2730"/>
  <c r="C2731"/>
  <c r="E2731"/>
  <c r="F2731"/>
  <c r="C2732"/>
  <c r="E2732"/>
  <c r="F2732"/>
  <c r="C2733"/>
  <c r="E2733"/>
  <c r="F2733"/>
  <c r="C2734"/>
  <c r="E2734"/>
  <c r="F2734"/>
  <c r="A2735"/>
  <c r="B2735"/>
  <c r="C2735"/>
  <c r="E2735"/>
  <c r="F2735"/>
  <c r="C2736"/>
  <c r="E2736"/>
  <c r="F2736"/>
  <c r="C2737"/>
  <c r="E2737"/>
  <c r="F2737"/>
  <c r="C2738"/>
  <c r="E2738"/>
  <c r="F2738"/>
  <c r="C2739"/>
  <c r="E2739"/>
  <c r="F2739"/>
  <c r="C2740"/>
  <c r="E2740"/>
  <c r="F2740"/>
  <c r="C2741"/>
  <c r="E2741"/>
  <c r="F2741"/>
  <c r="C2742"/>
  <c r="E2742"/>
  <c r="F2742"/>
  <c r="C2743"/>
  <c r="E2743"/>
  <c r="F2743"/>
  <c r="C2744"/>
  <c r="E2744"/>
  <c r="F2744"/>
  <c r="C2745"/>
  <c r="E2745"/>
  <c r="F2745"/>
  <c r="C2746"/>
  <c r="E2746"/>
  <c r="F2746"/>
  <c r="C2747"/>
  <c r="E2747"/>
  <c r="F2747"/>
  <c r="A2748"/>
  <c r="B2748"/>
  <c r="C2748"/>
  <c r="E2748"/>
  <c r="F2748"/>
  <c r="C2749"/>
  <c r="E2749"/>
  <c r="F2749"/>
  <c r="C2750"/>
  <c r="E2750"/>
  <c r="F2750"/>
  <c r="C2751"/>
  <c r="E2751"/>
  <c r="F2751"/>
  <c r="C2752"/>
  <c r="E2752"/>
  <c r="F2752"/>
  <c r="C2753"/>
  <c r="E2753"/>
  <c r="F2753"/>
  <c r="C2754"/>
  <c r="E2754"/>
  <c r="F2754"/>
  <c r="C2755"/>
  <c r="E2755"/>
  <c r="F2755"/>
  <c r="C2756"/>
  <c r="E2756"/>
  <c r="F2756"/>
  <c r="C2757"/>
  <c r="E2757"/>
  <c r="F2757"/>
  <c r="C2758"/>
  <c r="E2758"/>
  <c r="F2758"/>
  <c r="C2759"/>
  <c r="E2759"/>
  <c r="F2759"/>
  <c r="C2760"/>
  <c r="E2760"/>
  <c r="F2760"/>
  <c r="A2761"/>
  <c r="B2761"/>
  <c r="C2761"/>
  <c r="E2761"/>
  <c r="F2761"/>
  <c r="C2762"/>
  <c r="E2762"/>
  <c r="F2762"/>
  <c r="C2763"/>
  <c r="E2763"/>
  <c r="F2763"/>
  <c r="C2764"/>
  <c r="E2764"/>
  <c r="F2764"/>
  <c r="C2765"/>
  <c r="E2765"/>
  <c r="F2765"/>
  <c r="C2766"/>
  <c r="E2766"/>
  <c r="F2766"/>
  <c r="C2767"/>
  <c r="E2767"/>
  <c r="F2767"/>
  <c r="C2768"/>
  <c r="E2768"/>
  <c r="F2768"/>
  <c r="C2769"/>
  <c r="E2769"/>
  <c r="F2769"/>
  <c r="C2770"/>
  <c r="E2770"/>
  <c r="F2770"/>
  <c r="C2771"/>
  <c r="E2771"/>
  <c r="F2771"/>
  <c r="C2772"/>
  <c r="E2772"/>
  <c r="F2772"/>
  <c r="C2773"/>
  <c r="E2773"/>
  <c r="F2773"/>
  <c r="A2774"/>
  <c r="B2774"/>
  <c r="C2774"/>
  <c r="E2774"/>
  <c r="F2774"/>
  <c r="C2775"/>
  <c r="E2775"/>
  <c r="F2775"/>
  <c r="C2776"/>
  <c r="E2776"/>
  <c r="F2776"/>
  <c r="C2777"/>
  <c r="E2777"/>
  <c r="F2777"/>
  <c r="C2778"/>
  <c r="E2778"/>
  <c r="F2778"/>
  <c r="C2779"/>
  <c r="E2779"/>
  <c r="F2779"/>
  <c r="C2780"/>
  <c r="E2780"/>
  <c r="F2780"/>
  <c r="C2781"/>
  <c r="E2781"/>
  <c r="F2781"/>
  <c r="C2782"/>
  <c r="E2782"/>
  <c r="F2782"/>
  <c r="C2783"/>
  <c r="E2783"/>
  <c r="F2783"/>
  <c r="C2784"/>
  <c r="E2784"/>
  <c r="F2784"/>
  <c r="C2785"/>
  <c r="E2785"/>
  <c r="F2785"/>
  <c r="C2786"/>
  <c r="E2786"/>
  <c r="F2786"/>
  <c r="A2787"/>
  <c r="B2787"/>
  <c r="C2787"/>
  <c r="E2787"/>
  <c r="F2787"/>
  <c r="C2788"/>
  <c r="E2788"/>
  <c r="F2788"/>
  <c r="C2789"/>
  <c r="E2789"/>
  <c r="F2789"/>
  <c r="C2790"/>
  <c r="E2790"/>
  <c r="F2790"/>
  <c r="C2791"/>
  <c r="E2791"/>
  <c r="F2791"/>
  <c r="C2792"/>
  <c r="E2792"/>
  <c r="F2792"/>
  <c r="C2793"/>
  <c r="E2793"/>
  <c r="F2793"/>
  <c r="C2794"/>
  <c r="E2794"/>
  <c r="F2794"/>
  <c r="C2795"/>
  <c r="E2795"/>
  <c r="F2795"/>
  <c r="C2796"/>
  <c r="E2796"/>
  <c r="F2796"/>
  <c r="C2797"/>
  <c r="E2797"/>
  <c r="F2797"/>
  <c r="C2798"/>
  <c r="E2798"/>
  <c r="F2798"/>
  <c r="C2799"/>
  <c r="E2799"/>
  <c r="F2799"/>
  <c r="A2800"/>
  <c r="B2800"/>
  <c r="C2800"/>
  <c r="E2800"/>
  <c r="F2800"/>
  <c r="C2801"/>
  <c r="E2801"/>
  <c r="F2801"/>
  <c r="C2802"/>
  <c r="E2802"/>
  <c r="F2802"/>
  <c r="C2803"/>
  <c r="E2803"/>
  <c r="F2803"/>
  <c r="C2804"/>
  <c r="E2804"/>
  <c r="F2804"/>
  <c r="C2805"/>
  <c r="E2805"/>
  <c r="F2805"/>
  <c r="C2806"/>
  <c r="E2806"/>
  <c r="F2806"/>
  <c r="C2807"/>
  <c r="E2807"/>
  <c r="F2807"/>
  <c r="C2808"/>
  <c r="E2808"/>
  <c r="F2808"/>
  <c r="C2809"/>
  <c r="E2809"/>
  <c r="F2809"/>
  <c r="C2810"/>
  <c r="E2810"/>
  <c r="F2810"/>
  <c r="C2811"/>
  <c r="E2811"/>
  <c r="F2811"/>
  <c r="C2812"/>
  <c r="E2812"/>
  <c r="F2812"/>
  <c r="A2813"/>
  <c r="B2813"/>
  <c r="C2813"/>
  <c r="E2813"/>
  <c r="F2813"/>
  <c r="C2814"/>
  <c r="E2814"/>
  <c r="F2814"/>
  <c r="C2815"/>
  <c r="E2815"/>
  <c r="F2815"/>
  <c r="C2816"/>
  <c r="E2816"/>
  <c r="F2816"/>
  <c r="C2817"/>
  <c r="E2817"/>
  <c r="F2817"/>
  <c r="C2818"/>
  <c r="E2818"/>
  <c r="F2818"/>
  <c r="C2819"/>
  <c r="E2819"/>
  <c r="F2819"/>
  <c r="C2820"/>
  <c r="E2820"/>
  <c r="F2820"/>
  <c r="C2821"/>
  <c r="E2821"/>
  <c r="F2821"/>
  <c r="C2822"/>
  <c r="E2822"/>
  <c r="F2822"/>
  <c r="C2823"/>
  <c r="E2823"/>
  <c r="F2823"/>
  <c r="C2824"/>
  <c r="E2824"/>
  <c r="F2824"/>
  <c r="C2825"/>
  <c r="E2825"/>
  <c r="F2825"/>
  <c r="A2826"/>
  <c r="B2826"/>
  <c r="C2826"/>
  <c r="E2826"/>
  <c r="F2826"/>
  <c r="C2827"/>
  <c r="E2827"/>
  <c r="F2827"/>
  <c r="C2828"/>
  <c r="E2828"/>
  <c r="F2828"/>
  <c r="C2829"/>
  <c r="E2829"/>
  <c r="F2829"/>
  <c r="C2830"/>
  <c r="E2830"/>
  <c r="F2830"/>
  <c r="C2831"/>
  <c r="E2831"/>
  <c r="F2831"/>
  <c r="C2832"/>
  <c r="E2832"/>
  <c r="F2832"/>
  <c r="C2833"/>
  <c r="E2833"/>
  <c r="F2833"/>
  <c r="C2834"/>
  <c r="E2834"/>
  <c r="F2834"/>
  <c r="C2835"/>
  <c r="E2835"/>
  <c r="F2835"/>
  <c r="C2836"/>
  <c r="E2836"/>
  <c r="F2836"/>
  <c r="C2837"/>
  <c r="E2837"/>
  <c r="F2837"/>
  <c r="C2838"/>
  <c r="E2838"/>
  <c r="F2838"/>
  <c r="A2839"/>
  <c r="B2839"/>
  <c r="C2839"/>
  <c r="E2839"/>
  <c r="F2839"/>
  <c r="C2840"/>
  <c r="E2840"/>
  <c r="F2840"/>
  <c r="C2841"/>
  <c r="E2841"/>
  <c r="F2841"/>
  <c r="C2842"/>
  <c r="E2842"/>
  <c r="F2842"/>
  <c r="C2843"/>
  <c r="E2843"/>
  <c r="F2843"/>
  <c r="C2844"/>
  <c r="E2844"/>
  <c r="F2844"/>
  <c r="C2845"/>
  <c r="E2845"/>
  <c r="F2845"/>
  <c r="C2846"/>
  <c r="E2846"/>
  <c r="F2846"/>
  <c r="C2847"/>
  <c r="E2847"/>
  <c r="F2847"/>
  <c r="C2848"/>
  <c r="E2848"/>
  <c r="F2848"/>
  <c r="C2849"/>
  <c r="E2849"/>
  <c r="F2849"/>
  <c r="C2850"/>
  <c r="E2850"/>
  <c r="F2850"/>
  <c r="C2851"/>
  <c r="E2851"/>
  <c r="F2851"/>
  <c r="A2852"/>
  <c r="B2852"/>
  <c r="C2852"/>
  <c r="E2852"/>
  <c r="F2852"/>
  <c r="C2853"/>
  <c r="E2853"/>
  <c r="F2853"/>
  <c r="C2854"/>
  <c r="E2854"/>
  <c r="F2854"/>
  <c r="C2855"/>
  <c r="E2855"/>
  <c r="F2855"/>
  <c r="C2856"/>
  <c r="E2856"/>
  <c r="F2856"/>
  <c r="C2857"/>
  <c r="E2857"/>
  <c r="F2857"/>
  <c r="C2858"/>
  <c r="E2858"/>
  <c r="F2858"/>
  <c r="C2859"/>
  <c r="E2859"/>
  <c r="F2859"/>
  <c r="C2860"/>
  <c r="E2860"/>
  <c r="F2860"/>
  <c r="C2861"/>
  <c r="E2861"/>
  <c r="F2861"/>
  <c r="C2862"/>
  <c r="E2862"/>
  <c r="F2862"/>
  <c r="C2863"/>
  <c r="E2863"/>
  <c r="F2863"/>
  <c r="C2864"/>
  <c r="E2864"/>
  <c r="F2864"/>
  <c r="A2865"/>
  <c r="B2865"/>
  <c r="C2865"/>
  <c r="E2865"/>
  <c r="F2865"/>
  <c r="C2866"/>
  <c r="E2866"/>
  <c r="F2866"/>
  <c r="C2867"/>
  <c r="E2867"/>
  <c r="F2867"/>
  <c r="C2868"/>
  <c r="E2868"/>
  <c r="F2868"/>
  <c r="C2869"/>
  <c r="E2869"/>
  <c r="F2869"/>
  <c r="C2870"/>
  <c r="E2870"/>
  <c r="F2870"/>
  <c r="C2871"/>
  <c r="E2871"/>
  <c r="F2871"/>
  <c r="C2872"/>
  <c r="E2872"/>
  <c r="F2872"/>
  <c r="C2873"/>
  <c r="E2873"/>
  <c r="F2873"/>
  <c r="C2874"/>
  <c r="E2874"/>
  <c r="F2874"/>
  <c r="C2875"/>
  <c r="E2875"/>
  <c r="F2875"/>
  <c r="C2876"/>
  <c r="E2876"/>
  <c r="F2876"/>
  <c r="C2877"/>
  <c r="E2877"/>
  <c r="F2877"/>
  <c r="A2878"/>
  <c r="B2878"/>
  <c r="C2878"/>
  <c r="E2878"/>
  <c r="F2878"/>
  <c r="C2879"/>
  <c r="E2879"/>
  <c r="F2879"/>
  <c r="C2880"/>
  <c r="E2880"/>
  <c r="F2880"/>
  <c r="C2881"/>
  <c r="E2881"/>
  <c r="F2881"/>
  <c r="C2882"/>
  <c r="E2882"/>
  <c r="F2882"/>
  <c r="C2883"/>
  <c r="E2883"/>
  <c r="F2883"/>
  <c r="C2884"/>
  <c r="E2884"/>
  <c r="F2884"/>
  <c r="C2885"/>
  <c r="E2885"/>
  <c r="F2885"/>
  <c r="C2886"/>
  <c r="E2886"/>
  <c r="F2886"/>
  <c r="C2887"/>
  <c r="E2887"/>
  <c r="F2887"/>
  <c r="C2888"/>
  <c r="E2888"/>
  <c r="F2888"/>
  <c r="C2889"/>
  <c r="E2889"/>
  <c r="F2889"/>
  <c r="C2890"/>
  <c r="E2890"/>
  <c r="F2890"/>
  <c r="A2891"/>
  <c r="B2891"/>
  <c r="C2891"/>
  <c r="E2891"/>
  <c r="F2891"/>
  <c r="C2892"/>
  <c r="E2892"/>
  <c r="F2892"/>
  <c r="C2893"/>
  <c r="E2893"/>
  <c r="F2893"/>
  <c r="C2894"/>
  <c r="E2894"/>
  <c r="F2894"/>
  <c r="C2895"/>
  <c r="E2895"/>
  <c r="F2895"/>
  <c r="C2896"/>
  <c r="E2896"/>
  <c r="F2896"/>
  <c r="C2897"/>
  <c r="E2897"/>
  <c r="F2897"/>
  <c r="C2898"/>
  <c r="E2898"/>
  <c r="F2898"/>
  <c r="C2899"/>
  <c r="E2899"/>
  <c r="F2899"/>
  <c r="C2900"/>
  <c r="E2900"/>
  <c r="F2900"/>
  <c r="C2901"/>
  <c r="E2901"/>
  <c r="F2901"/>
  <c r="C2902"/>
  <c r="E2902"/>
  <c r="F2902"/>
  <c r="C2903"/>
  <c r="E2903"/>
  <c r="F2903"/>
  <c r="A2904"/>
  <c r="B2904"/>
  <c r="C2904"/>
  <c r="E2904"/>
  <c r="F2904"/>
  <c r="C2905"/>
  <c r="E2905"/>
  <c r="F2905"/>
  <c r="C2906"/>
  <c r="E2906"/>
  <c r="F2906"/>
  <c r="C2907"/>
  <c r="E2907"/>
  <c r="F2907"/>
  <c r="C2908"/>
  <c r="E2908"/>
  <c r="F2908"/>
  <c r="C2909"/>
  <c r="E2909"/>
  <c r="F2909"/>
  <c r="C2910"/>
  <c r="E2910"/>
  <c r="F2910"/>
  <c r="C2911"/>
  <c r="E2911"/>
  <c r="F2911"/>
  <c r="C2912"/>
  <c r="E2912"/>
  <c r="F2912"/>
  <c r="C2913"/>
  <c r="E2913"/>
  <c r="F2913"/>
  <c r="C2914"/>
  <c r="E2914"/>
  <c r="F2914"/>
  <c r="C2915"/>
  <c r="E2915"/>
  <c r="F2915"/>
  <c r="C2916"/>
  <c r="E2916"/>
  <c r="F2916"/>
  <c r="A2917"/>
  <c r="B2917"/>
  <c r="C2917"/>
  <c r="E2917"/>
  <c r="F2917"/>
  <c r="C2918"/>
  <c r="E2918"/>
  <c r="F2918"/>
  <c r="C2919"/>
  <c r="E2919"/>
  <c r="F2919"/>
  <c r="C2920"/>
  <c r="E2920"/>
  <c r="F2920"/>
  <c r="C2921"/>
  <c r="E2921"/>
  <c r="F2921"/>
  <c r="C2922"/>
  <c r="E2922"/>
  <c r="F2922"/>
  <c r="C2923"/>
  <c r="E2923"/>
  <c r="F2923"/>
  <c r="C2924"/>
  <c r="E2924"/>
  <c r="F2924"/>
  <c r="C2925"/>
  <c r="E2925"/>
  <c r="F2925"/>
  <c r="C2926"/>
  <c r="E2926"/>
  <c r="F2926"/>
  <c r="C2927"/>
  <c r="E2927"/>
  <c r="F2927"/>
  <c r="C2928"/>
  <c r="E2928"/>
  <c r="F2928"/>
  <c r="C2929"/>
  <c r="E2929"/>
  <c r="F2929"/>
  <c r="A2930"/>
  <c r="B2930"/>
  <c r="C2930"/>
  <c r="E2930"/>
  <c r="F2930"/>
  <c r="C2931"/>
  <c r="E2931"/>
  <c r="F2931"/>
  <c r="C2932"/>
  <c r="E2932"/>
  <c r="F2932"/>
  <c r="C2933"/>
  <c r="E2933"/>
  <c r="F2933"/>
  <c r="C2934"/>
  <c r="E2934"/>
  <c r="F2934"/>
  <c r="C2935"/>
  <c r="E2935"/>
  <c r="F2935"/>
  <c r="C2936"/>
  <c r="E2936"/>
  <c r="F2936"/>
  <c r="C2937"/>
  <c r="E2937"/>
  <c r="F2937"/>
  <c r="C2938"/>
  <c r="E2938"/>
  <c r="F2938"/>
  <c r="C2939"/>
  <c r="E2939"/>
  <c r="F2939"/>
  <c r="C2940"/>
  <c r="E2940"/>
  <c r="F2940"/>
  <c r="C2941"/>
  <c r="E2941"/>
  <c r="F2941"/>
  <c r="C2942"/>
  <c r="E2942"/>
  <c r="F2942"/>
  <c r="A2943"/>
  <c r="B2943"/>
  <c r="C2943"/>
  <c r="E2943"/>
  <c r="F2943"/>
  <c r="C2944"/>
  <c r="E2944"/>
  <c r="F2944"/>
  <c r="C2945"/>
  <c r="E2945"/>
  <c r="F2945"/>
  <c r="C2946"/>
  <c r="E2946"/>
  <c r="F2946"/>
  <c r="C2947"/>
  <c r="E2947"/>
  <c r="F2947"/>
  <c r="C2948"/>
  <c r="E2948"/>
  <c r="F2948"/>
  <c r="C2949"/>
  <c r="E2949"/>
  <c r="F2949"/>
  <c r="C2950"/>
  <c r="E2950"/>
  <c r="F2950"/>
  <c r="C2951"/>
  <c r="E2951"/>
  <c r="F2951"/>
  <c r="C2952"/>
  <c r="E2952"/>
  <c r="F2952"/>
  <c r="C2953"/>
  <c r="E2953"/>
  <c r="F2953"/>
  <c r="C2954"/>
  <c r="E2954"/>
  <c r="F2954"/>
  <c r="C2955"/>
  <c r="E2955"/>
  <c r="F2955"/>
  <c r="A2956"/>
  <c r="B2956"/>
  <c r="C2956"/>
  <c r="E2956"/>
  <c r="F2956"/>
  <c r="C2957"/>
  <c r="E2957"/>
  <c r="F2957"/>
  <c r="C2958"/>
  <c r="E2958"/>
  <c r="F2958"/>
  <c r="C2959"/>
  <c r="E2959"/>
  <c r="F2959"/>
  <c r="C2960"/>
  <c r="E2960"/>
  <c r="F2960"/>
  <c r="C2961"/>
  <c r="E2961"/>
  <c r="F2961"/>
  <c r="C2962"/>
  <c r="E2962"/>
  <c r="F2962"/>
  <c r="C2963"/>
  <c r="E2963"/>
  <c r="F2963"/>
  <c r="C2964"/>
  <c r="E2964"/>
  <c r="F2964"/>
  <c r="C2965"/>
  <c r="E2965"/>
  <c r="F2965"/>
  <c r="C2966"/>
  <c r="E2966"/>
  <c r="F2966"/>
  <c r="C2967"/>
  <c r="E2967"/>
  <c r="F2967"/>
  <c r="C2968"/>
  <c r="E2968"/>
  <c r="F2968"/>
  <c r="A2969"/>
  <c r="B2969"/>
  <c r="C2969"/>
  <c r="E2969"/>
  <c r="F2969"/>
  <c r="C2970"/>
  <c r="E2970"/>
  <c r="F2970"/>
  <c r="C2971"/>
  <c r="E2971"/>
  <c r="F2971"/>
  <c r="C2972"/>
  <c r="E2972"/>
  <c r="F2972"/>
  <c r="C2973"/>
  <c r="E2973"/>
  <c r="F2973"/>
  <c r="C2974"/>
  <c r="E2974"/>
  <c r="F2974"/>
  <c r="C2975"/>
  <c r="E2975"/>
  <c r="F2975"/>
  <c r="C2976"/>
  <c r="E2976"/>
  <c r="F2976"/>
  <c r="C2977"/>
  <c r="E2977"/>
  <c r="F2977"/>
  <c r="C2978"/>
  <c r="E2978"/>
  <c r="F2978"/>
  <c r="C2979"/>
  <c r="E2979"/>
  <c r="F2979"/>
  <c r="C2980"/>
  <c r="E2980"/>
  <c r="F2980"/>
  <c r="C2981"/>
  <c r="E2981"/>
  <c r="F2981"/>
  <c r="A2982"/>
  <c r="B2982"/>
  <c r="C2982"/>
  <c r="E2982"/>
  <c r="F2982"/>
  <c r="C2983"/>
  <c r="E2983"/>
  <c r="F2983"/>
  <c r="C2984"/>
  <c r="E2984"/>
  <c r="F2984"/>
  <c r="C2985"/>
  <c r="E2985"/>
  <c r="F2985"/>
  <c r="C2986"/>
  <c r="E2986"/>
  <c r="F2986"/>
  <c r="C2987"/>
  <c r="E2987"/>
  <c r="F2987"/>
  <c r="C2988"/>
  <c r="E2988"/>
  <c r="F2988"/>
  <c r="C2989"/>
  <c r="E2989"/>
  <c r="F2989"/>
  <c r="C2990"/>
  <c r="E2990"/>
  <c r="F2990"/>
  <c r="C2991"/>
  <c r="E2991"/>
  <c r="F2991"/>
  <c r="C2992"/>
  <c r="E2992"/>
  <c r="F2992"/>
  <c r="C2993"/>
  <c r="E2993"/>
  <c r="F2993"/>
  <c r="C2994"/>
  <c r="E2994"/>
  <c r="F2994"/>
  <c r="A2995"/>
  <c r="B2995"/>
  <c r="C2995"/>
  <c r="E2995"/>
  <c r="F2995"/>
  <c r="C2996"/>
  <c r="E2996"/>
  <c r="F2996"/>
  <c r="C2997"/>
  <c r="E2997"/>
  <c r="F2997"/>
  <c r="C2998"/>
  <c r="E2998"/>
  <c r="F2998"/>
  <c r="C2999"/>
  <c r="E2999"/>
  <c r="F2999"/>
  <c r="C3000"/>
  <c r="E3000"/>
  <c r="F3000"/>
  <c r="C3001"/>
  <c r="E3001"/>
  <c r="F3001"/>
  <c r="C3002"/>
  <c r="E3002"/>
  <c r="F3002"/>
  <c r="C3003"/>
  <c r="E3003"/>
  <c r="F3003"/>
  <c r="C3004"/>
  <c r="E3004"/>
  <c r="F3004"/>
  <c r="C3005"/>
  <c r="E3005"/>
  <c r="F3005"/>
  <c r="C3006"/>
  <c r="E3006"/>
  <c r="F3006"/>
  <c r="C3007"/>
  <c r="E3007"/>
  <c r="F3007"/>
  <c r="A3008"/>
  <c r="B3008"/>
  <c r="C3008"/>
  <c r="E3008"/>
  <c r="F3008"/>
  <c r="C3009"/>
  <c r="E3009"/>
  <c r="F3009"/>
  <c r="C3010"/>
  <c r="E3010"/>
  <c r="F3010"/>
  <c r="C3011"/>
  <c r="E3011"/>
  <c r="F3011"/>
  <c r="C3012"/>
  <c r="E3012"/>
  <c r="F3012"/>
  <c r="C3013"/>
  <c r="E3013"/>
  <c r="F3013"/>
  <c r="C3014"/>
  <c r="E3014"/>
  <c r="F3014"/>
  <c r="C3015"/>
  <c r="E3015"/>
  <c r="F3015"/>
  <c r="C3016"/>
  <c r="E3016"/>
  <c r="F3016"/>
  <c r="C3017"/>
  <c r="E3017"/>
  <c r="F3017"/>
  <c r="C3018"/>
  <c r="E3018"/>
  <c r="F3018"/>
  <c r="C3019"/>
  <c r="E3019"/>
  <c r="F3019"/>
  <c r="C3020"/>
  <c r="E3020"/>
  <c r="F3020"/>
  <c r="A3021"/>
  <c r="B3021"/>
  <c r="C3021"/>
  <c r="E3021"/>
  <c r="F3021"/>
  <c r="C3022"/>
  <c r="E3022"/>
  <c r="F3022"/>
  <c r="C3023"/>
  <c r="E3023"/>
  <c r="F3023"/>
  <c r="C3024"/>
  <c r="E3024"/>
  <c r="F3024"/>
  <c r="C3025"/>
  <c r="E3025"/>
  <c r="F3025"/>
  <c r="C3026"/>
  <c r="E3026"/>
  <c r="F3026"/>
  <c r="C3027"/>
  <c r="E3027"/>
  <c r="F3027"/>
  <c r="C3028"/>
  <c r="E3028"/>
  <c r="F3028"/>
  <c r="C3029"/>
  <c r="E3029"/>
  <c r="F3029"/>
  <c r="C3030"/>
  <c r="E3030"/>
  <c r="F3030"/>
  <c r="C3031"/>
  <c r="E3031"/>
  <c r="F3031"/>
  <c r="C3032"/>
  <c r="E3032"/>
  <c r="F3032"/>
  <c r="C3033"/>
  <c r="E3033"/>
  <c r="F3033"/>
  <c r="A3034"/>
  <c r="B3034"/>
  <c r="C3034"/>
  <c r="E3034"/>
  <c r="F3034"/>
  <c r="C3035"/>
  <c r="E3035"/>
  <c r="F3035"/>
  <c r="C3036"/>
  <c r="E3036"/>
  <c r="F3036"/>
  <c r="C3037"/>
  <c r="E3037"/>
  <c r="F3037"/>
  <c r="C3038"/>
  <c r="E3038"/>
  <c r="F3038"/>
  <c r="C3039"/>
  <c r="E3039"/>
  <c r="F3039"/>
  <c r="C3040"/>
  <c r="E3040"/>
  <c r="F3040"/>
  <c r="C3041"/>
  <c r="E3041"/>
  <c r="F3041"/>
  <c r="C3042"/>
  <c r="E3042"/>
  <c r="F3042"/>
  <c r="C3043"/>
  <c r="E3043"/>
  <c r="F3043"/>
  <c r="C3044"/>
  <c r="E3044"/>
  <c r="F3044"/>
  <c r="C3045"/>
  <c r="E3045"/>
  <c r="F3045"/>
  <c r="C3046"/>
  <c r="E3046"/>
  <c r="F3046"/>
  <c r="A3047"/>
  <c r="B3047"/>
  <c r="C3047"/>
  <c r="E3047"/>
  <c r="F3047"/>
  <c r="C3048"/>
  <c r="E3048"/>
  <c r="F3048"/>
  <c r="C3049"/>
  <c r="E3049"/>
  <c r="F3049"/>
  <c r="C3050"/>
  <c r="E3050"/>
  <c r="F3050"/>
  <c r="C3051"/>
  <c r="E3051"/>
  <c r="F3051"/>
  <c r="C3052"/>
  <c r="E3052"/>
  <c r="F3052"/>
  <c r="C3053"/>
  <c r="E3053"/>
  <c r="F3053"/>
  <c r="C3054"/>
  <c r="E3054"/>
  <c r="F3054"/>
  <c r="C3055"/>
  <c r="E3055"/>
  <c r="F3055"/>
  <c r="C3056"/>
  <c r="E3056"/>
  <c r="F3056"/>
  <c r="C3057"/>
  <c r="E3057"/>
  <c r="F3057"/>
  <c r="C3058"/>
  <c r="E3058"/>
  <c r="F3058"/>
  <c r="C3059"/>
  <c r="E3059"/>
  <c r="F3059"/>
  <c r="A3060"/>
  <c r="B3060"/>
  <c r="C3060"/>
  <c r="E3060"/>
  <c r="F3060"/>
  <c r="C3061"/>
  <c r="E3061"/>
  <c r="F3061"/>
  <c r="C3062"/>
  <c r="E3062"/>
  <c r="F3062"/>
  <c r="C3063"/>
  <c r="E3063"/>
  <c r="F3063"/>
  <c r="C3064"/>
  <c r="E3064"/>
  <c r="F3064"/>
  <c r="C3065"/>
  <c r="E3065"/>
  <c r="F3065"/>
  <c r="C3066"/>
  <c r="E3066"/>
  <c r="F3066"/>
  <c r="C3067"/>
  <c r="E3067"/>
  <c r="F3067"/>
  <c r="C3068"/>
  <c r="E3068"/>
  <c r="F3068"/>
  <c r="C3069"/>
  <c r="E3069"/>
  <c r="F3069"/>
  <c r="C3070"/>
  <c r="E3070"/>
  <c r="F3070"/>
  <c r="C3071"/>
  <c r="E3071"/>
  <c r="F3071"/>
  <c r="C3072"/>
  <c r="E3072"/>
  <c r="F3072"/>
  <c r="A3073"/>
  <c r="B3073"/>
  <c r="C3073"/>
  <c r="E3073"/>
  <c r="F3073"/>
  <c r="C3074"/>
  <c r="E3074"/>
  <c r="F3074"/>
  <c r="C3075"/>
  <c r="E3075"/>
  <c r="F3075"/>
  <c r="C3076"/>
  <c r="E3076"/>
  <c r="F3076"/>
  <c r="C3077"/>
  <c r="E3077"/>
  <c r="F3077"/>
  <c r="C3078"/>
  <c r="E3078"/>
  <c r="F3078"/>
  <c r="C3079"/>
  <c r="E3079"/>
  <c r="F3079"/>
  <c r="C3080"/>
  <c r="E3080"/>
  <c r="F3080"/>
  <c r="C3081"/>
  <c r="E3081"/>
  <c r="F3081"/>
  <c r="C3082"/>
  <c r="E3082"/>
  <c r="F3082"/>
  <c r="C3083"/>
  <c r="E3083"/>
  <c r="F3083"/>
  <c r="C3084"/>
  <c r="E3084"/>
  <c r="F3084"/>
  <c r="C3085"/>
  <c r="E3085"/>
  <c r="F3085"/>
  <c r="A3086"/>
  <c r="B3086"/>
  <c r="C3086"/>
  <c r="E3086"/>
  <c r="F3086"/>
  <c r="C3087"/>
  <c r="E3087"/>
  <c r="F3087"/>
  <c r="C3088"/>
  <c r="E3088"/>
  <c r="F3088"/>
  <c r="C3089"/>
  <c r="E3089"/>
  <c r="F3089"/>
  <c r="C3090"/>
  <c r="E3090"/>
  <c r="F3090"/>
  <c r="C3091"/>
  <c r="E3091"/>
  <c r="F3091"/>
  <c r="C3092"/>
  <c r="E3092"/>
  <c r="F3092"/>
  <c r="C3093"/>
  <c r="E3093"/>
  <c r="F3093"/>
  <c r="C3094"/>
  <c r="E3094"/>
  <c r="F3094"/>
  <c r="C3095"/>
  <c r="E3095"/>
  <c r="F3095"/>
  <c r="C3096"/>
  <c r="E3096"/>
  <c r="F3096"/>
  <c r="C3097"/>
  <c r="E3097"/>
  <c r="F3097"/>
  <c r="C3098"/>
  <c r="E3098"/>
  <c r="F3098"/>
  <c r="A3099"/>
  <c r="B3099"/>
  <c r="C3099"/>
  <c r="E3099"/>
  <c r="F3099"/>
  <c r="C3100"/>
  <c r="E3100"/>
  <c r="F3100"/>
  <c r="C3101"/>
  <c r="E3101"/>
  <c r="F3101"/>
  <c r="C3102"/>
  <c r="E3102"/>
  <c r="F3102"/>
  <c r="C3103"/>
  <c r="E3103"/>
  <c r="F3103"/>
  <c r="C3104"/>
  <c r="E3104"/>
  <c r="F3104"/>
  <c r="C3105"/>
  <c r="E3105"/>
  <c r="F3105"/>
  <c r="C3106"/>
  <c r="E3106"/>
  <c r="F3106"/>
  <c r="C3107"/>
  <c r="E3107"/>
  <c r="F3107"/>
  <c r="C3108"/>
  <c r="E3108"/>
  <c r="F3108"/>
  <c r="C3109"/>
  <c r="E3109"/>
  <c r="F3109"/>
  <c r="C3110"/>
  <c r="E3110"/>
  <c r="F3110"/>
  <c r="C3111"/>
  <c r="E3111"/>
  <c r="F3111"/>
  <c r="A3112"/>
  <c r="B3112"/>
  <c r="C3112"/>
  <c r="E3112"/>
  <c r="F3112"/>
  <c r="C3113"/>
  <c r="E3113"/>
  <c r="F3113"/>
  <c r="C3114"/>
  <c r="E3114"/>
  <c r="F3114"/>
  <c r="C3115"/>
  <c r="E3115"/>
  <c r="F3115"/>
  <c r="C3116"/>
  <c r="E3116"/>
  <c r="F3116"/>
  <c r="C3117"/>
  <c r="E3117"/>
  <c r="F3117"/>
  <c r="C3118"/>
  <c r="E3118"/>
  <c r="F3118"/>
  <c r="C3119"/>
  <c r="E3119"/>
  <c r="F3119"/>
  <c r="C3120"/>
  <c r="E3120"/>
  <c r="F3120"/>
  <c r="C3121"/>
  <c r="E3121"/>
  <c r="F3121"/>
  <c r="C3122"/>
  <c r="E3122"/>
  <c r="F3122"/>
  <c r="C3123"/>
  <c r="E3123"/>
  <c r="F3123"/>
  <c r="C3124"/>
  <c r="E3124"/>
  <c r="F3124"/>
  <c r="A3125"/>
  <c r="B3125"/>
  <c r="C3125"/>
  <c r="E3125"/>
  <c r="F3125"/>
  <c r="C3126"/>
  <c r="E3126"/>
  <c r="F3126"/>
  <c r="C3127"/>
  <c r="E3127"/>
  <c r="F3127"/>
  <c r="C3128"/>
  <c r="E3128"/>
  <c r="F3128"/>
  <c r="C3129"/>
  <c r="E3129"/>
  <c r="F3129"/>
  <c r="C3130"/>
  <c r="E3130"/>
  <c r="F3130"/>
  <c r="C3131"/>
  <c r="E3131"/>
  <c r="F3131"/>
  <c r="C3132"/>
  <c r="E3132"/>
  <c r="F3132"/>
  <c r="C3133"/>
  <c r="E3133"/>
  <c r="F3133"/>
  <c r="C3134"/>
  <c r="E3134"/>
  <c r="F3134"/>
  <c r="C3135"/>
  <c r="E3135"/>
  <c r="F3135"/>
  <c r="C3136"/>
  <c r="E3136"/>
  <c r="F3136"/>
  <c r="C3137"/>
  <c r="E3137"/>
  <c r="F3137"/>
  <c r="A3138"/>
  <c r="B3138"/>
  <c r="C3138"/>
  <c r="E3138"/>
  <c r="F3138"/>
  <c r="C3139"/>
  <c r="E3139"/>
  <c r="F3139"/>
  <c r="C3140"/>
  <c r="E3140"/>
  <c r="F3140"/>
  <c r="C3141"/>
  <c r="E3141"/>
  <c r="F3141"/>
  <c r="C3142"/>
  <c r="E3142"/>
  <c r="F3142"/>
  <c r="C3143"/>
  <c r="E3143"/>
  <c r="F3143"/>
  <c r="C3144"/>
  <c r="E3144"/>
  <c r="F3144"/>
  <c r="C3145"/>
  <c r="E3145"/>
  <c r="F3145"/>
  <c r="C3146"/>
  <c r="E3146"/>
  <c r="F3146"/>
  <c r="C3147"/>
  <c r="E3147"/>
  <c r="F3147"/>
  <c r="C3148"/>
  <c r="E3148"/>
  <c r="F3148"/>
  <c r="C3149"/>
  <c r="E3149"/>
  <c r="F3149"/>
  <c r="C3150"/>
  <c r="E3150"/>
  <c r="F3150"/>
  <c r="A3151"/>
  <c r="B3151"/>
  <c r="C3151"/>
  <c r="E3151"/>
  <c r="F3151"/>
  <c r="C3152"/>
  <c r="E3152"/>
  <c r="F3152"/>
  <c r="C3153"/>
  <c r="E3153"/>
  <c r="F3153"/>
  <c r="C3154"/>
  <c r="E3154"/>
  <c r="F3154"/>
  <c r="C3155"/>
  <c r="E3155"/>
  <c r="F3155"/>
  <c r="C3156"/>
  <c r="E3156"/>
  <c r="F3156"/>
  <c r="C3157"/>
  <c r="E3157"/>
  <c r="F3157"/>
  <c r="C3158"/>
  <c r="E3158"/>
  <c r="F3158"/>
  <c r="C3159"/>
  <c r="E3159"/>
  <c r="F3159"/>
  <c r="C3160"/>
  <c r="E3160"/>
  <c r="F3160"/>
  <c r="C3161"/>
  <c r="E3161"/>
  <c r="F3161"/>
  <c r="C3162"/>
  <c r="E3162"/>
  <c r="F3162"/>
  <c r="C3163"/>
  <c r="E3163"/>
  <c r="F3163"/>
  <c r="A3164"/>
  <c r="B3164"/>
  <c r="C3164"/>
  <c r="E3164"/>
  <c r="F3164"/>
  <c r="C3165"/>
  <c r="E3165"/>
  <c r="F3165"/>
  <c r="C3166"/>
  <c r="E3166"/>
  <c r="F3166"/>
  <c r="C3167"/>
  <c r="E3167"/>
  <c r="F3167"/>
  <c r="C3168"/>
  <c r="E3168"/>
  <c r="F3168"/>
  <c r="C3169"/>
  <c r="E3169"/>
  <c r="F3169"/>
  <c r="C3170"/>
  <c r="E3170"/>
  <c r="F3170"/>
  <c r="C3171"/>
  <c r="E3171"/>
  <c r="F3171"/>
  <c r="C3172"/>
  <c r="E3172"/>
  <c r="F3172"/>
  <c r="C3173"/>
  <c r="E3173"/>
  <c r="F3173"/>
  <c r="C3174"/>
  <c r="E3174"/>
  <c r="F3174"/>
  <c r="C3175"/>
  <c r="E3175"/>
  <c r="F3175"/>
  <c r="C3176"/>
  <c r="E3176"/>
  <c r="F3176"/>
  <c r="A3177"/>
  <c r="B3177"/>
  <c r="C3177"/>
  <c r="E3177"/>
  <c r="F3177"/>
  <c r="C3178"/>
  <c r="E3178"/>
  <c r="F3178"/>
  <c r="C3179"/>
  <c r="E3179"/>
  <c r="F3179"/>
  <c r="C3180"/>
  <c r="E3180"/>
  <c r="F3180"/>
  <c r="C3181"/>
  <c r="E3181"/>
  <c r="F3181"/>
  <c r="C3182"/>
  <c r="E3182"/>
  <c r="F3182"/>
  <c r="C3183"/>
  <c r="E3183"/>
  <c r="F3183"/>
  <c r="C3184"/>
  <c r="E3184"/>
  <c r="F3184"/>
  <c r="C3185"/>
  <c r="E3185"/>
  <c r="F3185"/>
  <c r="C3186"/>
  <c r="E3186"/>
  <c r="F3186"/>
  <c r="C3187"/>
  <c r="E3187"/>
  <c r="F3187"/>
  <c r="C3188"/>
  <c r="E3188"/>
  <c r="F3188"/>
  <c r="C3189"/>
  <c r="E3189"/>
  <c r="F3189"/>
  <c r="A3190"/>
  <c r="B3190"/>
  <c r="C3190"/>
  <c r="E3190"/>
  <c r="F3190"/>
  <c r="C3191"/>
  <c r="E3191"/>
  <c r="F3191"/>
  <c r="C3192"/>
  <c r="E3192"/>
  <c r="F3192"/>
  <c r="C3193"/>
  <c r="E3193"/>
  <c r="F3193"/>
  <c r="C3194"/>
  <c r="E3194"/>
  <c r="F3194"/>
  <c r="C3195"/>
  <c r="E3195"/>
  <c r="F3195"/>
  <c r="C3196"/>
  <c r="E3196"/>
  <c r="F3196"/>
  <c r="C3197"/>
  <c r="E3197"/>
  <c r="F3197"/>
  <c r="C3198"/>
  <c r="E3198"/>
  <c r="F3198"/>
  <c r="C3199"/>
  <c r="E3199"/>
  <c r="F3199"/>
  <c r="C3200"/>
  <c r="E3200"/>
  <c r="F3200"/>
  <c r="C3201"/>
  <c r="E3201"/>
  <c r="F3201"/>
  <c r="C3202"/>
  <c r="E3202"/>
  <c r="F3202"/>
  <c r="A3203"/>
  <c r="B3203"/>
  <c r="C3203"/>
  <c r="E3203"/>
  <c r="F3203"/>
  <c r="C3204"/>
  <c r="E3204"/>
  <c r="F3204"/>
  <c r="C3205"/>
  <c r="E3205"/>
  <c r="F3205"/>
  <c r="C3206"/>
  <c r="E3206"/>
  <c r="F3206"/>
  <c r="C3207"/>
  <c r="E3207"/>
  <c r="F3207"/>
  <c r="C3208"/>
  <c r="E3208"/>
  <c r="F3208"/>
  <c r="C3209"/>
  <c r="E3209"/>
  <c r="F3209"/>
  <c r="C3210"/>
  <c r="E3210"/>
  <c r="F3210"/>
  <c r="C3211"/>
  <c r="E3211"/>
  <c r="F3211"/>
  <c r="C3212"/>
  <c r="E3212"/>
  <c r="F3212"/>
  <c r="C3213"/>
  <c r="E3213"/>
  <c r="F3213"/>
  <c r="C3214"/>
  <c r="E3214"/>
  <c r="F3214"/>
  <c r="C3215"/>
  <c r="E3215"/>
  <c r="F3215"/>
  <c r="A3216"/>
  <c r="B3216"/>
  <c r="C3216"/>
  <c r="E3216"/>
  <c r="F3216"/>
  <c r="C3217"/>
  <c r="E3217"/>
  <c r="F3217"/>
  <c r="C3218"/>
  <c r="E3218"/>
  <c r="F3218"/>
  <c r="C3219"/>
  <c r="E3219"/>
  <c r="F3219"/>
  <c r="C3220"/>
  <c r="E3220"/>
  <c r="F3220"/>
  <c r="C3221"/>
  <c r="E3221"/>
  <c r="F3221"/>
  <c r="C3222"/>
  <c r="E3222"/>
  <c r="F3222"/>
  <c r="C3223"/>
  <c r="E3223"/>
  <c r="F3223"/>
  <c r="C3224"/>
  <c r="E3224"/>
  <c r="F3224"/>
  <c r="C3225"/>
  <c r="E3225"/>
  <c r="F3225"/>
  <c r="C3226"/>
  <c r="E3226"/>
  <c r="F3226"/>
  <c r="C3227"/>
  <c r="E3227"/>
  <c r="F3227"/>
  <c r="C3228"/>
  <c r="E3228"/>
  <c r="F3228"/>
  <c r="A3229"/>
  <c r="B3229"/>
  <c r="C3229"/>
  <c r="E3229"/>
  <c r="F3229"/>
  <c r="C3230"/>
  <c r="E3230"/>
  <c r="F3230"/>
  <c r="C3231"/>
  <c r="E3231"/>
  <c r="F3231"/>
  <c r="C3232"/>
  <c r="E3232"/>
  <c r="F3232"/>
  <c r="C3233"/>
  <c r="E3233"/>
  <c r="F3233"/>
  <c r="C3234"/>
  <c r="E3234"/>
  <c r="F3234"/>
  <c r="C3235"/>
  <c r="E3235"/>
  <c r="F3235"/>
  <c r="C3236"/>
  <c r="E3236"/>
  <c r="F3236"/>
  <c r="C3237"/>
  <c r="E3237"/>
  <c r="F3237"/>
  <c r="C3238"/>
  <c r="E3238"/>
  <c r="F3238"/>
  <c r="C3239"/>
  <c r="E3239"/>
  <c r="F3239"/>
  <c r="C3240"/>
  <c r="E3240"/>
  <c r="F3240"/>
  <c r="C3241"/>
  <c r="E3241"/>
  <c r="F3241"/>
  <c r="A3242"/>
  <c r="B3242"/>
  <c r="C3242"/>
  <c r="E3242"/>
  <c r="F3242"/>
  <c r="C3243"/>
  <c r="E3243"/>
  <c r="F3243"/>
  <c r="C3244"/>
  <c r="E3244"/>
  <c r="F3244"/>
  <c r="C3245"/>
  <c r="E3245"/>
  <c r="F3245"/>
  <c r="C3246"/>
  <c r="E3246"/>
  <c r="F3246"/>
  <c r="C3247"/>
  <c r="E3247"/>
  <c r="F3247"/>
  <c r="C3248"/>
  <c r="E3248"/>
  <c r="F3248"/>
  <c r="C3249"/>
  <c r="E3249"/>
  <c r="F3249"/>
  <c r="C3250"/>
  <c r="E3250"/>
  <c r="F3250"/>
  <c r="C3251"/>
  <c r="E3251"/>
  <c r="F3251"/>
  <c r="C3252"/>
  <c r="E3252"/>
  <c r="F3252"/>
  <c r="C3253"/>
  <c r="E3253"/>
  <c r="F3253"/>
  <c r="C3254"/>
  <c r="E3254"/>
  <c r="F3254"/>
  <c r="A3255"/>
  <c r="B3255"/>
  <c r="C3255"/>
  <c r="E3255"/>
  <c r="F3255"/>
  <c r="C3256"/>
  <c r="E3256"/>
  <c r="F3256"/>
  <c r="C3257"/>
  <c r="E3257"/>
  <c r="F3257"/>
  <c r="C3258"/>
  <c r="E3258"/>
  <c r="F3258"/>
  <c r="C3259"/>
  <c r="E3259"/>
  <c r="F3259"/>
  <c r="C3260"/>
  <c r="E3260"/>
  <c r="F3260"/>
  <c r="C3261"/>
  <c r="E3261"/>
  <c r="F3261"/>
  <c r="C3262"/>
  <c r="E3262"/>
  <c r="F3262"/>
  <c r="C3263"/>
  <c r="E3263"/>
  <c r="F3263"/>
  <c r="C3264"/>
  <c r="E3264"/>
  <c r="F3264"/>
  <c r="C3265"/>
  <c r="E3265"/>
  <c r="F3265"/>
  <c r="C3266"/>
  <c r="E3266"/>
  <c r="F3266"/>
  <c r="C3267"/>
  <c r="E3267"/>
  <c r="F3267"/>
  <c r="A3268"/>
  <c r="B3268"/>
  <c r="C3268"/>
  <c r="E3268"/>
  <c r="F3268"/>
  <c r="C3269"/>
  <c r="E3269"/>
  <c r="F3269"/>
  <c r="C3270"/>
  <c r="E3270"/>
  <c r="F3270"/>
  <c r="C3271"/>
  <c r="E3271"/>
  <c r="F3271"/>
  <c r="C3272"/>
  <c r="E3272"/>
  <c r="F3272"/>
  <c r="C3273"/>
  <c r="E3273"/>
  <c r="F3273"/>
  <c r="C3274"/>
  <c r="E3274"/>
  <c r="F3274"/>
  <c r="C3275"/>
  <c r="E3275"/>
  <c r="F3275"/>
  <c r="C3276"/>
  <c r="E3276"/>
  <c r="F3276"/>
  <c r="C3277"/>
  <c r="E3277"/>
  <c r="F3277"/>
  <c r="C3278"/>
  <c r="E3278"/>
  <c r="F3278"/>
  <c r="C3279"/>
  <c r="E3279"/>
  <c r="F3279"/>
  <c r="C3280"/>
  <c r="E3280"/>
  <c r="F3280"/>
  <c r="A3281"/>
  <c r="B3281"/>
  <c r="C3281"/>
  <c r="E3281"/>
  <c r="F3281"/>
  <c r="C3282"/>
  <c r="E3282"/>
  <c r="F3282"/>
  <c r="C3283"/>
  <c r="E3283"/>
  <c r="F3283"/>
  <c r="C3284"/>
  <c r="E3284"/>
  <c r="F3284"/>
  <c r="C3285"/>
  <c r="E3285"/>
  <c r="F3285"/>
  <c r="C3286"/>
  <c r="E3286"/>
  <c r="F3286"/>
  <c r="C3287"/>
  <c r="E3287"/>
  <c r="F3287"/>
  <c r="C3288"/>
  <c r="E3288"/>
  <c r="F3288"/>
  <c r="C3289"/>
  <c r="E3289"/>
  <c r="F3289"/>
  <c r="C3290"/>
  <c r="E3290"/>
  <c r="F3290"/>
  <c r="C3291"/>
  <c r="E3291"/>
  <c r="F3291"/>
  <c r="C3292"/>
  <c r="E3292"/>
  <c r="F3292"/>
  <c r="C3293"/>
  <c r="E3293"/>
  <c r="F3293"/>
  <c r="A3294"/>
  <c r="B3294"/>
  <c r="C3294"/>
  <c r="E3294"/>
  <c r="F3294"/>
  <c r="C3295"/>
  <c r="E3295"/>
  <c r="F3295"/>
  <c r="C3296"/>
  <c r="E3296"/>
  <c r="F3296"/>
  <c r="C3297"/>
  <c r="E3297"/>
  <c r="F3297"/>
  <c r="C3298"/>
  <c r="E3298"/>
  <c r="F3298"/>
  <c r="C3299"/>
  <c r="E3299"/>
  <c r="F3299"/>
  <c r="C3300"/>
  <c r="E3300"/>
  <c r="F3300"/>
  <c r="C3301"/>
  <c r="E3301"/>
  <c r="F3301"/>
  <c r="C3302"/>
  <c r="E3302"/>
  <c r="F3302"/>
  <c r="C3303"/>
  <c r="E3303"/>
  <c r="F3303"/>
  <c r="C3304"/>
  <c r="E3304"/>
  <c r="F3304"/>
  <c r="C3305"/>
  <c r="E3305"/>
  <c r="F3305"/>
  <c r="C3306"/>
  <c r="E3306"/>
  <c r="F3306"/>
  <c r="A3307"/>
  <c r="B3307"/>
  <c r="C3307"/>
  <c r="E3307"/>
  <c r="F3307"/>
  <c r="C3308"/>
  <c r="E3308"/>
  <c r="F3308"/>
  <c r="C3309"/>
  <c r="E3309"/>
  <c r="F3309"/>
  <c r="C3310"/>
  <c r="E3310"/>
  <c r="F3310"/>
  <c r="C3311"/>
  <c r="E3311"/>
  <c r="F3311"/>
  <c r="C3312"/>
  <c r="E3312"/>
  <c r="F3312"/>
  <c r="C3313"/>
  <c r="E3313"/>
  <c r="F3313"/>
  <c r="C3314"/>
  <c r="E3314"/>
  <c r="F3314"/>
  <c r="C3315"/>
  <c r="E3315"/>
  <c r="F3315"/>
  <c r="C3316"/>
  <c r="E3316"/>
  <c r="F3316"/>
  <c r="C3317"/>
  <c r="E3317"/>
  <c r="F3317"/>
  <c r="C3318"/>
  <c r="E3318"/>
  <c r="F3318"/>
  <c r="C3319"/>
  <c r="E3319"/>
  <c r="F3319"/>
  <c r="A3320"/>
  <c r="B3320"/>
  <c r="C3320"/>
  <c r="E3320"/>
  <c r="F3320"/>
  <c r="C3321"/>
  <c r="E3321"/>
  <c r="F3321"/>
  <c r="C3322"/>
  <c r="E3322"/>
  <c r="F3322"/>
  <c r="C3323"/>
  <c r="E3323"/>
  <c r="F3323"/>
  <c r="C3324"/>
  <c r="E3324"/>
  <c r="F3324"/>
  <c r="C3325"/>
  <c r="E3325"/>
  <c r="F3325"/>
  <c r="C3326"/>
  <c r="E3326"/>
  <c r="F3326"/>
  <c r="C3327"/>
  <c r="E3327"/>
  <c r="F3327"/>
  <c r="C3328"/>
  <c r="E3328"/>
  <c r="F3328"/>
  <c r="C3329"/>
  <c r="E3329"/>
  <c r="F3329"/>
  <c r="C3330"/>
  <c r="E3330"/>
  <c r="F3330"/>
  <c r="C3331"/>
  <c r="E3331"/>
  <c r="F3331"/>
  <c r="C3332"/>
  <c r="E3332"/>
  <c r="F3332"/>
  <c r="A3333"/>
  <c r="B3333"/>
  <c r="C3333"/>
  <c r="E3333"/>
  <c r="F3333"/>
  <c r="C3334"/>
  <c r="E3334"/>
  <c r="F3334"/>
  <c r="C3335"/>
  <c r="E3335"/>
  <c r="F3335"/>
  <c r="C3336"/>
  <c r="E3336"/>
  <c r="F3336"/>
  <c r="C3337"/>
  <c r="E3337"/>
  <c r="F3337"/>
  <c r="C3338"/>
  <c r="E3338"/>
  <c r="F3338"/>
  <c r="C3339"/>
  <c r="E3339"/>
  <c r="F3339"/>
  <c r="C3340"/>
  <c r="E3340"/>
  <c r="F3340"/>
  <c r="C3341"/>
  <c r="E3341"/>
  <c r="F3341"/>
  <c r="C3342"/>
  <c r="E3342"/>
  <c r="F3342"/>
  <c r="C3343"/>
  <c r="E3343"/>
  <c r="F3343"/>
  <c r="C3344"/>
  <c r="E3344"/>
  <c r="F3344"/>
  <c r="C3345"/>
  <c r="E3345"/>
  <c r="F3345"/>
  <c r="A3346"/>
  <c r="B3346"/>
  <c r="C3346"/>
  <c r="E3346"/>
  <c r="F3346"/>
  <c r="C3347"/>
  <c r="E3347"/>
  <c r="F3347"/>
  <c r="C3348"/>
  <c r="E3348"/>
  <c r="F3348"/>
  <c r="C3349"/>
  <c r="E3349"/>
  <c r="F3349"/>
  <c r="C3350"/>
  <c r="E3350"/>
  <c r="F3350"/>
  <c r="C3351"/>
  <c r="E3351"/>
  <c r="F3351"/>
  <c r="C3352"/>
  <c r="E3352"/>
  <c r="F3352"/>
  <c r="C3353"/>
  <c r="E3353"/>
  <c r="F3353"/>
  <c r="C3354"/>
  <c r="E3354"/>
  <c r="F3354"/>
  <c r="C3355"/>
  <c r="E3355"/>
  <c r="F3355"/>
  <c r="C3356"/>
  <c r="E3356"/>
  <c r="F3356"/>
  <c r="C3357"/>
  <c r="E3357"/>
  <c r="F3357"/>
  <c r="C3358"/>
  <c r="E3358"/>
  <c r="F3358"/>
  <c r="A3359"/>
  <c r="B3359"/>
  <c r="C3359"/>
  <c r="E3359"/>
  <c r="F3359"/>
  <c r="C3360"/>
  <c r="E3360"/>
  <c r="F3360"/>
  <c r="C3361"/>
  <c r="E3361"/>
  <c r="F3361"/>
  <c r="C3362"/>
  <c r="E3362"/>
  <c r="F3362"/>
  <c r="C3363"/>
  <c r="E3363"/>
  <c r="F3363"/>
  <c r="C3364"/>
  <c r="E3364"/>
  <c r="F3364"/>
  <c r="C3365"/>
  <c r="E3365"/>
  <c r="F3365"/>
  <c r="C3366"/>
  <c r="E3366"/>
  <c r="F3366"/>
  <c r="C3367"/>
  <c r="E3367"/>
  <c r="F3367"/>
  <c r="C3368"/>
  <c r="E3368"/>
  <c r="F3368"/>
  <c r="C3369"/>
  <c r="E3369"/>
  <c r="F3369"/>
  <c r="C3370"/>
  <c r="E3370"/>
  <c r="F3370"/>
  <c r="C3371"/>
  <c r="E3371"/>
  <c r="F3371"/>
  <c r="A3372"/>
  <c r="B3372"/>
  <c r="C3372"/>
  <c r="E3372"/>
  <c r="F3372"/>
  <c r="C3373"/>
  <c r="E3373"/>
  <c r="F3373"/>
  <c r="C3374"/>
  <c r="E3374"/>
  <c r="F3374"/>
  <c r="C3375"/>
  <c r="E3375"/>
  <c r="F3375"/>
  <c r="C3376"/>
  <c r="E3376"/>
  <c r="F3376"/>
  <c r="C3377"/>
  <c r="E3377"/>
  <c r="F3377"/>
  <c r="C3378"/>
  <c r="E3378"/>
  <c r="F3378"/>
  <c r="C3379"/>
  <c r="E3379"/>
  <c r="F3379"/>
  <c r="C3380"/>
  <c r="E3380"/>
  <c r="F3380"/>
  <c r="C3381"/>
  <c r="E3381"/>
  <c r="F3381"/>
  <c r="C3382"/>
  <c r="E3382"/>
  <c r="F3382"/>
  <c r="C3383"/>
  <c r="E3383"/>
  <c r="F3383"/>
  <c r="C3384"/>
  <c r="E3384"/>
  <c r="F3384"/>
  <c r="A3385"/>
  <c r="B3385"/>
  <c r="C3385"/>
  <c r="E3385"/>
  <c r="F3385"/>
  <c r="C3386"/>
  <c r="E3386"/>
  <c r="F3386"/>
  <c r="C3387"/>
  <c r="E3387"/>
  <c r="F3387"/>
  <c r="C3388"/>
  <c r="E3388"/>
  <c r="F3388"/>
  <c r="C3389"/>
  <c r="E3389"/>
  <c r="F3389"/>
  <c r="C3390"/>
  <c r="E3390"/>
  <c r="F3390"/>
  <c r="C3391"/>
  <c r="E3391"/>
  <c r="F3391"/>
  <c r="C3392"/>
  <c r="E3392"/>
  <c r="F3392"/>
  <c r="C3393"/>
  <c r="E3393"/>
  <c r="F3393"/>
  <c r="C3394"/>
  <c r="E3394"/>
  <c r="F3394"/>
  <c r="C3395"/>
  <c r="E3395"/>
  <c r="F3395"/>
  <c r="C3396"/>
  <c r="E3396"/>
  <c r="F3396"/>
  <c r="C3397"/>
  <c r="E3397"/>
  <c r="F3397"/>
  <c r="A3398"/>
  <c r="B3398"/>
  <c r="C3398"/>
  <c r="E3398"/>
  <c r="F3398"/>
  <c r="C3399"/>
  <c r="E3399"/>
  <c r="F3399"/>
  <c r="C3400"/>
  <c r="E3400"/>
  <c r="F3400"/>
  <c r="C3401"/>
  <c r="E3401"/>
  <c r="F3401"/>
  <c r="C3402"/>
  <c r="E3402"/>
  <c r="F3402"/>
  <c r="C3403"/>
  <c r="E3403"/>
  <c r="F3403"/>
  <c r="C3404"/>
  <c r="E3404"/>
  <c r="F3404"/>
  <c r="C3405"/>
  <c r="E3405"/>
  <c r="F3405"/>
  <c r="C3406"/>
  <c r="E3406"/>
  <c r="F3406"/>
  <c r="C3407"/>
  <c r="E3407"/>
  <c r="F3407"/>
  <c r="C3408"/>
  <c r="E3408"/>
  <c r="F3408"/>
  <c r="C3409"/>
  <c r="E3409"/>
  <c r="F3409"/>
  <c r="C3410"/>
  <c r="E3410"/>
  <c r="F3410"/>
  <c r="A3411"/>
  <c r="B3411"/>
  <c r="C3411"/>
  <c r="E3411"/>
  <c r="F3411"/>
  <c r="C3412"/>
  <c r="E3412"/>
  <c r="F3412"/>
  <c r="C3413"/>
  <c r="E3413"/>
  <c r="F3413"/>
  <c r="C3414"/>
  <c r="E3414"/>
  <c r="F3414"/>
  <c r="C3415"/>
  <c r="E3415"/>
  <c r="F3415"/>
  <c r="C3416"/>
  <c r="E3416"/>
  <c r="F3416"/>
  <c r="C3417"/>
  <c r="E3417"/>
  <c r="F3417"/>
  <c r="C3418"/>
  <c r="E3418"/>
  <c r="F3418"/>
  <c r="C3419"/>
  <c r="E3419"/>
  <c r="F3419"/>
  <c r="C3420"/>
  <c r="E3420"/>
  <c r="F3420"/>
  <c r="C3421"/>
  <c r="E3421"/>
  <c r="F3421"/>
  <c r="C3422"/>
  <c r="E3422"/>
  <c r="F3422"/>
  <c r="C3423"/>
  <c r="E3423"/>
  <c r="F3423"/>
  <c r="A3424"/>
  <c r="B3424"/>
  <c r="C3424"/>
  <c r="E3424"/>
  <c r="F3424"/>
  <c r="C3425"/>
  <c r="E3425"/>
  <c r="F3425"/>
  <c r="C3426"/>
  <c r="E3426"/>
  <c r="F3426"/>
  <c r="C3427"/>
  <c r="E3427"/>
  <c r="F3427"/>
  <c r="C3428"/>
  <c r="E3428"/>
  <c r="F3428"/>
  <c r="C3429"/>
  <c r="E3429"/>
  <c r="F3429"/>
  <c r="C3430"/>
  <c r="E3430"/>
  <c r="F3430"/>
  <c r="C3431"/>
  <c r="E3431"/>
  <c r="F3431"/>
  <c r="C3432"/>
  <c r="E3432"/>
  <c r="F3432"/>
  <c r="C3433"/>
  <c r="E3433"/>
  <c r="F3433"/>
  <c r="C3434"/>
  <c r="E3434"/>
  <c r="F3434"/>
  <c r="C3435"/>
  <c r="E3435"/>
  <c r="F3435"/>
  <c r="C3436"/>
  <c r="E3436"/>
  <c r="F3436"/>
  <c r="A3437"/>
  <c r="B3437"/>
  <c r="C3437"/>
  <c r="E3437"/>
  <c r="F3437"/>
  <c r="C3438"/>
  <c r="E3438"/>
  <c r="F3438"/>
  <c r="C3439"/>
  <c r="E3439"/>
  <c r="F3439"/>
  <c r="C3440"/>
  <c r="E3440"/>
  <c r="F3440"/>
  <c r="C3441"/>
  <c r="E3441"/>
  <c r="F3441"/>
  <c r="C3442"/>
  <c r="E3442"/>
  <c r="F3442"/>
  <c r="C3443"/>
  <c r="E3443"/>
  <c r="F3443"/>
  <c r="C3444"/>
  <c r="E3444"/>
  <c r="F3444"/>
  <c r="C3445"/>
  <c r="E3445"/>
  <c r="F3445"/>
  <c r="C3446"/>
  <c r="E3446"/>
  <c r="F3446"/>
  <c r="C3447"/>
  <c r="E3447"/>
  <c r="F3447"/>
  <c r="C3448"/>
  <c r="E3448"/>
  <c r="F3448"/>
  <c r="C3449"/>
  <c r="E3449"/>
  <c r="F3449"/>
  <c r="A3450"/>
  <c r="B3450"/>
  <c r="C3450"/>
  <c r="E3450"/>
  <c r="F3450"/>
  <c r="C3451"/>
  <c r="E3451"/>
  <c r="F3451"/>
  <c r="C3452"/>
  <c r="E3452"/>
  <c r="F3452"/>
  <c r="C3453"/>
  <c r="E3453"/>
  <c r="F3453"/>
  <c r="C3454"/>
  <c r="E3454"/>
  <c r="F3454"/>
  <c r="C3455"/>
  <c r="E3455"/>
  <c r="F3455"/>
  <c r="C3456"/>
  <c r="E3456"/>
  <c r="F3456"/>
  <c r="C3457"/>
  <c r="E3457"/>
  <c r="F3457"/>
  <c r="C3458"/>
  <c r="E3458"/>
  <c r="F3458"/>
  <c r="C3459"/>
  <c r="E3459"/>
  <c r="F3459"/>
  <c r="C3460"/>
  <c r="E3460"/>
  <c r="F3460"/>
  <c r="C3461"/>
  <c r="E3461"/>
  <c r="F3461"/>
  <c r="C3462"/>
  <c r="E3462"/>
  <c r="F3462"/>
  <c r="A3463"/>
  <c r="B3463"/>
  <c r="C3463"/>
  <c r="E3463"/>
  <c r="F3463"/>
  <c r="C3464"/>
  <c r="E3464"/>
  <c r="F3464"/>
  <c r="C3465"/>
  <c r="E3465"/>
  <c r="F3465"/>
  <c r="C3466"/>
  <c r="E3466"/>
  <c r="F3466"/>
  <c r="C3467"/>
  <c r="E3467"/>
  <c r="F3467"/>
  <c r="C3468"/>
  <c r="E3468"/>
  <c r="F3468"/>
  <c r="C3469"/>
  <c r="E3469"/>
  <c r="F3469"/>
  <c r="C3470"/>
  <c r="E3470"/>
  <c r="F3470"/>
  <c r="C3471"/>
  <c r="E3471"/>
  <c r="F3471"/>
  <c r="C3472"/>
  <c r="E3472"/>
  <c r="F3472"/>
  <c r="C3473"/>
  <c r="E3473"/>
  <c r="F3473"/>
  <c r="C3474"/>
  <c r="E3474"/>
  <c r="F3474"/>
  <c r="C3475"/>
  <c r="E3475"/>
  <c r="F3475"/>
  <c r="A3476"/>
  <c r="B3476"/>
  <c r="C3476"/>
  <c r="E3476"/>
  <c r="F3476"/>
  <c r="C3477"/>
  <c r="E3477"/>
  <c r="F3477"/>
  <c r="C3478"/>
  <c r="E3478"/>
  <c r="F3478"/>
  <c r="C3479"/>
  <c r="E3479"/>
  <c r="F3479"/>
  <c r="C3480"/>
  <c r="E3480"/>
  <c r="F3480"/>
  <c r="C3481"/>
  <c r="E3481"/>
  <c r="F3481"/>
  <c r="C3482"/>
  <c r="E3482"/>
  <c r="F3482"/>
  <c r="C3483"/>
  <c r="E3483"/>
  <c r="F3483"/>
  <c r="C3484"/>
  <c r="E3484"/>
  <c r="F3484"/>
  <c r="C3485"/>
  <c r="E3485"/>
  <c r="F3485"/>
  <c r="C3486"/>
  <c r="E3486"/>
  <c r="F3486"/>
  <c r="C3487"/>
  <c r="E3487"/>
  <c r="F3487"/>
  <c r="C3488"/>
  <c r="E3488"/>
  <c r="F3488"/>
  <c r="A3489"/>
  <c r="B3489"/>
  <c r="C3489"/>
  <c r="E3489"/>
  <c r="F3489"/>
  <c r="C3490"/>
  <c r="E3490"/>
  <c r="F3490"/>
  <c r="C3491"/>
  <c r="E3491"/>
  <c r="F3491"/>
  <c r="C3492"/>
  <c r="E3492"/>
  <c r="F3492"/>
  <c r="C3493"/>
  <c r="E3493"/>
  <c r="F3493"/>
  <c r="C3494"/>
  <c r="E3494"/>
  <c r="F3494"/>
  <c r="C3495"/>
  <c r="E3495"/>
  <c r="F3495"/>
  <c r="C3496"/>
  <c r="E3496"/>
  <c r="F3496"/>
  <c r="C3497"/>
  <c r="E3497"/>
  <c r="F3497"/>
  <c r="C3498"/>
  <c r="E3498"/>
  <c r="F3498"/>
  <c r="C3499"/>
  <c r="E3499"/>
  <c r="F3499"/>
  <c r="C3500"/>
  <c r="E3500"/>
  <c r="F3500"/>
  <c r="C3501"/>
  <c r="E3501"/>
  <c r="F3501"/>
  <c r="A3502"/>
  <c r="B3502"/>
  <c r="C3502"/>
  <c r="E3502"/>
  <c r="F3502"/>
  <c r="C3503"/>
  <c r="E3503"/>
  <c r="F3503"/>
  <c r="C3504"/>
  <c r="E3504"/>
  <c r="F3504"/>
  <c r="C3505"/>
  <c r="E3505"/>
  <c r="F3505"/>
  <c r="C3506"/>
  <c r="E3506"/>
  <c r="F3506"/>
  <c r="C3507"/>
  <c r="E3507"/>
  <c r="F3507"/>
  <c r="C3508"/>
  <c r="E3508"/>
  <c r="F3508"/>
  <c r="C3509"/>
  <c r="E3509"/>
  <c r="F3509"/>
  <c r="C3510"/>
  <c r="E3510"/>
  <c r="F3510"/>
  <c r="C3511"/>
  <c r="E3511"/>
  <c r="F3511"/>
  <c r="C3512"/>
  <c r="E3512"/>
  <c r="F3512"/>
  <c r="C3513"/>
  <c r="E3513"/>
  <c r="F3513"/>
  <c r="C3514"/>
  <c r="E3514"/>
  <c r="F3514"/>
  <c r="A3515"/>
  <c r="B3515"/>
  <c r="C3515"/>
  <c r="E3515"/>
  <c r="F3515"/>
  <c r="C3516"/>
  <c r="E3516"/>
  <c r="F3516"/>
  <c r="C3517"/>
  <c r="E3517"/>
  <c r="F3517"/>
  <c r="C3518"/>
  <c r="E3518"/>
  <c r="F3518"/>
  <c r="C3519"/>
  <c r="E3519"/>
  <c r="F3519"/>
  <c r="C3520"/>
  <c r="E3520"/>
  <c r="F3520"/>
  <c r="C3521"/>
  <c r="E3521"/>
  <c r="F3521"/>
  <c r="C3522"/>
  <c r="E3522"/>
  <c r="F3522"/>
  <c r="C3523"/>
  <c r="E3523"/>
  <c r="F3523"/>
  <c r="C3524"/>
  <c r="E3524"/>
  <c r="F3524"/>
  <c r="C3525"/>
  <c r="E3525"/>
  <c r="F3525"/>
  <c r="C3526"/>
  <c r="E3526"/>
  <c r="F3526"/>
  <c r="C3527"/>
  <c r="E3527"/>
  <c r="F3527"/>
  <c r="A3528"/>
  <c r="B3528"/>
  <c r="C3528"/>
  <c r="E3528"/>
  <c r="F3528"/>
  <c r="C3529"/>
  <c r="E3529"/>
  <c r="F3529"/>
  <c r="C3530"/>
  <c r="E3530"/>
  <c r="F3530"/>
  <c r="C3531"/>
  <c r="E3531"/>
  <c r="F3531"/>
  <c r="C3532"/>
  <c r="E3532"/>
  <c r="F3532"/>
  <c r="C3533"/>
  <c r="E3533"/>
  <c r="F3533"/>
  <c r="C3534"/>
  <c r="E3534"/>
  <c r="F3534"/>
  <c r="C3535"/>
  <c r="E3535"/>
  <c r="F3535"/>
  <c r="C3536"/>
  <c r="E3536"/>
  <c r="F3536"/>
  <c r="C3537"/>
  <c r="E3537"/>
  <c r="F3537"/>
  <c r="C3538"/>
  <c r="E3538"/>
  <c r="F3538"/>
  <c r="C3539"/>
  <c r="E3539"/>
  <c r="F3539"/>
  <c r="C3540"/>
  <c r="E3540"/>
  <c r="F3540"/>
  <c r="A3541"/>
  <c r="B3541"/>
  <c r="C3541"/>
  <c r="E3541"/>
  <c r="F3541"/>
  <c r="C3542"/>
  <c r="E3542"/>
  <c r="F3542"/>
  <c r="C3543"/>
  <c r="E3543"/>
  <c r="F3543"/>
  <c r="C3544"/>
  <c r="E3544"/>
  <c r="F3544"/>
  <c r="C3545"/>
  <c r="E3545"/>
  <c r="F3545"/>
  <c r="C3546"/>
  <c r="E3546"/>
  <c r="F3546"/>
  <c r="C3547"/>
  <c r="E3547"/>
  <c r="F3547"/>
  <c r="C3548"/>
  <c r="E3548"/>
  <c r="F3548"/>
  <c r="C3549"/>
  <c r="E3549"/>
  <c r="F3549"/>
  <c r="C3550"/>
  <c r="E3550"/>
  <c r="F3550"/>
  <c r="C3551"/>
  <c r="E3551"/>
  <c r="F3551"/>
  <c r="C3552"/>
  <c r="E3552"/>
  <c r="F3552"/>
  <c r="C3553"/>
  <c r="E3553"/>
  <c r="F3553"/>
  <c r="A3554"/>
  <c r="B3554"/>
  <c r="C3554"/>
  <c r="E3554"/>
  <c r="F3554"/>
  <c r="C3555"/>
  <c r="E3555"/>
  <c r="F3555"/>
  <c r="C3556"/>
  <c r="E3556"/>
  <c r="F3556"/>
  <c r="C3557"/>
  <c r="E3557"/>
  <c r="F3557"/>
  <c r="C3558"/>
  <c r="E3558"/>
  <c r="F3558"/>
  <c r="C3559"/>
  <c r="E3559"/>
  <c r="F3559"/>
  <c r="C3560"/>
  <c r="E3560"/>
  <c r="F3560"/>
  <c r="C3561"/>
  <c r="E3561"/>
  <c r="F3561"/>
  <c r="C3562"/>
  <c r="E3562"/>
  <c r="F3562"/>
  <c r="C3563"/>
  <c r="E3563"/>
  <c r="F3563"/>
  <c r="C3564"/>
  <c r="E3564"/>
  <c r="F3564"/>
  <c r="C3565"/>
  <c r="E3565"/>
  <c r="F3565"/>
  <c r="C3566"/>
  <c r="E3566"/>
  <c r="F3566"/>
  <c r="A3567"/>
  <c r="B3567"/>
  <c r="C3567"/>
  <c r="E3567"/>
  <c r="F3567"/>
  <c r="C3568"/>
  <c r="E3568"/>
  <c r="F3568"/>
  <c r="C3569"/>
  <c r="E3569"/>
  <c r="F3569"/>
  <c r="C3570"/>
  <c r="E3570"/>
  <c r="F3570"/>
  <c r="C3571"/>
  <c r="E3571"/>
  <c r="F3571"/>
  <c r="C3572"/>
  <c r="E3572"/>
  <c r="F3572"/>
  <c r="C3573"/>
  <c r="E3573"/>
  <c r="F3573"/>
  <c r="C3574"/>
  <c r="E3574"/>
  <c r="F3574"/>
  <c r="C3575"/>
  <c r="E3575"/>
  <c r="F3575"/>
  <c r="C3576"/>
  <c r="E3576"/>
  <c r="F3576"/>
  <c r="C3577"/>
  <c r="E3577"/>
  <c r="F3577"/>
  <c r="C3578"/>
  <c r="E3578"/>
  <c r="F3578"/>
  <c r="C3579"/>
  <c r="E3579"/>
  <c r="F3579"/>
  <c r="A3580"/>
  <c r="B3580"/>
  <c r="C3580"/>
  <c r="E3580"/>
  <c r="F3580"/>
  <c r="C3581"/>
  <c r="E3581"/>
  <c r="F3581"/>
  <c r="C3582"/>
  <c r="E3582"/>
  <c r="F3582"/>
  <c r="C3583"/>
  <c r="E3583"/>
  <c r="F3583"/>
  <c r="C3584"/>
  <c r="E3584"/>
  <c r="F3584"/>
  <c r="C3585"/>
  <c r="E3585"/>
  <c r="F3585"/>
  <c r="C3586"/>
  <c r="E3586"/>
  <c r="F3586"/>
  <c r="C3587"/>
  <c r="E3587"/>
  <c r="F3587"/>
  <c r="C3588"/>
  <c r="E3588"/>
  <c r="F3588"/>
  <c r="C3589"/>
  <c r="E3589"/>
  <c r="F3589"/>
  <c r="C3590"/>
  <c r="E3590"/>
  <c r="F3590"/>
  <c r="C3591"/>
  <c r="E3591"/>
  <c r="F3591"/>
  <c r="C3592"/>
  <c r="E3592"/>
  <c r="F3592"/>
  <c r="A3593"/>
  <c r="B3593"/>
  <c r="C3593"/>
  <c r="E3593"/>
  <c r="F3593"/>
  <c r="C3594"/>
  <c r="E3594"/>
  <c r="F3594"/>
  <c r="C3595"/>
  <c r="E3595"/>
  <c r="F3595"/>
  <c r="C3596"/>
  <c r="E3596"/>
  <c r="F3596"/>
  <c r="C3597"/>
  <c r="E3597"/>
  <c r="F3597"/>
  <c r="C3598"/>
  <c r="E3598"/>
  <c r="F3598"/>
  <c r="C3599"/>
  <c r="E3599"/>
  <c r="F3599"/>
  <c r="C3600"/>
  <c r="E3600"/>
  <c r="F3600"/>
  <c r="C3601"/>
  <c r="E3601"/>
  <c r="F3601"/>
  <c r="C3602"/>
  <c r="E3602"/>
  <c r="F3602"/>
  <c r="C3603"/>
  <c r="E3603"/>
  <c r="F3603"/>
  <c r="C3604"/>
  <c r="E3604"/>
  <c r="F3604"/>
  <c r="C3605"/>
  <c r="E3605"/>
  <c r="F3605"/>
  <c r="A3606"/>
  <c r="B3606"/>
  <c r="C3606"/>
  <c r="E3606"/>
  <c r="F3606"/>
  <c r="C3607"/>
  <c r="E3607"/>
  <c r="F3607"/>
  <c r="C3608"/>
  <c r="E3608"/>
  <c r="F3608"/>
  <c r="C3609"/>
  <c r="E3609"/>
  <c r="F3609"/>
  <c r="C3610"/>
  <c r="E3610"/>
  <c r="F3610"/>
  <c r="C3611"/>
  <c r="E3611"/>
  <c r="F3611"/>
  <c r="C3612"/>
  <c r="E3612"/>
  <c r="F3612"/>
  <c r="C3613"/>
  <c r="E3613"/>
  <c r="F3613"/>
  <c r="C3614"/>
  <c r="E3614"/>
  <c r="F3614"/>
  <c r="C3615"/>
  <c r="E3615"/>
  <c r="F3615"/>
  <c r="C3616"/>
  <c r="E3616"/>
  <c r="F3616"/>
  <c r="C3617"/>
  <c r="E3617"/>
  <c r="F3617"/>
  <c r="C3618"/>
  <c r="E3618"/>
  <c r="F3618"/>
  <c r="A3619"/>
  <c r="B3619"/>
  <c r="C3619"/>
  <c r="E3619"/>
  <c r="F3619"/>
  <c r="C3620"/>
  <c r="E3620"/>
  <c r="F3620"/>
  <c r="C3621"/>
  <c r="E3621"/>
  <c r="F3621"/>
  <c r="C3622"/>
  <c r="E3622"/>
  <c r="F3622"/>
  <c r="C3623"/>
  <c r="E3623"/>
  <c r="F3623"/>
  <c r="C3624"/>
  <c r="E3624"/>
  <c r="F3624"/>
  <c r="C3625"/>
  <c r="E3625"/>
  <c r="F3625"/>
  <c r="C3626"/>
  <c r="E3626"/>
  <c r="F3626"/>
  <c r="C3627"/>
  <c r="E3627"/>
  <c r="F3627"/>
  <c r="C3628"/>
  <c r="E3628"/>
  <c r="F3628"/>
  <c r="C3629"/>
  <c r="E3629"/>
  <c r="F3629"/>
  <c r="C3630"/>
  <c r="E3630"/>
  <c r="F3630"/>
  <c r="C3631"/>
  <c r="E3631"/>
  <c r="F3631"/>
  <c r="A3632"/>
  <c r="B3632"/>
  <c r="C3632"/>
  <c r="E3632"/>
  <c r="F3632"/>
  <c r="C3633"/>
  <c r="E3633"/>
  <c r="F3633"/>
  <c r="C3634"/>
  <c r="E3634"/>
  <c r="F3634"/>
  <c r="C3635"/>
  <c r="E3635"/>
  <c r="F3635"/>
  <c r="C3636"/>
  <c r="E3636"/>
  <c r="F3636"/>
  <c r="C3637"/>
  <c r="E3637"/>
  <c r="F3637"/>
  <c r="C3638"/>
  <c r="E3638"/>
  <c r="F3638"/>
  <c r="C3639"/>
  <c r="E3639"/>
  <c r="F3639"/>
  <c r="C3640"/>
  <c r="E3640"/>
  <c r="F3640"/>
  <c r="C3641"/>
  <c r="E3641"/>
  <c r="F3641"/>
  <c r="C3642"/>
  <c r="E3642"/>
  <c r="F3642"/>
  <c r="C3643"/>
  <c r="E3643"/>
  <c r="F3643"/>
  <c r="C3644"/>
  <c r="E3644"/>
  <c r="F3644"/>
  <c r="A3645"/>
  <c r="B3645"/>
  <c r="C3645"/>
  <c r="E3645"/>
  <c r="F3645"/>
  <c r="C3646"/>
  <c r="E3646"/>
  <c r="F3646"/>
  <c r="C3647"/>
  <c r="E3647"/>
  <c r="F3647"/>
  <c r="C3648"/>
  <c r="E3648"/>
  <c r="F3648"/>
  <c r="C3649"/>
  <c r="E3649"/>
  <c r="F3649"/>
  <c r="C3650"/>
  <c r="E3650"/>
  <c r="F3650"/>
  <c r="C3651"/>
  <c r="E3651"/>
  <c r="F3651"/>
  <c r="C3652"/>
  <c r="E3652"/>
  <c r="F3652"/>
  <c r="C3653"/>
  <c r="E3653"/>
  <c r="F3653"/>
  <c r="C3654"/>
  <c r="E3654"/>
  <c r="F3654"/>
  <c r="C3655"/>
  <c r="E3655"/>
  <c r="F3655"/>
  <c r="C3656"/>
  <c r="E3656"/>
  <c r="F3656"/>
  <c r="C3657"/>
  <c r="E3657"/>
  <c r="F3657"/>
  <c r="A3658"/>
  <c r="B3658"/>
  <c r="C3658"/>
  <c r="E3658"/>
  <c r="F3658"/>
  <c r="C3659"/>
  <c r="E3659"/>
  <c r="F3659"/>
  <c r="C3660"/>
  <c r="E3660"/>
  <c r="F3660"/>
  <c r="C3661"/>
  <c r="E3661"/>
  <c r="F3661"/>
  <c r="C3662"/>
  <c r="E3662"/>
  <c r="F3662"/>
  <c r="C3663"/>
  <c r="E3663"/>
  <c r="F3663"/>
  <c r="C3664"/>
  <c r="E3664"/>
  <c r="F3664"/>
  <c r="C3665"/>
  <c r="E3665"/>
  <c r="F3665"/>
  <c r="C3666"/>
  <c r="E3666"/>
  <c r="F3666"/>
  <c r="C3667"/>
  <c r="E3667"/>
  <c r="F3667"/>
  <c r="C3668"/>
  <c r="E3668"/>
  <c r="F3668"/>
  <c r="C3669"/>
  <c r="E3669"/>
  <c r="F3669"/>
  <c r="C3670"/>
  <c r="E3670"/>
  <c r="F3670"/>
  <c r="A3671"/>
  <c r="B3671"/>
  <c r="C3671"/>
  <c r="E3671"/>
  <c r="F3671"/>
  <c r="C3672"/>
  <c r="E3672"/>
  <c r="F3672"/>
  <c r="C3673"/>
  <c r="E3673"/>
  <c r="F3673"/>
  <c r="C3674"/>
  <c r="E3674"/>
  <c r="F3674"/>
  <c r="C3675"/>
  <c r="E3675"/>
  <c r="F3675"/>
  <c r="C3676"/>
  <c r="E3676"/>
  <c r="F3676"/>
  <c r="C3677"/>
  <c r="E3677"/>
  <c r="F3677"/>
  <c r="C3678"/>
  <c r="E3678"/>
  <c r="F3678"/>
  <c r="C3679"/>
  <c r="E3679"/>
  <c r="F3679"/>
  <c r="C3680"/>
  <c r="E3680"/>
  <c r="F3680"/>
  <c r="C3681"/>
  <c r="E3681"/>
  <c r="F3681"/>
  <c r="C3682"/>
  <c r="E3682"/>
  <c r="F3682"/>
  <c r="C3683"/>
  <c r="E3683"/>
  <c r="F3683"/>
  <c r="A3684"/>
  <c r="B3684"/>
  <c r="C3684"/>
  <c r="E3684"/>
  <c r="F3684"/>
  <c r="C3685"/>
  <c r="E3685"/>
  <c r="F3685"/>
  <c r="C3686"/>
  <c r="E3686"/>
  <c r="F3686"/>
  <c r="C3687"/>
  <c r="E3687"/>
  <c r="F3687"/>
  <c r="C3688"/>
  <c r="E3688"/>
  <c r="F3688"/>
  <c r="C3689"/>
  <c r="E3689"/>
  <c r="F3689"/>
  <c r="C3690"/>
  <c r="E3690"/>
  <c r="F3690"/>
  <c r="C3691"/>
  <c r="E3691"/>
  <c r="F3691"/>
  <c r="C3692"/>
  <c r="E3692"/>
  <c r="F3692"/>
  <c r="C3693"/>
  <c r="E3693"/>
  <c r="F3693"/>
  <c r="C3694"/>
  <c r="E3694"/>
  <c r="F3694"/>
  <c r="C3695"/>
  <c r="E3695"/>
  <c r="F3695"/>
  <c r="C3696"/>
  <c r="E3696"/>
  <c r="F3696"/>
  <c r="A3697"/>
  <c r="B3697"/>
  <c r="C3697"/>
  <c r="E3697"/>
  <c r="F3697"/>
  <c r="C3698"/>
  <c r="E3698"/>
  <c r="F3698"/>
  <c r="C3699"/>
  <c r="E3699"/>
  <c r="F3699"/>
  <c r="C3700"/>
  <c r="E3700"/>
  <c r="F3700"/>
  <c r="C3701"/>
  <c r="E3701"/>
  <c r="F3701"/>
  <c r="C3702"/>
  <c r="E3702"/>
  <c r="F3702"/>
  <c r="C3703"/>
  <c r="E3703"/>
  <c r="F3703"/>
  <c r="C3704"/>
  <c r="E3704"/>
  <c r="F3704"/>
  <c r="C3705"/>
  <c r="E3705"/>
  <c r="F3705"/>
  <c r="C3706"/>
  <c r="E3706"/>
  <c r="F3706"/>
  <c r="C3707"/>
  <c r="E3707"/>
  <c r="F3707"/>
  <c r="C3708"/>
  <c r="E3708"/>
  <c r="F3708"/>
  <c r="C3709"/>
  <c r="E3709"/>
  <c r="F3709"/>
  <c r="A3710"/>
  <c r="B3710"/>
  <c r="C3710"/>
  <c r="E3710"/>
  <c r="F3710"/>
  <c r="C3711"/>
  <c r="E3711"/>
  <c r="F3711"/>
  <c r="C3712"/>
  <c r="E3712"/>
  <c r="F3712"/>
  <c r="C3713"/>
  <c r="E3713"/>
  <c r="F3713"/>
  <c r="C3714"/>
  <c r="E3714"/>
  <c r="F3714"/>
  <c r="C3715"/>
  <c r="E3715"/>
  <c r="F3715"/>
  <c r="C3716"/>
  <c r="E3716"/>
  <c r="F3716"/>
  <c r="C3717"/>
  <c r="E3717"/>
  <c r="F3717"/>
  <c r="C3718"/>
  <c r="E3718"/>
  <c r="F3718"/>
  <c r="C3719"/>
  <c r="E3719"/>
  <c r="F3719"/>
  <c r="C3720"/>
  <c r="E3720"/>
  <c r="F3720"/>
  <c r="C3721"/>
  <c r="E3721"/>
  <c r="F3721"/>
  <c r="C3722"/>
  <c r="E3722"/>
  <c r="F3722"/>
  <c r="A3723"/>
  <c r="B3723"/>
  <c r="C3723"/>
  <c r="E3723"/>
  <c r="F3723"/>
  <c r="C3724"/>
  <c r="E3724"/>
  <c r="F3724"/>
  <c r="C3725"/>
  <c r="E3725"/>
  <c r="F3725"/>
  <c r="C3726"/>
  <c r="E3726"/>
  <c r="F3726"/>
  <c r="C3727"/>
  <c r="E3727"/>
  <c r="F3727"/>
  <c r="C3728"/>
  <c r="E3728"/>
  <c r="F3728"/>
  <c r="C3729"/>
  <c r="E3729"/>
  <c r="F3729"/>
  <c r="C3730"/>
  <c r="E3730"/>
  <c r="F3730"/>
  <c r="C3731"/>
  <c r="E3731"/>
  <c r="F3731"/>
  <c r="C3732"/>
  <c r="E3732"/>
  <c r="F3732"/>
  <c r="C3733"/>
  <c r="E3733"/>
  <c r="F3733"/>
  <c r="C3734"/>
  <c r="E3734"/>
  <c r="F3734"/>
  <c r="C3735"/>
  <c r="E3735"/>
  <c r="F3735"/>
  <c r="A3736"/>
  <c r="B3736"/>
  <c r="C3736"/>
  <c r="E3736"/>
  <c r="F3736"/>
  <c r="C3737"/>
  <c r="E3737"/>
  <c r="F3737"/>
  <c r="C3738"/>
  <c r="E3738"/>
  <c r="F3738"/>
  <c r="C3739"/>
  <c r="E3739"/>
  <c r="F3739"/>
  <c r="C3740"/>
  <c r="E3740"/>
  <c r="F3740"/>
  <c r="C3741"/>
  <c r="E3741"/>
  <c r="F3741"/>
  <c r="C3742"/>
  <c r="E3742"/>
  <c r="F3742"/>
  <c r="C3743"/>
  <c r="E3743"/>
  <c r="F3743"/>
  <c r="C3744"/>
  <c r="E3744"/>
  <c r="F3744"/>
  <c r="C3745"/>
  <c r="E3745"/>
  <c r="F3745"/>
  <c r="C3746"/>
  <c r="E3746"/>
  <c r="F3746"/>
  <c r="C3747"/>
  <c r="E3747"/>
  <c r="F3747"/>
  <c r="C3748"/>
  <c r="E3748"/>
  <c r="F3748"/>
  <c r="A3749"/>
  <c r="B3749"/>
  <c r="C3749"/>
  <c r="E3749"/>
  <c r="F3749"/>
  <c r="C3750"/>
  <c r="E3750"/>
  <c r="F3750"/>
  <c r="C3751"/>
  <c r="E3751"/>
  <c r="F3751"/>
  <c r="C3752"/>
  <c r="E3752"/>
  <c r="F3752"/>
  <c r="C3753"/>
  <c r="E3753"/>
  <c r="F3753"/>
  <c r="C3754"/>
  <c r="E3754"/>
  <c r="F3754"/>
  <c r="C3755"/>
  <c r="E3755"/>
  <c r="F3755"/>
  <c r="C3756"/>
  <c r="E3756"/>
  <c r="F3756"/>
  <c r="C3757"/>
  <c r="E3757"/>
  <c r="F3757"/>
  <c r="C3758"/>
  <c r="E3758"/>
  <c r="F3758"/>
  <c r="C3759"/>
  <c r="E3759"/>
  <c r="F3759"/>
  <c r="C3760"/>
  <c r="E3760"/>
  <c r="F3760"/>
  <c r="C3761"/>
  <c r="E3761"/>
  <c r="F3761"/>
  <c r="A3762"/>
  <c r="B3762"/>
  <c r="C3762"/>
  <c r="E3762"/>
  <c r="F3762"/>
  <c r="C3763"/>
  <c r="E3763"/>
  <c r="F3763"/>
  <c r="C3764"/>
  <c r="E3764"/>
  <c r="F3764"/>
  <c r="C3765"/>
  <c r="E3765"/>
  <c r="F3765"/>
  <c r="C3766"/>
  <c r="E3766"/>
  <c r="F3766"/>
  <c r="C3767"/>
  <c r="E3767"/>
  <c r="F3767"/>
  <c r="C3768"/>
  <c r="E3768"/>
  <c r="F3768"/>
  <c r="C3769"/>
  <c r="E3769"/>
  <c r="F3769"/>
  <c r="C3770"/>
  <c r="E3770"/>
  <c r="F3770"/>
  <c r="C3771"/>
  <c r="E3771"/>
  <c r="F3771"/>
  <c r="C3772"/>
  <c r="E3772"/>
  <c r="F3772"/>
  <c r="C3773"/>
  <c r="E3773"/>
  <c r="F3773"/>
  <c r="C3774"/>
  <c r="E3774"/>
  <c r="F3774"/>
  <c r="A3775"/>
  <c r="B3775"/>
  <c r="C3775"/>
  <c r="E3775"/>
  <c r="F3775"/>
  <c r="C3776"/>
  <c r="E3776"/>
  <c r="F3776"/>
  <c r="C3777"/>
  <c r="E3777"/>
  <c r="F3777"/>
  <c r="C3778"/>
  <c r="E3778"/>
  <c r="F3778"/>
  <c r="C3779"/>
  <c r="E3779"/>
  <c r="F3779"/>
  <c r="C3780"/>
  <c r="E3780"/>
  <c r="F3780"/>
  <c r="C3781"/>
  <c r="E3781"/>
  <c r="F3781"/>
  <c r="C3782"/>
  <c r="E3782"/>
  <c r="F3782"/>
  <c r="C3783"/>
  <c r="E3783"/>
  <c r="F3783"/>
  <c r="C3784"/>
  <c r="E3784"/>
  <c r="F3784"/>
  <c r="C3785"/>
  <c r="E3785"/>
  <c r="F3785"/>
  <c r="C3786"/>
  <c r="E3786"/>
  <c r="F3786"/>
  <c r="C3787"/>
  <c r="E3787"/>
  <c r="F3787"/>
  <c r="A3788"/>
  <c r="B3788"/>
  <c r="C3788"/>
  <c r="E3788"/>
  <c r="F3788"/>
  <c r="C3789"/>
  <c r="E3789"/>
  <c r="F3789"/>
  <c r="C3790"/>
  <c r="E3790"/>
  <c r="F3790"/>
  <c r="C3791"/>
  <c r="E3791"/>
  <c r="F3791"/>
  <c r="C3792"/>
  <c r="E3792"/>
  <c r="F3792"/>
  <c r="C3793"/>
  <c r="E3793"/>
  <c r="F3793"/>
  <c r="C3794"/>
  <c r="E3794"/>
  <c r="F3794"/>
  <c r="C3795"/>
  <c r="E3795"/>
  <c r="F3795"/>
  <c r="C3796"/>
  <c r="E3796"/>
  <c r="F3796"/>
  <c r="C3797"/>
  <c r="E3797"/>
  <c r="F3797"/>
  <c r="C3798"/>
  <c r="E3798"/>
  <c r="F3798"/>
  <c r="C3799"/>
  <c r="E3799"/>
  <c r="F3799"/>
  <c r="C3800"/>
  <c r="E3800"/>
  <c r="F3800"/>
  <c r="A3801"/>
  <c r="B3801"/>
  <c r="C3801"/>
  <c r="E3801"/>
  <c r="F3801"/>
  <c r="C3802"/>
  <c r="E3802"/>
  <c r="F3802"/>
  <c r="C3803"/>
  <c r="E3803"/>
  <c r="F3803"/>
  <c r="C3804"/>
  <c r="E3804"/>
  <c r="F3804"/>
  <c r="C3805"/>
  <c r="E3805"/>
  <c r="F3805"/>
  <c r="C3806"/>
  <c r="E3806"/>
  <c r="F3806"/>
  <c r="C3807"/>
  <c r="E3807"/>
  <c r="F3807"/>
  <c r="C3808"/>
  <c r="E3808"/>
  <c r="F3808"/>
  <c r="C3809"/>
  <c r="E3809"/>
  <c r="F3809"/>
  <c r="C3810"/>
  <c r="E3810"/>
  <c r="F3810"/>
  <c r="C3811"/>
  <c r="E3811"/>
  <c r="F3811"/>
  <c r="C3812"/>
  <c r="E3812"/>
  <c r="F3812"/>
  <c r="C3813"/>
  <c r="E3813"/>
  <c r="F3813"/>
  <c r="A3814"/>
  <c r="B3814"/>
  <c r="C3814"/>
  <c r="E3814"/>
  <c r="F3814"/>
  <c r="C3815"/>
  <c r="E3815"/>
  <c r="F3815"/>
  <c r="C3816"/>
  <c r="E3816"/>
  <c r="F3816"/>
  <c r="C3817"/>
  <c r="E3817"/>
  <c r="F3817"/>
  <c r="C3818"/>
  <c r="E3818"/>
  <c r="F3818"/>
  <c r="C3819"/>
  <c r="E3819"/>
  <c r="F3819"/>
  <c r="C3820"/>
  <c r="E3820"/>
  <c r="F3820"/>
  <c r="C3821"/>
  <c r="E3821"/>
  <c r="F3821"/>
  <c r="C3822"/>
  <c r="E3822"/>
  <c r="F3822"/>
  <c r="C3823"/>
  <c r="E3823"/>
  <c r="F3823"/>
  <c r="C3824"/>
  <c r="E3824"/>
  <c r="F3824"/>
  <c r="C3825"/>
  <c r="E3825"/>
  <c r="F3825"/>
  <c r="C3826"/>
  <c r="E3826"/>
  <c r="F3826"/>
  <c r="A3827"/>
  <c r="B3827"/>
  <c r="C3827"/>
  <c r="E3827"/>
  <c r="F3827"/>
  <c r="C3828"/>
  <c r="E3828"/>
  <c r="F3828"/>
  <c r="C3829"/>
  <c r="E3829"/>
  <c r="F3829"/>
  <c r="C3830"/>
  <c r="E3830"/>
  <c r="F3830"/>
  <c r="C3831"/>
  <c r="E3831"/>
  <c r="F3831"/>
  <c r="C3832"/>
  <c r="E3832"/>
  <c r="F3832"/>
  <c r="C3833"/>
  <c r="E3833"/>
  <c r="F3833"/>
  <c r="C3834"/>
  <c r="E3834"/>
  <c r="F3834"/>
  <c r="C3835"/>
  <c r="E3835"/>
  <c r="F3835"/>
  <c r="C3836"/>
  <c r="E3836"/>
  <c r="F3836"/>
  <c r="C3837"/>
  <c r="E3837"/>
  <c r="F3837"/>
  <c r="C3838"/>
  <c r="E3838"/>
  <c r="F3838"/>
  <c r="C3839"/>
  <c r="E3839"/>
  <c r="F3839"/>
  <c r="A3840"/>
  <c r="B3840"/>
  <c r="C3840"/>
  <c r="E3840"/>
  <c r="F3840"/>
  <c r="C3841"/>
  <c r="E3841"/>
  <c r="F3841"/>
  <c r="C3842"/>
  <c r="E3842"/>
  <c r="F3842"/>
  <c r="C3843"/>
  <c r="E3843"/>
  <c r="F3843"/>
  <c r="C3844"/>
  <c r="E3844"/>
  <c r="F3844"/>
  <c r="C3845"/>
  <c r="E3845"/>
  <c r="F3845"/>
  <c r="C3846"/>
  <c r="E3846"/>
  <c r="F3846"/>
  <c r="C3847"/>
  <c r="E3847"/>
  <c r="F3847"/>
  <c r="C3848"/>
  <c r="E3848"/>
  <c r="F3848"/>
  <c r="C3849"/>
  <c r="E3849"/>
  <c r="F3849"/>
  <c r="C3850"/>
  <c r="E3850"/>
  <c r="F3850"/>
  <c r="C3851"/>
  <c r="E3851"/>
  <c r="F3851"/>
  <c r="C3852"/>
  <c r="E3852"/>
  <c r="F3852"/>
  <c r="A3853"/>
  <c r="B3853"/>
  <c r="C3853"/>
  <c r="E3853"/>
  <c r="F3853"/>
  <c r="C3854"/>
  <c r="E3854"/>
  <c r="F3854"/>
  <c r="C3855"/>
  <c r="E3855"/>
  <c r="F3855"/>
  <c r="C3856"/>
  <c r="E3856"/>
  <c r="F3856"/>
  <c r="C3857"/>
  <c r="E3857"/>
  <c r="F3857"/>
  <c r="C3858"/>
  <c r="E3858"/>
  <c r="F3858"/>
  <c r="C3859"/>
  <c r="E3859"/>
  <c r="F3859"/>
  <c r="C3860"/>
  <c r="E3860"/>
  <c r="F3860"/>
  <c r="C3861"/>
  <c r="E3861"/>
  <c r="F3861"/>
  <c r="C3862"/>
  <c r="E3862"/>
  <c r="F3862"/>
  <c r="C3863"/>
  <c r="E3863"/>
  <c r="F3863"/>
  <c r="C3864"/>
  <c r="E3864"/>
  <c r="F3864"/>
  <c r="C3865"/>
  <c r="E3865"/>
  <c r="F3865"/>
  <c r="A3866"/>
  <c r="B3866"/>
  <c r="C3866"/>
  <c r="E3866"/>
  <c r="F3866"/>
  <c r="C3867"/>
  <c r="E3867"/>
  <c r="F3867"/>
  <c r="C3868"/>
  <c r="E3868"/>
  <c r="F3868"/>
  <c r="C3869"/>
  <c r="E3869"/>
  <c r="F3869"/>
  <c r="C3870"/>
  <c r="E3870"/>
  <c r="F3870"/>
  <c r="C3871"/>
  <c r="E3871"/>
  <c r="F3871"/>
  <c r="C3872"/>
  <c r="E3872"/>
  <c r="F3872"/>
  <c r="C3873"/>
  <c r="E3873"/>
  <c r="F3873"/>
  <c r="C3874"/>
  <c r="E3874"/>
  <c r="F3874"/>
  <c r="C3875"/>
  <c r="E3875"/>
  <c r="F3875"/>
  <c r="C3876"/>
  <c r="E3876"/>
  <c r="F3876"/>
  <c r="C3877"/>
  <c r="E3877"/>
  <c r="F3877"/>
  <c r="C3878"/>
  <c r="E3878"/>
  <c r="F3878"/>
  <c r="A3879"/>
  <c r="B3879"/>
  <c r="C3879"/>
  <c r="E3879"/>
  <c r="F3879"/>
  <c r="C3880"/>
  <c r="E3880"/>
  <c r="F3880"/>
  <c r="C3881"/>
  <c r="E3881"/>
  <c r="F3881"/>
  <c r="C3882"/>
  <c r="E3882"/>
  <c r="F3882"/>
  <c r="C3883"/>
  <c r="E3883"/>
  <c r="F3883"/>
  <c r="C3884"/>
  <c r="E3884"/>
  <c r="F3884"/>
  <c r="C3885"/>
  <c r="E3885"/>
  <c r="F3885"/>
  <c r="C3886"/>
  <c r="E3886"/>
  <c r="F3886"/>
  <c r="C3887"/>
  <c r="E3887"/>
  <c r="F3887"/>
  <c r="C3888"/>
  <c r="E3888"/>
  <c r="F3888"/>
  <c r="C3889"/>
  <c r="E3889"/>
  <c r="F3889"/>
  <c r="C3890"/>
  <c r="E3890"/>
  <c r="F3890"/>
  <c r="C3891"/>
  <c r="E3891"/>
  <c r="F3891"/>
  <c r="A3892"/>
  <c r="B3892"/>
  <c r="C3892"/>
  <c r="E3892"/>
  <c r="F3892"/>
  <c r="C3893"/>
  <c r="E3893"/>
  <c r="F3893"/>
  <c r="C3894"/>
  <c r="E3894"/>
  <c r="F3894"/>
  <c r="C3895"/>
  <c r="E3895"/>
  <c r="F3895"/>
  <c r="C3896"/>
  <c r="E3896"/>
  <c r="F3896"/>
  <c r="C3897"/>
  <c r="E3897"/>
  <c r="F3897"/>
  <c r="C3898"/>
  <c r="E3898"/>
  <c r="F3898"/>
  <c r="C3899"/>
  <c r="E3899"/>
  <c r="F3899"/>
  <c r="C3900"/>
  <c r="E3900"/>
  <c r="F3900"/>
  <c r="C3901"/>
  <c r="E3901"/>
  <c r="F3901"/>
  <c r="C3902"/>
  <c r="E3902"/>
  <c r="F3902"/>
  <c r="C3903"/>
  <c r="E3903"/>
  <c r="F3903"/>
  <c r="C3904"/>
  <c r="E3904"/>
  <c r="F3904"/>
  <c r="A3905"/>
  <c r="B3905"/>
  <c r="C3905"/>
  <c r="E3905"/>
  <c r="F3905"/>
  <c r="C3906"/>
  <c r="E3906"/>
  <c r="F3906"/>
  <c r="C3907"/>
  <c r="E3907"/>
  <c r="F3907"/>
  <c r="C3908"/>
  <c r="E3908"/>
  <c r="F3908"/>
  <c r="C3909"/>
  <c r="E3909"/>
  <c r="F3909"/>
  <c r="C3910"/>
  <c r="E3910"/>
  <c r="F3910"/>
  <c r="C3911"/>
  <c r="E3911"/>
  <c r="F3911"/>
  <c r="C3912"/>
  <c r="E3912"/>
  <c r="F3912"/>
  <c r="C3913"/>
  <c r="E3913"/>
  <c r="F3913"/>
  <c r="C3914"/>
  <c r="E3914"/>
  <c r="F3914"/>
  <c r="C3915"/>
  <c r="E3915"/>
  <c r="F3915"/>
  <c r="C3916"/>
  <c r="E3916"/>
  <c r="F3916"/>
  <c r="C3917"/>
  <c r="E3917"/>
  <c r="F3917"/>
  <c r="A3918"/>
  <c r="B3918"/>
  <c r="C3918"/>
  <c r="E3918"/>
  <c r="F3918"/>
  <c r="C3919"/>
  <c r="E3919"/>
  <c r="F3919"/>
  <c r="C3920"/>
  <c r="E3920"/>
  <c r="F3920"/>
  <c r="C3921"/>
  <c r="E3921"/>
  <c r="F3921"/>
  <c r="C3922"/>
  <c r="E3922"/>
  <c r="F3922"/>
  <c r="C3923"/>
  <c r="E3923"/>
  <c r="F3923"/>
  <c r="C3924"/>
  <c r="E3924"/>
  <c r="F3924"/>
  <c r="C3925"/>
  <c r="E3925"/>
  <c r="F3925"/>
  <c r="C3926"/>
  <c r="E3926"/>
  <c r="F3926"/>
  <c r="C3927"/>
  <c r="E3927"/>
  <c r="F3927"/>
  <c r="C3928"/>
  <c r="E3928"/>
  <c r="F3928"/>
  <c r="C3929"/>
  <c r="E3929"/>
  <c r="F3929"/>
  <c r="C3930"/>
  <c r="E3930"/>
  <c r="F3930"/>
  <c r="A3931"/>
  <c r="B3931"/>
  <c r="C3931"/>
  <c r="E3931"/>
  <c r="F3931"/>
  <c r="C3932"/>
  <c r="E3932"/>
  <c r="F3932"/>
  <c r="C3933"/>
  <c r="E3933"/>
  <c r="F3933"/>
  <c r="C3934"/>
  <c r="E3934"/>
  <c r="F3934"/>
  <c r="C3935"/>
  <c r="E3935"/>
  <c r="F3935"/>
  <c r="C3936"/>
  <c r="E3936"/>
  <c r="F3936"/>
  <c r="C3937"/>
  <c r="E3937"/>
  <c r="F3937"/>
  <c r="C3938"/>
  <c r="E3938"/>
  <c r="F3938"/>
  <c r="C3939"/>
  <c r="E3939"/>
  <c r="F3939"/>
  <c r="C3940"/>
  <c r="E3940"/>
  <c r="F3940"/>
  <c r="C3941"/>
  <c r="E3941"/>
  <c r="F3941"/>
  <c r="C3942"/>
  <c r="E3942"/>
  <c r="F3942"/>
  <c r="C3943"/>
  <c r="E3943"/>
  <c r="F3943"/>
  <c r="A3944"/>
  <c r="B3944"/>
  <c r="C3944"/>
  <c r="E3944"/>
  <c r="F3944"/>
  <c r="C3945"/>
  <c r="E3945"/>
  <c r="F3945"/>
  <c r="C3946"/>
  <c r="E3946"/>
  <c r="F3946"/>
  <c r="C3947"/>
  <c r="E3947"/>
  <c r="F3947"/>
  <c r="C3948"/>
  <c r="E3948"/>
  <c r="F3948"/>
  <c r="C3949"/>
  <c r="E3949"/>
  <c r="F3949"/>
  <c r="C3950"/>
  <c r="E3950"/>
  <c r="F3950"/>
  <c r="C3951"/>
  <c r="E3951"/>
  <c r="F3951"/>
  <c r="C3952"/>
  <c r="E3952"/>
  <c r="F3952"/>
  <c r="C3953"/>
  <c r="E3953"/>
  <c r="F3953"/>
  <c r="C3954"/>
  <c r="E3954"/>
  <c r="F3954"/>
  <c r="C3955"/>
  <c r="E3955"/>
  <c r="F3955"/>
  <c r="C3956"/>
  <c r="E3956"/>
  <c r="F3956"/>
  <c r="A3957"/>
  <c r="B3957"/>
  <c r="C3957"/>
  <c r="E3957"/>
  <c r="F3957"/>
  <c r="C3958"/>
  <c r="E3958"/>
  <c r="F3958"/>
  <c r="C3959"/>
  <c r="E3959"/>
  <c r="F3959"/>
  <c r="C3960"/>
  <c r="E3960"/>
  <c r="F3960"/>
  <c r="C3961"/>
  <c r="E3961"/>
  <c r="F3961"/>
  <c r="C3962"/>
  <c r="E3962"/>
  <c r="F3962"/>
  <c r="C3963"/>
  <c r="E3963"/>
  <c r="F3963"/>
  <c r="C3964"/>
  <c r="E3964"/>
  <c r="F3964"/>
  <c r="C3965"/>
  <c r="E3965"/>
  <c r="F3965"/>
  <c r="C3966"/>
  <c r="E3966"/>
  <c r="F3966"/>
  <c r="C3967"/>
  <c r="E3967"/>
  <c r="F3967"/>
  <c r="C3968"/>
  <c r="E3968"/>
  <c r="F3968"/>
  <c r="C3969"/>
  <c r="E3969"/>
  <c r="F3969"/>
  <c r="A3970"/>
  <c r="B3970"/>
  <c r="C3970"/>
  <c r="E3970"/>
  <c r="F3970"/>
  <c r="C3971"/>
  <c r="E3971"/>
  <c r="F3971"/>
  <c r="C3972"/>
  <c r="E3972"/>
  <c r="F3972"/>
  <c r="C3973"/>
  <c r="E3973"/>
  <c r="F3973"/>
  <c r="C3974"/>
  <c r="E3974"/>
  <c r="F3974"/>
  <c r="C3975"/>
  <c r="E3975"/>
  <c r="F3975"/>
  <c r="C3976"/>
  <c r="E3976"/>
  <c r="F3976"/>
  <c r="C3977"/>
  <c r="E3977"/>
  <c r="F3977"/>
  <c r="C3978"/>
  <c r="E3978"/>
  <c r="F3978"/>
  <c r="C3979"/>
  <c r="E3979"/>
  <c r="F3979"/>
  <c r="C3980"/>
  <c r="E3980"/>
  <c r="F3980"/>
  <c r="C3981"/>
  <c r="E3981"/>
  <c r="F3981"/>
  <c r="C3982"/>
  <c r="E3982"/>
  <c r="F3982"/>
  <c r="A3983"/>
  <c r="B3983"/>
  <c r="C3983"/>
  <c r="E3983"/>
  <c r="F3983"/>
  <c r="C3984"/>
  <c r="E3984"/>
  <c r="F3984"/>
  <c r="C3985"/>
  <c r="E3985"/>
  <c r="F3985"/>
  <c r="C3986"/>
  <c r="E3986"/>
  <c r="F3986"/>
  <c r="C3987"/>
  <c r="E3987"/>
  <c r="F3987"/>
  <c r="C3988"/>
  <c r="E3988"/>
  <c r="F3988"/>
  <c r="C3989"/>
  <c r="E3989"/>
  <c r="F3989"/>
  <c r="C3990"/>
  <c r="E3990"/>
  <c r="F3990"/>
  <c r="C3991"/>
  <c r="E3991"/>
  <c r="F3991"/>
  <c r="C3992"/>
  <c r="E3992"/>
  <c r="F3992"/>
  <c r="C3993"/>
  <c r="E3993"/>
  <c r="F3993"/>
  <c r="C3994"/>
  <c r="E3994"/>
  <c r="F3994"/>
  <c r="C3995"/>
  <c r="E3995"/>
  <c r="F3995"/>
  <c r="A3996"/>
  <c r="B3996"/>
  <c r="C3996"/>
  <c r="E3996"/>
  <c r="F3996"/>
  <c r="C3997"/>
  <c r="E3997"/>
  <c r="F3997"/>
  <c r="C3998"/>
  <c r="E3998"/>
  <c r="F3998"/>
  <c r="C3999"/>
  <c r="E3999"/>
  <c r="F3999"/>
  <c r="C4000"/>
  <c r="E4000"/>
  <c r="F4000"/>
  <c r="C4001"/>
  <c r="E4001"/>
  <c r="F4001"/>
  <c r="C4002"/>
  <c r="E4002"/>
  <c r="F4002"/>
  <c r="C4003"/>
  <c r="E4003"/>
  <c r="F4003"/>
  <c r="C4004"/>
  <c r="E4004"/>
  <c r="F4004"/>
  <c r="C4005"/>
  <c r="E4005"/>
  <c r="F4005"/>
  <c r="C4006"/>
  <c r="E4006"/>
  <c r="F4006"/>
  <c r="C4007"/>
  <c r="E4007"/>
  <c r="F4007"/>
  <c r="C4008"/>
  <c r="E4008"/>
  <c r="F4008"/>
  <c r="A4009"/>
  <c r="B4009"/>
  <c r="C4009"/>
  <c r="E4009"/>
  <c r="F4009"/>
  <c r="C4010"/>
  <c r="E4010"/>
  <c r="F4010"/>
  <c r="C4011"/>
  <c r="E4011"/>
  <c r="F4011"/>
  <c r="C4012"/>
  <c r="E4012"/>
  <c r="F4012"/>
  <c r="C4013"/>
  <c r="E4013"/>
  <c r="F4013"/>
  <c r="C4014"/>
  <c r="E4014"/>
  <c r="F4014"/>
  <c r="C4015"/>
  <c r="E4015"/>
  <c r="F4015"/>
  <c r="C4016"/>
  <c r="E4016"/>
  <c r="F4016"/>
  <c r="C4017"/>
  <c r="E4017"/>
  <c r="F4017"/>
  <c r="C4018"/>
  <c r="E4018"/>
  <c r="F4018"/>
  <c r="C4019"/>
  <c r="E4019"/>
  <c r="F4019"/>
  <c r="C4020"/>
  <c r="E4020"/>
  <c r="F4020"/>
  <c r="C4021"/>
  <c r="E4021"/>
  <c r="F4021"/>
  <c r="A4022"/>
  <c r="B4022"/>
  <c r="C4022"/>
  <c r="E4022"/>
  <c r="F4022"/>
  <c r="C4023"/>
  <c r="E4023"/>
  <c r="F4023"/>
  <c r="C4024"/>
  <c r="E4024"/>
  <c r="F4024"/>
  <c r="C4025"/>
  <c r="E4025"/>
  <c r="F4025"/>
  <c r="C4026"/>
  <c r="E4026"/>
  <c r="F4026"/>
  <c r="C4027"/>
  <c r="E4027"/>
  <c r="F4027"/>
  <c r="C4028"/>
  <c r="E4028"/>
  <c r="F4028"/>
  <c r="C4029"/>
  <c r="E4029"/>
  <c r="F4029"/>
  <c r="C4030"/>
  <c r="E4030"/>
  <c r="F4030"/>
  <c r="C4031"/>
  <c r="E4031"/>
  <c r="F4031"/>
  <c r="C4032"/>
  <c r="E4032"/>
  <c r="F4032"/>
  <c r="C4033"/>
  <c r="E4033"/>
  <c r="F4033"/>
  <c r="C4034"/>
  <c r="E4034"/>
  <c r="F4034"/>
  <c r="A4035"/>
  <c r="B4035"/>
  <c r="C4035"/>
  <c r="E4035"/>
  <c r="F4035"/>
  <c r="C4036"/>
  <c r="E4036"/>
  <c r="F4036"/>
  <c r="C4037"/>
  <c r="E4037"/>
  <c r="F4037"/>
  <c r="C4038"/>
  <c r="E4038"/>
  <c r="F4038"/>
  <c r="C4039"/>
  <c r="E4039"/>
  <c r="F4039"/>
  <c r="C4040"/>
  <c r="E4040"/>
  <c r="F4040"/>
  <c r="C4041"/>
  <c r="E4041"/>
  <c r="F4041"/>
  <c r="C4042"/>
  <c r="E4042"/>
  <c r="F4042"/>
  <c r="C4043"/>
  <c r="E4043"/>
  <c r="F4043"/>
  <c r="C4044"/>
  <c r="E4044"/>
  <c r="F4044"/>
  <c r="C4045"/>
  <c r="E4045"/>
  <c r="F4045"/>
  <c r="C4046"/>
  <c r="E4046"/>
  <c r="F4046"/>
  <c r="C4047"/>
  <c r="E4047"/>
  <c r="F4047"/>
  <c r="A4048"/>
  <c r="B4048"/>
  <c r="C4048"/>
  <c r="E4048"/>
  <c r="F4048"/>
  <c r="C4049"/>
  <c r="E4049"/>
  <c r="F4049"/>
  <c r="C4050"/>
  <c r="E4050"/>
  <c r="F4050"/>
  <c r="C4051"/>
  <c r="E4051"/>
  <c r="F4051"/>
  <c r="C4052"/>
  <c r="E4052"/>
  <c r="F4052"/>
  <c r="C4053"/>
  <c r="E4053"/>
  <c r="F4053"/>
  <c r="C4054"/>
  <c r="E4054"/>
  <c r="F4054"/>
  <c r="C4055"/>
  <c r="E4055"/>
  <c r="F4055"/>
  <c r="C4056"/>
  <c r="E4056"/>
  <c r="F4056"/>
  <c r="C4057"/>
  <c r="E4057"/>
  <c r="F4057"/>
  <c r="C4058"/>
  <c r="E4058"/>
  <c r="F4058"/>
  <c r="C4059"/>
  <c r="E4059"/>
  <c r="F4059"/>
  <c r="C4060"/>
  <c r="E4060"/>
  <c r="F4060"/>
  <c r="A4061"/>
  <c r="B4061"/>
  <c r="C4061"/>
  <c r="E4061"/>
  <c r="F4061"/>
  <c r="C4062"/>
  <c r="E4062"/>
  <c r="F4062"/>
  <c r="C4063"/>
  <c r="E4063"/>
  <c r="F4063"/>
  <c r="C4064"/>
  <c r="E4064"/>
  <c r="F4064"/>
  <c r="C4065"/>
  <c r="E4065"/>
  <c r="F4065"/>
  <c r="C4066"/>
  <c r="E4066"/>
  <c r="F4066"/>
  <c r="C4067"/>
  <c r="E4067"/>
  <c r="F4067"/>
  <c r="C4068"/>
  <c r="E4068"/>
  <c r="F4068"/>
  <c r="C4069"/>
  <c r="E4069"/>
  <c r="F4069"/>
  <c r="C4070"/>
  <c r="E4070"/>
  <c r="F4070"/>
  <c r="C4071"/>
  <c r="E4071"/>
  <c r="F4071"/>
  <c r="C4072"/>
  <c r="E4072"/>
  <c r="F4072"/>
  <c r="C4073"/>
  <c r="E4073"/>
  <c r="F4073"/>
  <c r="A4074"/>
  <c r="B4074"/>
  <c r="C4074"/>
  <c r="E4074"/>
  <c r="F4074"/>
  <c r="C4075"/>
  <c r="E4075"/>
  <c r="F4075"/>
  <c r="C4076"/>
  <c r="E4076"/>
  <c r="F4076"/>
  <c r="C4077"/>
  <c r="E4077"/>
  <c r="F4077"/>
  <c r="C4078"/>
  <c r="E4078"/>
  <c r="F4078"/>
  <c r="C4079"/>
  <c r="E4079"/>
  <c r="F4079"/>
  <c r="C4080"/>
  <c r="E4080"/>
  <c r="F4080"/>
  <c r="C4081"/>
  <c r="E4081"/>
  <c r="F4081"/>
  <c r="C4082"/>
  <c r="E4082"/>
  <c r="F4082"/>
  <c r="C4083"/>
  <c r="E4083"/>
  <c r="F4083"/>
  <c r="C4084"/>
  <c r="E4084"/>
  <c r="F4084"/>
  <c r="C4085"/>
  <c r="E4085"/>
  <c r="F4085"/>
  <c r="C4086"/>
  <c r="E4086"/>
  <c r="F4086"/>
  <c r="A4087"/>
  <c r="B4087"/>
  <c r="C4087"/>
  <c r="E4087"/>
  <c r="F4087"/>
  <c r="C4088"/>
  <c r="E4088"/>
  <c r="F4088"/>
  <c r="C4089"/>
  <c r="E4089"/>
  <c r="F4089"/>
  <c r="C4090"/>
  <c r="E4090"/>
  <c r="F4090"/>
  <c r="C4091"/>
  <c r="E4091"/>
  <c r="F4091"/>
  <c r="C4092"/>
  <c r="E4092"/>
  <c r="F4092"/>
  <c r="C4093"/>
  <c r="E4093"/>
  <c r="F4093"/>
  <c r="C4094"/>
  <c r="E4094"/>
  <c r="F4094"/>
  <c r="C4095"/>
  <c r="E4095"/>
  <c r="F4095"/>
  <c r="C4096"/>
  <c r="E4096"/>
  <c r="F4096"/>
  <c r="C4097"/>
  <c r="E4097"/>
  <c r="F4097"/>
  <c r="C4098"/>
  <c r="E4098"/>
  <c r="F4098"/>
  <c r="C4099"/>
  <c r="E4099"/>
  <c r="F4099"/>
  <c r="A4100"/>
  <c r="B4100"/>
  <c r="C4100"/>
  <c r="E4100"/>
  <c r="F4100"/>
  <c r="C4101"/>
  <c r="E4101"/>
  <c r="F4101"/>
  <c r="C4102"/>
  <c r="E4102"/>
  <c r="F4102"/>
  <c r="C4103"/>
  <c r="E4103"/>
  <c r="F4103"/>
  <c r="C4104"/>
  <c r="E4104"/>
  <c r="F4104"/>
  <c r="C4105"/>
  <c r="E4105"/>
  <c r="F4105"/>
  <c r="C4106"/>
  <c r="E4106"/>
  <c r="F4106"/>
  <c r="C4107"/>
  <c r="E4107"/>
  <c r="F4107"/>
  <c r="C4108"/>
  <c r="E4108"/>
  <c r="F4108"/>
  <c r="C4109"/>
  <c r="E4109"/>
  <c r="F4109"/>
  <c r="C4110"/>
  <c r="E4110"/>
  <c r="F4110"/>
  <c r="C4111"/>
  <c r="E4111"/>
  <c r="F4111"/>
  <c r="C4112"/>
  <c r="E4112"/>
  <c r="F4112"/>
  <c r="A4113"/>
  <c r="B4113"/>
  <c r="C4113"/>
  <c r="E4113"/>
  <c r="F4113"/>
  <c r="C4114"/>
  <c r="E4114"/>
  <c r="F4114"/>
  <c r="C4115"/>
  <c r="E4115"/>
  <c r="F4115"/>
  <c r="C4116"/>
  <c r="E4116"/>
  <c r="F4116"/>
  <c r="C4117"/>
  <c r="E4117"/>
  <c r="F4117"/>
  <c r="C4118"/>
  <c r="E4118"/>
  <c r="F4118"/>
  <c r="C4119"/>
  <c r="E4119"/>
  <c r="F4119"/>
  <c r="C4120"/>
  <c r="E4120"/>
  <c r="F4120"/>
  <c r="C4121"/>
  <c r="E4121"/>
  <c r="F4121"/>
  <c r="C4122"/>
  <c r="E4122"/>
  <c r="F4122"/>
  <c r="C4123"/>
  <c r="E4123"/>
  <c r="F4123"/>
  <c r="C4124"/>
  <c r="E4124"/>
  <c r="F4124"/>
  <c r="C4125"/>
  <c r="E4125"/>
  <c r="F4125"/>
  <c r="A4126"/>
  <c r="B4126"/>
  <c r="C4126"/>
  <c r="E4126"/>
  <c r="F4126"/>
  <c r="C4127"/>
  <c r="E4127"/>
  <c r="F4127"/>
  <c r="C4128"/>
  <c r="E4128"/>
  <c r="F4128"/>
  <c r="C4129"/>
  <c r="E4129"/>
  <c r="F4129"/>
  <c r="C4130"/>
  <c r="E4130"/>
  <c r="F4130"/>
  <c r="C4131"/>
  <c r="E4131"/>
  <c r="F4131"/>
  <c r="C4132"/>
  <c r="E4132"/>
  <c r="F4132"/>
  <c r="C4133"/>
  <c r="E4133"/>
  <c r="F4133"/>
  <c r="C4134"/>
  <c r="E4134"/>
  <c r="F4134"/>
  <c r="C4135"/>
  <c r="E4135"/>
  <c r="F4135"/>
  <c r="C4136"/>
  <c r="E4136"/>
  <c r="F4136"/>
  <c r="C4137"/>
  <c r="E4137"/>
  <c r="F4137"/>
  <c r="C4138"/>
  <c r="E4138"/>
  <c r="F4138"/>
  <c r="A4139"/>
  <c r="B4139"/>
  <c r="C4139"/>
  <c r="E4139"/>
  <c r="F4139"/>
  <c r="C4140"/>
  <c r="E4140"/>
  <c r="F4140"/>
  <c r="C4141"/>
  <c r="E4141"/>
  <c r="F4141"/>
  <c r="C4142"/>
  <c r="E4142"/>
  <c r="F4142"/>
  <c r="C4143"/>
  <c r="E4143"/>
  <c r="F4143"/>
  <c r="C4144"/>
  <c r="E4144"/>
  <c r="F4144"/>
  <c r="C4145"/>
  <c r="E4145"/>
  <c r="F4145"/>
  <c r="C4146"/>
  <c r="E4146"/>
  <c r="F4146"/>
  <c r="C4147"/>
  <c r="E4147"/>
  <c r="F4147"/>
  <c r="C4148"/>
  <c r="E4148"/>
  <c r="F4148"/>
  <c r="C4149"/>
  <c r="E4149"/>
  <c r="F4149"/>
  <c r="C4150"/>
  <c r="E4150"/>
  <c r="F4150"/>
  <c r="C4151"/>
  <c r="E4151"/>
  <c r="F4151"/>
  <c r="A4152"/>
  <c r="B4152"/>
  <c r="C4152"/>
  <c r="E4152"/>
  <c r="F4152"/>
  <c r="C4153"/>
  <c r="E4153"/>
  <c r="F4153"/>
  <c r="C4154"/>
  <c r="E4154"/>
  <c r="F4154"/>
  <c r="C4155"/>
  <c r="E4155"/>
  <c r="F4155"/>
  <c r="C4156"/>
  <c r="E4156"/>
  <c r="F4156"/>
  <c r="C4157"/>
  <c r="E4157"/>
  <c r="F4157"/>
  <c r="C4158"/>
  <c r="E4158"/>
  <c r="F4158"/>
  <c r="C4159"/>
  <c r="E4159"/>
  <c r="F4159"/>
  <c r="C4160"/>
  <c r="E4160"/>
  <c r="F4160"/>
  <c r="C4161"/>
  <c r="E4161"/>
  <c r="F4161"/>
  <c r="C4162"/>
  <c r="E4162"/>
  <c r="F4162"/>
  <c r="C4163"/>
  <c r="E4163"/>
  <c r="F4163"/>
  <c r="C4164"/>
  <c r="E4164"/>
  <c r="F4164"/>
  <c r="A4165"/>
  <c r="B4165"/>
  <c r="C4165"/>
  <c r="E4165"/>
  <c r="F4165"/>
  <c r="C4166"/>
  <c r="E4166"/>
  <c r="F4166"/>
  <c r="C4167"/>
  <c r="E4167"/>
  <c r="F4167"/>
  <c r="C4168"/>
  <c r="E4168"/>
  <c r="F4168"/>
  <c r="C4169"/>
  <c r="E4169"/>
  <c r="F4169"/>
  <c r="C4170"/>
  <c r="E4170"/>
  <c r="F4170"/>
  <c r="C4171"/>
  <c r="E4171"/>
  <c r="F4171"/>
  <c r="C4172"/>
  <c r="E4172"/>
  <c r="F4172"/>
  <c r="C4173"/>
  <c r="E4173"/>
  <c r="F4173"/>
  <c r="C4174"/>
  <c r="E4174"/>
  <c r="F4174"/>
  <c r="C4175"/>
  <c r="E4175"/>
  <c r="F4175"/>
  <c r="C4176"/>
  <c r="E4176"/>
  <c r="F4176"/>
  <c r="C4177"/>
  <c r="E4177"/>
  <c r="F4177"/>
  <c r="A4178"/>
  <c r="B4178"/>
  <c r="C4178"/>
  <c r="E4178"/>
  <c r="F4178"/>
  <c r="C4179"/>
  <c r="E4179"/>
  <c r="F4179"/>
  <c r="C4180"/>
  <c r="E4180"/>
  <c r="F4180"/>
  <c r="C4181"/>
  <c r="E4181"/>
  <c r="F4181"/>
  <c r="C4182"/>
  <c r="E4182"/>
  <c r="F4182"/>
  <c r="C4183"/>
  <c r="E4183"/>
  <c r="F4183"/>
  <c r="C4184"/>
  <c r="E4184"/>
  <c r="F4184"/>
  <c r="C4185"/>
  <c r="E4185"/>
  <c r="F4185"/>
  <c r="C4186"/>
  <c r="E4186"/>
  <c r="F4186"/>
  <c r="C4187"/>
  <c r="E4187"/>
  <c r="F4187"/>
  <c r="C4188"/>
  <c r="E4188"/>
  <c r="F4188"/>
  <c r="C4189"/>
  <c r="E4189"/>
  <c r="F4189"/>
  <c r="C4190"/>
  <c r="E4190"/>
  <c r="F4190"/>
  <c r="A4191"/>
  <c r="B4191"/>
  <c r="C4191"/>
  <c r="E4191"/>
  <c r="F4191"/>
  <c r="C4192"/>
  <c r="E4192"/>
  <c r="F4192"/>
  <c r="C4193"/>
  <c r="E4193"/>
  <c r="F4193"/>
  <c r="C4194"/>
  <c r="E4194"/>
  <c r="F4194"/>
  <c r="C4195"/>
  <c r="E4195"/>
  <c r="F4195"/>
  <c r="C4196"/>
  <c r="E4196"/>
  <c r="F4196"/>
  <c r="C4197"/>
  <c r="E4197"/>
  <c r="F4197"/>
  <c r="C4198"/>
  <c r="E4198"/>
  <c r="F4198"/>
  <c r="C4199"/>
  <c r="E4199"/>
  <c r="F4199"/>
  <c r="C4200"/>
  <c r="E4200"/>
  <c r="F4200"/>
  <c r="C4201"/>
  <c r="E4201"/>
  <c r="F4201"/>
  <c r="C4202"/>
  <c r="E4202"/>
  <c r="F4202"/>
  <c r="C4203"/>
  <c r="E4203"/>
  <c r="F4203"/>
  <c r="A4204"/>
  <c r="B4204"/>
  <c r="C4204"/>
  <c r="E4204"/>
  <c r="F4204"/>
  <c r="C4205"/>
  <c r="E4205"/>
  <c r="F4205"/>
  <c r="C4206"/>
  <c r="E4206"/>
  <c r="F4206"/>
  <c r="C4207"/>
  <c r="E4207"/>
  <c r="F4207"/>
  <c r="C4208"/>
  <c r="E4208"/>
  <c r="F4208"/>
  <c r="C4209"/>
  <c r="E4209"/>
  <c r="F4209"/>
  <c r="C4210"/>
  <c r="E4210"/>
  <c r="F4210"/>
  <c r="C4211"/>
  <c r="E4211"/>
  <c r="F4211"/>
  <c r="C4212"/>
  <c r="E4212"/>
  <c r="F4212"/>
  <c r="C4213"/>
  <c r="E4213"/>
  <c r="F4213"/>
  <c r="C4214"/>
  <c r="E4214"/>
  <c r="F4214"/>
  <c r="C4215"/>
  <c r="E4215"/>
  <c r="F4215"/>
  <c r="C4216"/>
  <c r="E4216"/>
  <c r="F4216"/>
  <c r="A4217"/>
  <c r="B4217"/>
  <c r="C4217"/>
  <c r="E4217"/>
  <c r="F4217"/>
  <c r="C4218"/>
  <c r="E4218"/>
  <c r="F4218"/>
  <c r="C4219"/>
  <c r="E4219"/>
  <c r="F4219"/>
  <c r="C4220"/>
  <c r="E4220"/>
  <c r="F4220"/>
  <c r="C4221"/>
  <c r="E4221"/>
  <c r="F4221"/>
  <c r="C4222"/>
  <c r="E4222"/>
  <c r="F4222"/>
  <c r="C4223"/>
  <c r="E4223"/>
  <c r="F4223"/>
  <c r="C4224"/>
  <c r="E4224"/>
  <c r="F4224"/>
  <c r="C4225"/>
  <c r="E4225"/>
  <c r="F4225"/>
  <c r="C4226"/>
  <c r="E4226"/>
  <c r="F4226"/>
  <c r="C4227"/>
  <c r="E4227"/>
  <c r="F4227"/>
  <c r="C4228"/>
  <c r="E4228"/>
  <c r="F4228"/>
  <c r="C4229"/>
  <c r="E4229"/>
  <c r="F4229"/>
  <c r="A4230"/>
  <c r="B4230"/>
  <c r="C4230"/>
  <c r="E4230"/>
  <c r="F4230"/>
  <c r="C4231"/>
  <c r="E4231"/>
  <c r="F4231"/>
  <c r="C4232"/>
  <c r="E4232"/>
  <c r="F4232"/>
  <c r="C4233"/>
  <c r="E4233"/>
  <c r="F4233"/>
  <c r="C4234"/>
  <c r="E4234"/>
  <c r="F4234"/>
  <c r="C4235"/>
  <c r="E4235"/>
  <c r="F4235"/>
  <c r="C4236"/>
  <c r="E4236"/>
  <c r="F4236"/>
  <c r="C4237"/>
  <c r="E4237"/>
  <c r="F4237"/>
  <c r="C4238"/>
  <c r="E4238"/>
  <c r="F4238"/>
  <c r="C4239"/>
  <c r="E4239"/>
  <c r="F4239"/>
  <c r="C4240"/>
  <c r="E4240"/>
  <c r="F4240"/>
  <c r="C4241"/>
  <c r="E4241"/>
  <c r="F4241"/>
  <c r="C4242"/>
  <c r="E4242"/>
  <c r="F4242"/>
  <c r="A4243"/>
  <c r="B4243"/>
  <c r="C4243"/>
  <c r="E4243"/>
  <c r="F4243"/>
  <c r="C4244"/>
  <c r="E4244"/>
  <c r="F4244"/>
  <c r="C4245"/>
  <c r="E4245"/>
  <c r="F4245"/>
  <c r="C4246"/>
  <c r="E4246"/>
  <c r="F4246"/>
  <c r="C4247"/>
  <c r="E4247"/>
  <c r="F4247"/>
  <c r="C4248"/>
  <c r="E4248"/>
  <c r="F4248"/>
  <c r="C4249"/>
  <c r="E4249"/>
  <c r="F4249"/>
  <c r="C4250"/>
  <c r="E4250"/>
  <c r="F4250"/>
  <c r="C4251"/>
  <c r="E4251"/>
  <c r="F4251"/>
  <c r="C4252"/>
  <c r="E4252"/>
  <c r="F4252"/>
  <c r="C4253"/>
  <c r="E4253"/>
  <c r="F4253"/>
  <c r="C4254"/>
  <c r="E4254"/>
  <c r="F4254"/>
  <c r="C4255"/>
  <c r="E4255"/>
  <c r="F4255"/>
  <c r="A4256"/>
  <c r="B4256"/>
  <c r="C4256"/>
  <c r="E4256"/>
  <c r="F4256"/>
  <c r="C4257"/>
  <c r="E4257"/>
  <c r="F4257"/>
  <c r="C4258"/>
  <c r="E4258"/>
  <c r="F4258"/>
  <c r="C4259"/>
  <c r="E4259"/>
  <c r="F4259"/>
  <c r="C4260"/>
  <c r="E4260"/>
  <c r="F4260"/>
  <c r="C4261"/>
  <c r="E4261"/>
  <c r="F4261"/>
  <c r="C4262"/>
  <c r="E4262"/>
  <c r="F4262"/>
  <c r="C4263"/>
  <c r="E4263"/>
  <c r="F4263"/>
  <c r="C4264"/>
  <c r="E4264"/>
  <c r="F4264"/>
  <c r="C4265"/>
  <c r="E4265"/>
  <c r="F4265"/>
  <c r="C4266"/>
  <c r="E4266"/>
  <c r="F4266"/>
  <c r="C4267"/>
  <c r="E4267"/>
  <c r="F4267"/>
  <c r="C4268"/>
  <c r="E4268"/>
  <c r="F4268"/>
  <c r="A4269"/>
  <c r="B4269"/>
  <c r="C4269"/>
  <c r="E4269"/>
  <c r="F4269"/>
  <c r="C4270"/>
  <c r="E4270"/>
  <c r="F4270"/>
  <c r="C4271"/>
  <c r="E4271"/>
  <c r="F4271"/>
  <c r="C4272"/>
  <c r="E4272"/>
  <c r="F4272"/>
  <c r="C4273"/>
  <c r="E4273"/>
  <c r="F4273"/>
  <c r="C4274"/>
  <c r="E4274"/>
  <c r="F4274"/>
  <c r="C4275"/>
  <c r="E4275"/>
  <c r="F4275"/>
  <c r="C4276"/>
  <c r="E4276"/>
  <c r="F4276"/>
  <c r="C4277"/>
  <c r="E4277"/>
  <c r="F4277"/>
  <c r="C4278"/>
  <c r="E4278"/>
  <c r="F4278"/>
  <c r="C4279"/>
  <c r="E4279"/>
  <c r="F4279"/>
  <c r="C4280"/>
  <c r="E4280"/>
  <c r="F4280"/>
  <c r="C4281"/>
  <c r="E4281"/>
  <c r="F4281"/>
  <c r="A4282"/>
  <c r="B4282"/>
  <c r="C4282"/>
  <c r="E4282"/>
  <c r="F4282"/>
  <c r="C4283"/>
  <c r="E4283"/>
  <c r="F4283"/>
  <c r="C4284"/>
  <c r="E4284"/>
  <c r="F4284"/>
  <c r="C4285"/>
  <c r="E4285"/>
  <c r="F4285"/>
  <c r="C4286"/>
  <c r="E4286"/>
  <c r="F4286"/>
  <c r="C4287"/>
  <c r="E4287"/>
  <c r="F4287"/>
  <c r="C4288"/>
  <c r="E4288"/>
  <c r="F4288"/>
  <c r="C4289"/>
  <c r="E4289"/>
  <c r="F4289"/>
  <c r="C4290"/>
  <c r="E4290"/>
  <c r="F4290"/>
  <c r="C4291"/>
  <c r="E4291"/>
  <c r="F4291"/>
  <c r="C4292"/>
  <c r="E4292"/>
  <c r="F4292"/>
  <c r="C4293"/>
  <c r="E4293"/>
  <c r="F4293"/>
  <c r="C4294"/>
  <c r="E4294"/>
  <c r="F4294"/>
  <c r="A4295"/>
  <c r="B4295"/>
  <c r="C4295"/>
  <c r="E4295"/>
  <c r="F4295"/>
  <c r="C4296"/>
  <c r="E4296"/>
  <c r="F4296"/>
  <c r="C4297"/>
  <c r="E4297"/>
  <c r="F4297"/>
  <c r="C4298"/>
  <c r="E4298"/>
  <c r="F4298"/>
  <c r="C4299"/>
  <c r="E4299"/>
  <c r="F4299"/>
  <c r="C4300"/>
  <c r="E4300"/>
  <c r="F4300"/>
  <c r="C4301"/>
  <c r="E4301"/>
  <c r="F4301"/>
  <c r="C4302"/>
  <c r="E4302"/>
  <c r="F4302"/>
  <c r="C4303"/>
  <c r="E4303"/>
  <c r="F4303"/>
  <c r="C4304"/>
  <c r="E4304"/>
  <c r="F4304"/>
  <c r="C4305"/>
  <c r="E4305"/>
  <c r="F4305"/>
  <c r="C4306"/>
  <c r="E4306"/>
  <c r="F4306"/>
  <c r="C4307"/>
  <c r="E4307"/>
  <c r="F4307"/>
  <c r="A4308"/>
  <c r="B4308"/>
  <c r="C4308"/>
  <c r="E4308"/>
  <c r="F4308"/>
  <c r="C4309"/>
  <c r="E4309"/>
  <c r="F4309"/>
  <c r="C4310"/>
  <c r="E4310"/>
  <c r="F4310"/>
  <c r="C4311"/>
  <c r="E4311"/>
  <c r="F4311"/>
  <c r="C4312"/>
  <c r="E4312"/>
  <c r="F4312"/>
  <c r="C4313"/>
  <c r="E4313"/>
  <c r="F4313"/>
  <c r="C4314"/>
  <c r="E4314"/>
  <c r="F4314"/>
  <c r="C4315"/>
  <c r="E4315"/>
  <c r="F4315"/>
  <c r="C4316"/>
  <c r="E4316"/>
  <c r="F4316"/>
  <c r="C4317"/>
  <c r="E4317"/>
  <c r="F4317"/>
  <c r="C4318"/>
  <c r="E4318"/>
  <c r="F4318"/>
  <c r="C4319"/>
  <c r="E4319"/>
  <c r="F4319"/>
  <c r="C4320"/>
  <c r="E4320"/>
  <c r="F4320"/>
  <c r="A4321"/>
  <c r="B4321"/>
  <c r="C4321"/>
  <c r="E4321"/>
  <c r="F4321"/>
  <c r="C4322"/>
  <c r="E4322"/>
  <c r="F4322"/>
  <c r="C4323"/>
  <c r="E4323"/>
  <c r="F4323"/>
  <c r="C4324"/>
  <c r="E4324"/>
  <c r="F4324"/>
  <c r="C4325"/>
  <c r="E4325"/>
  <c r="F4325"/>
  <c r="C4326"/>
  <c r="E4326"/>
  <c r="F4326"/>
  <c r="C4327"/>
  <c r="E4327"/>
  <c r="F4327"/>
  <c r="C4328"/>
  <c r="E4328"/>
  <c r="F4328"/>
  <c r="C4329"/>
  <c r="E4329"/>
  <c r="F4329"/>
  <c r="C4330"/>
  <c r="E4330"/>
  <c r="F4330"/>
  <c r="C4331"/>
  <c r="E4331"/>
  <c r="F4331"/>
  <c r="C4332"/>
  <c r="E4332"/>
  <c r="F4332"/>
  <c r="C4333"/>
  <c r="E4333"/>
  <c r="F4333"/>
  <c r="A4334"/>
  <c r="B4334"/>
  <c r="C4334"/>
  <c r="E4334"/>
  <c r="F4334"/>
  <c r="C4335"/>
  <c r="E4335"/>
  <c r="F4335"/>
  <c r="C4336"/>
  <c r="E4336"/>
  <c r="F4336"/>
  <c r="C4337"/>
  <c r="E4337"/>
  <c r="F4337"/>
  <c r="C4338"/>
  <c r="E4338"/>
  <c r="F4338"/>
  <c r="C4339"/>
  <c r="E4339"/>
  <c r="F4339"/>
  <c r="C4340"/>
  <c r="E4340"/>
  <c r="F4340"/>
  <c r="C4341"/>
  <c r="E4341"/>
  <c r="F4341"/>
  <c r="C4342"/>
  <c r="E4342"/>
  <c r="F4342"/>
  <c r="C4343"/>
  <c r="E4343"/>
  <c r="F4343"/>
  <c r="C4344"/>
  <c r="E4344"/>
  <c r="F4344"/>
  <c r="C4345"/>
  <c r="E4345"/>
  <c r="F4345"/>
  <c r="C4346"/>
  <c r="E4346"/>
  <c r="F4346"/>
  <c r="A4347"/>
  <c r="B4347"/>
  <c r="C4347"/>
  <c r="E4347"/>
  <c r="F4347"/>
  <c r="C4348"/>
  <c r="E4348"/>
  <c r="F4348"/>
  <c r="C4349"/>
  <c r="E4349"/>
  <c r="F4349"/>
  <c r="C4350"/>
  <c r="E4350"/>
  <c r="F4350"/>
  <c r="C4351"/>
  <c r="E4351"/>
  <c r="F4351"/>
  <c r="C4352"/>
  <c r="E4352"/>
  <c r="F4352"/>
  <c r="C4353"/>
  <c r="E4353"/>
  <c r="F4353"/>
  <c r="C4354"/>
  <c r="E4354"/>
  <c r="F4354"/>
  <c r="C4355"/>
  <c r="E4355"/>
  <c r="F4355"/>
  <c r="C4356"/>
  <c r="E4356"/>
  <c r="F4356"/>
  <c r="C4357"/>
  <c r="E4357"/>
  <c r="F4357"/>
  <c r="C4358"/>
  <c r="E4358"/>
  <c r="F4358"/>
  <c r="C4359"/>
  <c r="E4359"/>
  <c r="F4359"/>
  <c r="A4360"/>
  <c r="B4360"/>
  <c r="C4360"/>
  <c r="E4360"/>
  <c r="F4360"/>
  <c r="C4361"/>
  <c r="E4361"/>
  <c r="F4361"/>
  <c r="C4362"/>
  <c r="E4362"/>
  <c r="F4362"/>
  <c r="C4363"/>
  <c r="E4363"/>
  <c r="F4363"/>
  <c r="C4364"/>
  <c r="E4364"/>
  <c r="F4364"/>
  <c r="C4365"/>
  <c r="E4365"/>
  <c r="F4365"/>
  <c r="C4366"/>
  <c r="E4366"/>
  <c r="F4366"/>
  <c r="C4367"/>
  <c r="E4367"/>
  <c r="F4367"/>
  <c r="C4368"/>
  <c r="E4368"/>
  <c r="F4368"/>
  <c r="C4369"/>
  <c r="E4369"/>
  <c r="F4369"/>
  <c r="C4370"/>
  <c r="E4370"/>
  <c r="F4370"/>
  <c r="C4371"/>
  <c r="E4371"/>
  <c r="F4371"/>
  <c r="C4372"/>
  <c r="E4372"/>
  <c r="F4372"/>
  <c r="A4373"/>
  <c r="B4373"/>
  <c r="C4373"/>
  <c r="E4373"/>
  <c r="F4373"/>
  <c r="C4374"/>
  <c r="E4374"/>
  <c r="F4374"/>
  <c r="C4375"/>
  <c r="E4375"/>
  <c r="F4375"/>
  <c r="C4376"/>
  <c r="E4376"/>
  <c r="F4376"/>
  <c r="C4377"/>
  <c r="E4377"/>
  <c r="F4377"/>
  <c r="C4378"/>
  <c r="E4378"/>
  <c r="F4378"/>
  <c r="C4379"/>
  <c r="E4379"/>
  <c r="F4379"/>
  <c r="C4380"/>
  <c r="E4380"/>
  <c r="F4380"/>
  <c r="C4381"/>
  <c r="E4381"/>
  <c r="F4381"/>
  <c r="C4382"/>
  <c r="E4382"/>
  <c r="F4382"/>
  <c r="C4383"/>
  <c r="E4383"/>
  <c r="F4383"/>
  <c r="C4384"/>
  <c r="E4384"/>
  <c r="F4384"/>
  <c r="C4385"/>
  <c r="E4385"/>
  <c r="F4385"/>
  <c r="A4386"/>
  <c r="B4386"/>
  <c r="C4386"/>
  <c r="E4386"/>
  <c r="F4386"/>
  <c r="C4387"/>
  <c r="E4387"/>
  <c r="F4387"/>
  <c r="C4388"/>
  <c r="E4388"/>
  <c r="F4388"/>
  <c r="C4389"/>
  <c r="E4389"/>
  <c r="F4389"/>
  <c r="C4390"/>
  <c r="E4390"/>
  <c r="F4390"/>
  <c r="C4391"/>
  <c r="E4391"/>
  <c r="F4391"/>
  <c r="C4392"/>
  <c r="E4392"/>
  <c r="F4392"/>
  <c r="C4393"/>
  <c r="E4393"/>
  <c r="F4393"/>
  <c r="C4394"/>
  <c r="E4394"/>
  <c r="F4394"/>
  <c r="C4395"/>
  <c r="E4395"/>
  <c r="F4395"/>
  <c r="C4396"/>
  <c r="E4396"/>
  <c r="F4396"/>
  <c r="C4397"/>
  <c r="E4397"/>
  <c r="F4397"/>
  <c r="C4398"/>
  <c r="E4398"/>
  <c r="F4398"/>
  <c r="A4399"/>
  <c r="B4399"/>
  <c r="C4399"/>
  <c r="E4399"/>
  <c r="F4399"/>
  <c r="C4400"/>
  <c r="E4400"/>
  <c r="F4400"/>
  <c r="C4401"/>
  <c r="E4401"/>
  <c r="F4401"/>
  <c r="C4402"/>
  <c r="E4402"/>
  <c r="F4402"/>
  <c r="C4403"/>
  <c r="E4403"/>
  <c r="F4403"/>
  <c r="C4404"/>
  <c r="E4404"/>
  <c r="F4404"/>
  <c r="C4405"/>
  <c r="E4405"/>
  <c r="F4405"/>
  <c r="C4406"/>
  <c r="E4406"/>
  <c r="F4406"/>
  <c r="C4407"/>
  <c r="E4407"/>
  <c r="F4407"/>
  <c r="C4408"/>
  <c r="E4408"/>
  <c r="F4408"/>
  <c r="C4409"/>
  <c r="E4409"/>
  <c r="F4409"/>
  <c r="C4410"/>
  <c r="E4410"/>
  <c r="F4410"/>
  <c r="C4411"/>
  <c r="E4411"/>
  <c r="F4411"/>
  <c r="A4412"/>
  <c r="B4412"/>
  <c r="C4412"/>
  <c r="E4412"/>
  <c r="F4412"/>
  <c r="C4413"/>
  <c r="E4413"/>
  <c r="F4413"/>
  <c r="C4414"/>
  <c r="E4414"/>
  <c r="F4414"/>
  <c r="C4415"/>
  <c r="E4415"/>
  <c r="F4415"/>
  <c r="C4416"/>
  <c r="E4416"/>
  <c r="F4416"/>
  <c r="C4417"/>
  <c r="E4417"/>
  <c r="F4417"/>
  <c r="C4418"/>
  <c r="E4418"/>
  <c r="F4418"/>
  <c r="C4419"/>
  <c r="E4419"/>
  <c r="F4419"/>
  <c r="C4420"/>
  <c r="E4420"/>
  <c r="F4420"/>
  <c r="C4421"/>
  <c r="E4421"/>
  <c r="F4421"/>
  <c r="C4422"/>
  <c r="E4422"/>
  <c r="F4422"/>
  <c r="C4423"/>
  <c r="E4423"/>
  <c r="F4423"/>
  <c r="C4424"/>
  <c r="E4424"/>
  <c r="F4424"/>
  <c r="A4425"/>
  <c r="B4425"/>
  <c r="C4425"/>
  <c r="E4425"/>
  <c r="F4425"/>
  <c r="C4426"/>
  <c r="E4426"/>
  <c r="F4426"/>
  <c r="C4427"/>
  <c r="E4427"/>
  <c r="F4427"/>
  <c r="C4428"/>
  <c r="E4428"/>
  <c r="F4428"/>
  <c r="C4429"/>
  <c r="E4429"/>
  <c r="F4429"/>
  <c r="C4430"/>
  <c r="E4430"/>
  <c r="F4430"/>
  <c r="C4431"/>
  <c r="E4431"/>
  <c r="F4431"/>
  <c r="C4432"/>
  <c r="E4432"/>
  <c r="F4432"/>
  <c r="C4433"/>
  <c r="E4433"/>
  <c r="F4433"/>
  <c r="C4434"/>
  <c r="E4434"/>
  <c r="F4434"/>
  <c r="C4435"/>
  <c r="E4435"/>
  <c r="F4435"/>
  <c r="C4436"/>
  <c r="E4436"/>
  <c r="F4436"/>
  <c r="C4437"/>
  <c r="E4437"/>
  <c r="F4437"/>
  <c r="A4438"/>
  <c r="B4438"/>
  <c r="C4438"/>
  <c r="E4438"/>
  <c r="F4438"/>
  <c r="C4439"/>
  <c r="E4439"/>
  <c r="F4439"/>
  <c r="C4440"/>
  <c r="E4440"/>
  <c r="F4440"/>
  <c r="C4441"/>
  <c r="E4441"/>
  <c r="F4441"/>
  <c r="C4442"/>
  <c r="E4442"/>
  <c r="F4442"/>
  <c r="C4443"/>
  <c r="E4443"/>
  <c r="F4443"/>
  <c r="C4444"/>
  <c r="E4444"/>
  <c r="F4444"/>
  <c r="C4445"/>
  <c r="E4445"/>
  <c r="F4445"/>
  <c r="C4446"/>
  <c r="E4446"/>
  <c r="F4446"/>
  <c r="C4447"/>
  <c r="E4447"/>
  <c r="F4447"/>
  <c r="C4448"/>
  <c r="E4448"/>
  <c r="F4448"/>
  <c r="C4449"/>
  <c r="E4449"/>
  <c r="F4449"/>
  <c r="C4450"/>
  <c r="E4450"/>
  <c r="F4450"/>
  <c r="A4451"/>
  <c r="B4451"/>
  <c r="C4451"/>
  <c r="E4451"/>
  <c r="F4451"/>
  <c r="C4452"/>
  <c r="E4452"/>
  <c r="F4452"/>
  <c r="C4453"/>
  <c r="E4453"/>
  <c r="F4453"/>
  <c r="C4454"/>
  <c r="E4454"/>
  <c r="F4454"/>
  <c r="C4455"/>
  <c r="E4455"/>
  <c r="F4455"/>
  <c r="C4456"/>
  <c r="E4456"/>
  <c r="F4456"/>
  <c r="C4457"/>
  <c r="E4457"/>
  <c r="F4457"/>
  <c r="C4458"/>
  <c r="E4458"/>
  <c r="F4458"/>
  <c r="C4459"/>
  <c r="E4459"/>
  <c r="F4459"/>
  <c r="C4460"/>
  <c r="E4460"/>
  <c r="F4460"/>
  <c r="C4461"/>
  <c r="E4461"/>
  <c r="F4461"/>
  <c r="C4462"/>
  <c r="E4462"/>
  <c r="F4462"/>
  <c r="C4463"/>
  <c r="E4463"/>
  <c r="F4463"/>
  <c r="A4464"/>
  <c r="B4464"/>
  <c r="C4464"/>
  <c r="E4464"/>
  <c r="F4464"/>
  <c r="C4465"/>
  <c r="E4465"/>
  <c r="F4465"/>
  <c r="C4466"/>
  <c r="E4466"/>
  <c r="F4466"/>
  <c r="C4467"/>
  <c r="E4467"/>
  <c r="F4467"/>
  <c r="C4468"/>
  <c r="E4468"/>
  <c r="F4468"/>
  <c r="C4469"/>
  <c r="E4469"/>
  <c r="F4469"/>
  <c r="C4470"/>
  <c r="E4470"/>
  <c r="F4470"/>
  <c r="C4471"/>
  <c r="E4471"/>
  <c r="F4471"/>
  <c r="C4472"/>
  <c r="E4472"/>
  <c r="F4472"/>
  <c r="C4473"/>
  <c r="E4473"/>
  <c r="F4473"/>
  <c r="C4474"/>
  <c r="E4474"/>
  <c r="F4474"/>
  <c r="C4475"/>
  <c r="E4475"/>
  <c r="F4475"/>
  <c r="C4476"/>
  <c r="E4476"/>
  <c r="F4476"/>
  <c r="A4477"/>
  <c r="B4477"/>
  <c r="C4477"/>
  <c r="E4477"/>
  <c r="F4477"/>
  <c r="C4478"/>
  <c r="E4478"/>
  <c r="F4478"/>
  <c r="C4479"/>
  <c r="E4479"/>
  <c r="F4479"/>
  <c r="C4480"/>
  <c r="E4480"/>
  <c r="F4480"/>
  <c r="C4481"/>
  <c r="E4481"/>
  <c r="F4481"/>
  <c r="C4482"/>
  <c r="E4482"/>
  <c r="F4482"/>
  <c r="C4483"/>
  <c r="E4483"/>
  <c r="F4483"/>
  <c r="C4484"/>
  <c r="E4484"/>
  <c r="F4484"/>
  <c r="C4485"/>
  <c r="E4485"/>
  <c r="F4485"/>
  <c r="C4486"/>
  <c r="E4486"/>
  <c r="F4486"/>
  <c r="C4487"/>
  <c r="E4487"/>
  <c r="F4487"/>
  <c r="C4488"/>
  <c r="E4488"/>
  <c r="F4488"/>
  <c r="C4489"/>
  <c r="E4489"/>
  <c r="F4489"/>
  <c r="A4490"/>
  <c r="B4490"/>
  <c r="C4490"/>
  <c r="E4490"/>
  <c r="F4490"/>
  <c r="C4491"/>
  <c r="E4491"/>
  <c r="F4491"/>
  <c r="C4492"/>
  <c r="E4492"/>
  <c r="F4492"/>
  <c r="C4493"/>
  <c r="E4493"/>
  <c r="F4493"/>
  <c r="C4494"/>
  <c r="E4494"/>
  <c r="F4494"/>
  <c r="C4495"/>
  <c r="E4495"/>
  <c r="F4495"/>
  <c r="C4496"/>
  <c r="E4496"/>
  <c r="F4496"/>
  <c r="C4497"/>
  <c r="E4497"/>
  <c r="F4497"/>
  <c r="C4498"/>
  <c r="E4498"/>
  <c r="F4498"/>
  <c r="C4499"/>
  <c r="E4499"/>
  <c r="F4499"/>
  <c r="C4500"/>
  <c r="E4500"/>
  <c r="F4500"/>
  <c r="C4501"/>
  <c r="E4501"/>
  <c r="F4501"/>
  <c r="C4502"/>
  <c r="E4502"/>
  <c r="F4502"/>
  <c r="A4503"/>
  <c r="B4503"/>
  <c r="C4503"/>
  <c r="E4503"/>
  <c r="F4503"/>
  <c r="C4504"/>
  <c r="E4504"/>
  <c r="F4504"/>
  <c r="C4505"/>
  <c r="E4505"/>
  <c r="F4505"/>
  <c r="C4506"/>
  <c r="E4506"/>
  <c r="F4506"/>
  <c r="C4507"/>
  <c r="E4507"/>
  <c r="F4507"/>
  <c r="C4508"/>
  <c r="E4508"/>
  <c r="F4508"/>
  <c r="C4509"/>
  <c r="E4509"/>
  <c r="F4509"/>
  <c r="C4510"/>
  <c r="E4510"/>
  <c r="F4510"/>
  <c r="C4511"/>
  <c r="E4511"/>
  <c r="F4511"/>
  <c r="C4512"/>
  <c r="E4512"/>
  <c r="F4512"/>
  <c r="C4513"/>
  <c r="E4513"/>
  <c r="F4513"/>
  <c r="C4514"/>
  <c r="E4514"/>
  <c r="F4514"/>
  <c r="C4515"/>
  <c r="E4515"/>
  <c r="F4515"/>
  <c r="A4516"/>
  <c r="B4516"/>
  <c r="C4516"/>
  <c r="E4516"/>
  <c r="F4516"/>
  <c r="C4517"/>
  <c r="E4517"/>
  <c r="F4517"/>
  <c r="C4518"/>
  <c r="E4518"/>
  <c r="F4518"/>
  <c r="C4519"/>
  <c r="E4519"/>
  <c r="F4519"/>
  <c r="C4520"/>
  <c r="E4520"/>
  <c r="F4520"/>
  <c r="C4521"/>
  <c r="E4521"/>
  <c r="F4521"/>
  <c r="C4522"/>
  <c r="E4522"/>
  <c r="F4522"/>
  <c r="C4523"/>
  <c r="E4523"/>
  <c r="F4523"/>
  <c r="C4524"/>
  <c r="E4524"/>
  <c r="F4524"/>
  <c r="C4525"/>
  <c r="E4525"/>
  <c r="F4525"/>
  <c r="C4526"/>
  <c r="E4526"/>
  <c r="F4526"/>
  <c r="C4527"/>
  <c r="E4527"/>
  <c r="F4527"/>
  <c r="C4528"/>
  <c r="E4528"/>
  <c r="F4528"/>
  <c r="A4529"/>
  <c r="B4529"/>
  <c r="C4529"/>
  <c r="E4529"/>
  <c r="F4529"/>
  <c r="C4530"/>
  <c r="E4530"/>
  <c r="F4530"/>
  <c r="C4531"/>
  <c r="E4531"/>
  <c r="F4531"/>
  <c r="C4532"/>
  <c r="E4532"/>
  <c r="F4532"/>
  <c r="C4533"/>
  <c r="E4533"/>
  <c r="F4533"/>
  <c r="C4534"/>
  <c r="E4534"/>
  <c r="F4534"/>
  <c r="C4535"/>
  <c r="E4535"/>
  <c r="F4535"/>
  <c r="C4536"/>
  <c r="E4536"/>
  <c r="F4536"/>
  <c r="C4537"/>
  <c r="E4537"/>
  <c r="F4537"/>
  <c r="C4538"/>
  <c r="E4538"/>
  <c r="F4538"/>
  <c r="C4539"/>
  <c r="E4539"/>
  <c r="F4539"/>
  <c r="C4540"/>
  <c r="E4540"/>
  <c r="F4540"/>
  <c r="C4541"/>
  <c r="E4541"/>
  <c r="F4541"/>
  <c r="A4542"/>
  <c r="B4542"/>
  <c r="C4542"/>
  <c r="E4542"/>
  <c r="F4542"/>
  <c r="C4543"/>
  <c r="E4543"/>
  <c r="F4543"/>
  <c r="C4544"/>
  <c r="E4544"/>
  <c r="F4544"/>
  <c r="C4545"/>
  <c r="E4545"/>
  <c r="F4545"/>
  <c r="C4546"/>
  <c r="E4546"/>
  <c r="F4546"/>
  <c r="C4547"/>
  <c r="E4547"/>
  <c r="F4547"/>
  <c r="C4548"/>
  <c r="E4548"/>
  <c r="F4548"/>
  <c r="C4549"/>
  <c r="E4549"/>
  <c r="F4549"/>
  <c r="C4550"/>
  <c r="E4550"/>
  <c r="F4550"/>
  <c r="C4551"/>
  <c r="E4551"/>
  <c r="F4551"/>
  <c r="C4552"/>
  <c r="E4552"/>
  <c r="F4552"/>
  <c r="C4553"/>
  <c r="E4553"/>
  <c r="F4553"/>
  <c r="C4554"/>
  <c r="E4554"/>
  <c r="F4554"/>
  <c r="A4555"/>
  <c r="B4555"/>
  <c r="C4555"/>
  <c r="E4555"/>
  <c r="F4555"/>
  <c r="C4556"/>
  <c r="E4556"/>
  <c r="F4556"/>
  <c r="C4557"/>
  <c r="E4557"/>
  <c r="F4557"/>
  <c r="C4558"/>
  <c r="E4558"/>
  <c r="F4558"/>
  <c r="C4559"/>
  <c r="E4559"/>
  <c r="F4559"/>
  <c r="C4560"/>
  <c r="E4560"/>
  <c r="F4560"/>
  <c r="C4561"/>
  <c r="E4561"/>
  <c r="F4561"/>
  <c r="C4562"/>
  <c r="E4562"/>
  <c r="F4562"/>
  <c r="C4563"/>
  <c r="E4563"/>
  <c r="F4563"/>
  <c r="C4564"/>
  <c r="E4564"/>
  <c r="F4564"/>
  <c r="C4565"/>
  <c r="E4565"/>
  <c r="F4565"/>
  <c r="C4566"/>
  <c r="E4566"/>
  <c r="F4566"/>
  <c r="C4567"/>
  <c r="E4567"/>
  <c r="F4567"/>
  <c r="A4568"/>
  <c r="B4568"/>
  <c r="C4568"/>
  <c r="E4568"/>
  <c r="F4568"/>
  <c r="C4569"/>
  <c r="E4569"/>
  <c r="F4569"/>
  <c r="C4570"/>
  <c r="E4570"/>
  <c r="F4570"/>
  <c r="C4571"/>
  <c r="E4571"/>
  <c r="F4571"/>
  <c r="C4572"/>
  <c r="E4572"/>
  <c r="F4572"/>
  <c r="C4573"/>
  <c r="E4573"/>
  <c r="F4573"/>
  <c r="C4574"/>
  <c r="E4574"/>
  <c r="F4574"/>
  <c r="C4575"/>
  <c r="E4575"/>
  <c r="F4575"/>
  <c r="C4576"/>
  <c r="E4576"/>
  <c r="F4576"/>
  <c r="C4577"/>
  <c r="E4577"/>
  <c r="F4577"/>
  <c r="C4578"/>
  <c r="E4578"/>
  <c r="F4578"/>
  <c r="C4579"/>
  <c r="E4579"/>
  <c r="F4579"/>
  <c r="C4580"/>
  <c r="E4580"/>
  <c r="F4580"/>
  <c r="A4581"/>
  <c r="B4581"/>
  <c r="C4581"/>
  <c r="E4581"/>
  <c r="F4581"/>
  <c r="C4582"/>
  <c r="E4582"/>
  <c r="F4582"/>
  <c r="C4583"/>
  <c r="E4583"/>
  <c r="F4583"/>
  <c r="C4584"/>
  <c r="E4584"/>
  <c r="F4584"/>
  <c r="C4585"/>
  <c r="E4585"/>
  <c r="F4585"/>
  <c r="C4586"/>
  <c r="E4586"/>
  <c r="F4586"/>
  <c r="C4587"/>
  <c r="E4587"/>
  <c r="F4587"/>
  <c r="C4588"/>
  <c r="E4588"/>
  <c r="F4588"/>
  <c r="C4589"/>
  <c r="E4589"/>
  <c r="F4589"/>
  <c r="C4590"/>
  <c r="E4590"/>
  <c r="F4590"/>
  <c r="C4591"/>
  <c r="E4591"/>
  <c r="F4591"/>
  <c r="C4592"/>
  <c r="E4592"/>
  <c r="F4592"/>
  <c r="C4593"/>
  <c r="E4593"/>
  <c r="F4593"/>
  <c r="A4594"/>
  <c r="B4594"/>
  <c r="C4594"/>
  <c r="E4594"/>
  <c r="F4594"/>
  <c r="C4595"/>
  <c r="E4595"/>
  <c r="F4595"/>
  <c r="C4596"/>
  <c r="E4596"/>
  <c r="F4596"/>
  <c r="C4597"/>
  <c r="E4597"/>
  <c r="F4597"/>
  <c r="C4598"/>
  <c r="E4598"/>
  <c r="F4598"/>
  <c r="C4599"/>
  <c r="E4599"/>
  <c r="F4599"/>
  <c r="C4600"/>
  <c r="E4600"/>
  <c r="F4600"/>
  <c r="C4601"/>
  <c r="E4601"/>
  <c r="F4601"/>
  <c r="C4602"/>
  <c r="E4602"/>
  <c r="F4602"/>
  <c r="C4603"/>
  <c r="E4603"/>
  <c r="F4603"/>
  <c r="C4604"/>
  <c r="E4604"/>
  <c r="F4604"/>
  <c r="C4605"/>
  <c r="E4605"/>
  <c r="F4605"/>
  <c r="C4606"/>
  <c r="E4606"/>
  <c r="F4606"/>
  <c r="A4607"/>
  <c r="B4607"/>
  <c r="C4607"/>
  <c r="E4607"/>
  <c r="F4607"/>
  <c r="C4608"/>
  <c r="E4608"/>
  <c r="F4608"/>
  <c r="C4609"/>
  <c r="E4609"/>
  <c r="F4609"/>
  <c r="C4610"/>
  <c r="E4610"/>
  <c r="F4610"/>
  <c r="C4611"/>
  <c r="E4611"/>
  <c r="F4611"/>
  <c r="C4612"/>
  <c r="E4612"/>
  <c r="F4612"/>
  <c r="C4613"/>
  <c r="E4613"/>
  <c r="F4613"/>
  <c r="C4614"/>
  <c r="E4614"/>
  <c r="F4614"/>
  <c r="C4615"/>
  <c r="E4615"/>
  <c r="F4615"/>
  <c r="C4616"/>
  <c r="E4616"/>
  <c r="F4616"/>
  <c r="C4617"/>
  <c r="E4617"/>
  <c r="F4617"/>
  <c r="C4618"/>
  <c r="E4618"/>
  <c r="F4618"/>
  <c r="C4619"/>
  <c r="E4619"/>
  <c r="F4619"/>
  <c r="A4620"/>
  <c r="B4620"/>
  <c r="C4620"/>
  <c r="E4620"/>
  <c r="F4620"/>
  <c r="C4621"/>
  <c r="E4621"/>
  <c r="F4621"/>
  <c r="C4622"/>
  <c r="E4622"/>
  <c r="F4622"/>
  <c r="C4623"/>
  <c r="E4623"/>
  <c r="F4623"/>
  <c r="C4624"/>
  <c r="E4624"/>
  <c r="F4624"/>
  <c r="C4625"/>
  <c r="E4625"/>
  <c r="F4625"/>
  <c r="C4626"/>
  <c r="E4626"/>
  <c r="F4626"/>
  <c r="C4627"/>
  <c r="E4627"/>
  <c r="F4627"/>
  <c r="C4628"/>
  <c r="E4628"/>
  <c r="F4628"/>
  <c r="C4629"/>
  <c r="E4629"/>
  <c r="F4629"/>
  <c r="C4630"/>
  <c r="E4630"/>
  <c r="F4630"/>
  <c r="C4631"/>
  <c r="E4631"/>
  <c r="F4631"/>
  <c r="C4632"/>
  <c r="E4632"/>
  <c r="F4632"/>
  <c r="A4633"/>
  <c r="B4633"/>
  <c r="C4633"/>
  <c r="E4633"/>
  <c r="F4633"/>
  <c r="C4634"/>
  <c r="E4634"/>
  <c r="F4634"/>
  <c r="C4635"/>
  <c r="E4635"/>
  <c r="F4635"/>
  <c r="C4636"/>
  <c r="E4636"/>
  <c r="F4636"/>
  <c r="C4637"/>
  <c r="E4637"/>
  <c r="F4637"/>
  <c r="C4638"/>
  <c r="E4638"/>
  <c r="F4638"/>
  <c r="C4639"/>
  <c r="E4639"/>
  <c r="F4639"/>
  <c r="C4640"/>
  <c r="E4640"/>
  <c r="F4640"/>
  <c r="C4641"/>
  <c r="E4641"/>
  <c r="F4641"/>
  <c r="C4642"/>
  <c r="E4642"/>
  <c r="F4642"/>
  <c r="C4643"/>
  <c r="E4643"/>
  <c r="F4643"/>
  <c r="C4644"/>
  <c r="E4644"/>
  <c r="F4644"/>
  <c r="C4645"/>
  <c r="E4645"/>
  <c r="F4645"/>
  <c r="A4646"/>
  <c r="B4646"/>
  <c r="C4646"/>
  <c r="E4646"/>
  <c r="F4646"/>
  <c r="C4647"/>
  <c r="E4647"/>
  <c r="F4647"/>
  <c r="C4648"/>
  <c r="E4648"/>
  <c r="F4648"/>
  <c r="C4649"/>
  <c r="E4649"/>
  <c r="F4649"/>
  <c r="C4650"/>
  <c r="E4650"/>
  <c r="F4650"/>
  <c r="C4651"/>
  <c r="E4651"/>
  <c r="F4651"/>
  <c r="C4652"/>
  <c r="E4652"/>
  <c r="F4652"/>
  <c r="C4653"/>
  <c r="E4653"/>
  <c r="F4653"/>
  <c r="C4654"/>
  <c r="E4654"/>
  <c r="F4654"/>
  <c r="C4655"/>
  <c r="E4655"/>
  <c r="F4655"/>
  <c r="C4656"/>
  <c r="E4656"/>
  <c r="F4656"/>
  <c r="C4657"/>
  <c r="E4657"/>
  <c r="F4657"/>
  <c r="C4658"/>
  <c r="E4658"/>
  <c r="F4658"/>
  <c r="A4659"/>
  <c r="B4659"/>
  <c r="C4659"/>
  <c r="E4659"/>
  <c r="F4659"/>
  <c r="C4660"/>
  <c r="E4660"/>
  <c r="F4660"/>
  <c r="C4661"/>
  <c r="E4661"/>
  <c r="F4661"/>
  <c r="C4662"/>
  <c r="E4662"/>
  <c r="F4662"/>
  <c r="C4663"/>
  <c r="E4663"/>
  <c r="F4663"/>
  <c r="C4664"/>
  <c r="E4664"/>
  <c r="F4664"/>
  <c r="C4665"/>
  <c r="E4665"/>
  <c r="F4665"/>
  <c r="C4666"/>
  <c r="E4666"/>
  <c r="F4666"/>
  <c r="C4667"/>
  <c r="E4667"/>
  <c r="F4667"/>
  <c r="C4668"/>
  <c r="E4668"/>
  <c r="F4668"/>
  <c r="C4669"/>
  <c r="E4669"/>
  <c r="F4669"/>
  <c r="C4670"/>
  <c r="E4670"/>
  <c r="F4670"/>
  <c r="C4671"/>
  <c r="E4671"/>
  <c r="F4671"/>
  <c r="A4672"/>
  <c r="B4672"/>
  <c r="C4672"/>
  <c r="E4672"/>
  <c r="F4672"/>
  <c r="C4673"/>
  <c r="E4673"/>
  <c r="F4673"/>
  <c r="C4674"/>
  <c r="E4674"/>
  <c r="F4674"/>
  <c r="C4675"/>
  <c r="E4675"/>
  <c r="F4675"/>
  <c r="C4676"/>
  <c r="E4676"/>
  <c r="F4676"/>
  <c r="C4677"/>
  <c r="E4677"/>
  <c r="F4677"/>
  <c r="C4678"/>
  <c r="E4678"/>
  <c r="F4678"/>
  <c r="C4679"/>
  <c r="E4679"/>
  <c r="F4679"/>
  <c r="C4680"/>
  <c r="E4680"/>
  <c r="F4680"/>
  <c r="C4681"/>
  <c r="E4681"/>
  <c r="F4681"/>
  <c r="C4682"/>
  <c r="E4682"/>
  <c r="F4682"/>
  <c r="C4683"/>
  <c r="E4683"/>
  <c r="F4683"/>
  <c r="C4684"/>
  <c r="E4684"/>
  <c r="F4684"/>
  <c r="A4685"/>
  <c r="B4685"/>
  <c r="C4685"/>
  <c r="E4685"/>
  <c r="F4685"/>
  <c r="C4686"/>
  <c r="E4686"/>
  <c r="F4686"/>
  <c r="C4687"/>
  <c r="E4687"/>
  <c r="F4687"/>
  <c r="C4688"/>
  <c r="E4688"/>
  <c r="F4688"/>
  <c r="C4689"/>
  <c r="E4689"/>
  <c r="F4689"/>
  <c r="C4690"/>
  <c r="E4690"/>
  <c r="F4690"/>
  <c r="C4691"/>
  <c r="E4691"/>
  <c r="F4691"/>
  <c r="C4692"/>
  <c r="E4692"/>
  <c r="F4692"/>
  <c r="C4693"/>
  <c r="E4693"/>
  <c r="F4693"/>
  <c r="C4694"/>
  <c r="E4694"/>
  <c r="F4694"/>
  <c r="C4695"/>
  <c r="E4695"/>
  <c r="F4695"/>
  <c r="C4696"/>
  <c r="E4696"/>
  <c r="F4696"/>
  <c r="C4697"/>
  <c r="E4697"/>
  <c r="F4697"/>
  <c r="A4698"/>
  <c r="B4698"/>
  <c r="C4698"/>
  <c r="E4698"/>
  <c r="F4698"/>
  <c r="C4699"/>
  <c r="E4699"/>
  <c r="F4699"/>
  <c r="C4700"/>
  <c r="E4700"/>
  <c r="F4700"/>
  <c r="C4701"/>
  <c r="E4701"/>
  <c r="F4701"/>
  <c r="C4702"/>
  <c r="E4702"/>
  <c r="F4702"/>
  <c r="C4703"/>
  <c r="E4703"/>
  <c r="F4703"/>
  <c r="C4704"/>
  <c r="E4704"/>
  <c r="F4704"/>
  <c r="C4705"/>
  <c r="E4705"/>
  <c r="F4705"/>
  <c r="C4706"/>
  <c r="E4706"/>
  <c r="F4706"/>
  <c r="C4707"/>
  <c r="E4707"/>
  <c r="F4707"/>
  <c r="C4708"/>
  <c r="E4708"/>
  <c r="F4708"/>
  <c r="C4709"/>
  <c r="E4709"/>
  <c r="F4709"/>
  <c r="C4710"/>
  <c r="E4710"/>
  <c r="F4710"/>
  <c r="A4711"/>
  <c r="B4711"/>
  <c r="C4711"/>
  <c r="E4711"/>
  <c r="F4711"/>
  <c r="C4712"/>
  <c r="E4712"/>
  <c r="F4712"/>
  <c r="C4713"/>
  <c r="E4713"/>
  <c r="F4713"/>
  <c r="C4714"/>
  <c r="E4714"/>
  <c r="F4714"/>
  <c r="C4715"/>
  <c r="E4715"/>
  <c r="F4715"/>
  <c r="C4716"/>
  <c r="E4716"/>
  <c r="F4716"/>
  <c r="C4717"/>
  <c r="E4717"/>
  <c r="F4717"/>
  <c r="C4718"/>
  <c r="E4718"/>
  <c r="F4718"/>
  <c r="C4719"/>
  <c r="E4719"/>
  <c r="F4719"/>
  <c r="C4720"/>
  <c r="E4720"/>
  <c r="F4720"/>
  <c r="C4721"/>
  <c r="E4721"/>
  <c r="F4721"/>
  <c r="C4722"/>
  <c r="E4722"/>
  <c r="F4722"/>
  <c r="C4723"/>
  <c r="E4723"/>
  <c r="F4723"/>
  <c r="A4724"/>
  <c r="B4724"/>
  <c r="C4724"/>
  <c r="E4724"/>
  <c r="F4724"/>
  <c r="A4725"/>
  <c r="B4725"/>
  <c r="C4725"/>
  <c r="E4725"/>
  <c r="F4725"/>
  <c r="A4726"/>
  <c r="B4726"/>
  <c r="C4726"/>
  <c r="E4726"/>
  <c r="F4726"/>
  <c r="A4727"/>
  <c r="B4727"/>
  <c r="C4727"/>
  <c r="E4727"/>
  <c r="F4727"/>
  <c r="A4728"/>
  <c r="B4728"/>
  <c r="C4728"/>
  <c r="E4728"/>
  <c r="F4728"/>
  <c r="A4729"/>
  <c r="B4729"/>
  <c r="C4729"/>
  <c r="E4729"/>
  <c r="F4729"/>
  <c r="A4730"/>
  <c r="B4730"/>
  <c r="C4730"/>
  <c r="E4730"/>
  <c r="F4730"/>
  <c r="A4731"/>
  <c r="B4731"/>
  <c r="C4731"/>
  <c r="E4731"/>
  <c r="F4731"/>
  <c r="A4732"/>
  <c r="B4732"/>
  <c r="C4732"/>
  <c r="E4732"/>
  <c r="F4732"/>
  <c r="A4733"/>
  <c r="B4733"/>
  <c r="C4733"/>
  <c r="E4733"/>
  <c r="F4733"/>
  <c r="A4734"/>
  <c r="B4734"/>
  <c r="C4734"/>
  <c r="E4734"/>
  <c r="F4734"/>
  <c r="A4735"/>
  <c r="B4735"/>
  <c r="C4735"/>
  <c r="E4735"/>
  <c r="F4735"/>
  <c r="A4736"/>
  <c r="B4736"/>
  <c r="C4736"/>
  <c r="E4736"/>
  <c r="F4736"/>
  <c r="A4737"/>
  <c r="B4737"/>
  <c r="C4737"/>
  <c r="E4737"/>
  <c r="F4737"/>
  <c r="A4738"/>
  <c r="B4738"/>
  <c r="C4738"/>
  <c r="E4738"/>
  <c r="F4738"/>
  <c r="A4739"/>
  <c r="B4739"/>
  <c r="C4739"/>
  <c r="E4739"/>
  <c r="F4739"/>
  <c r="A4740"/>
  <c r="B4740"/>
  <c r="C4740"/>
  <c r="E4740"/>
  <c r="F4740"/>
  <c r="A4741"/>
  <c r="B4741"/>
  <c r="C4741"/>
  <c r="E4741"/>
  <c r="F4741"/>
  <c r="A4742"/>
  <c r="B4742"/>
  <c r="C4742"/>
  <c r="E4742"/>
  <c r="F4742"/>
  <c r="A4743"/>
  <c r="B4743"/>
  <c r="C4743"/>
  <c r="E4743"/>
  <c r="F4743"/>
  <c r="A4744"/>
  <c r="B4744"/>
  <c r="C4744"/>
  <c r="E4744"/>
  <c r="F4744"/>
  <c r="A4745"/>
  <c r="B4745"/>
  <c r="C4745"/>
  <c r="E4745"/>
  <c r="F4745"/>
  <c r="A4746"/>
  <c r="B4746"/>
  <c r="C4746"/>
  <c r="E4746"/>
  <c r="F4746"/>
  <c r="A4747"/>
  <c r="B4747"/>
  <c r="C4747"/>
  <c r="E4747"/>
  <c r="F4747"/>
  <c r="A4748"/>
  <c r="B4748"/>
  <c r="C4748"/>
  <c r="E4748"/>
  <c r="F4748"/>
  <c r="A4749"/>
  <c r="B4749"/>
  <c r="C4749"/>
  <c r="E4749"/>
  <c r="F4749"/>
  <c r="A4750"/>
  <c r="B4750"/>
  <c r="C4750"/>
  <c r="E4750"/>
  <c r="F4750"/>
  <c r="A4751"/>
  <c r="B4751"/>
  <c r="C4751"/>
  <c r="E4751"/>
  <c r="F4751"/>
  <c r="A4752"/>
  <c r="B4752"/>
  <c r="C4752"/>
  <c r="E4752"/>
  <c r="F4752"/>
  <c r="A4753"/>
  <c r="B4753"/>
  <c r="C4753"/>
  <c r="E4753"/>
  <c r="F4753"/>
  <c r="A4754"/>
  <c r="B4754"/>
  <c r="C4754"/>
  <c r="E4754"/>
  <c r="F4754"/>
  <c r="A4755"/>
  <c r="B4755"/>
  <c r="C4755"/>
  <c r="E4755"/>
  <c r="F4755"/>
  <c r="A4756"/>
  <c r="B4756"/>
  <c r="C4756"/>
  <c r="E4756"/>
  <c r="F4756"/>
  <c r="A4757"/>
  <c r="B4757"/>
  <c r="C4757"/>
  <c r="E4757"/>
  <c r="F4757"/>
  <c r="A4758"/>
  <c r="B4758"/>
  <c r="C4758"/>
  <c r="E4758"/>
  <c r="F4758"/>
  <c r="A4759"/>
  <c r="B4759"/>
  <c r="C4759"/>
  <c r="E4759"/>
  <c r="F4759"/>
  <c r="A4760"/>
  <c r="B4760"/>
  <c r="C4760"/>
  <c r="E4760"/>
  <c r="F4760"/>
  <c r="A4761"/>
  <c r="B4761"/>
  <c r="C4761"/>
  <c r="E4761"/>
  <c r="F4761"/>
  <c r="A4762"/>
  <c r="B4762"/>
  <c r="C4762"/>
  <c r="E4762"/>
  <c r="F4762"/>
  <c r="A4763"/>
  <c r="B4763"/>
  <c r="C4763"/>
  <c r="E4763"/>
  <c r="F4763"/>
  <c r="A4764"/>
  <c r="B4764"/>
  <c r="C4764"/>
  <c r="E4764"/>
  <c r="F4764"/>
  <c r="A4765"/>
  <c r="B4765"/>
  <c r="C4765"/>
  <c r="E4765"/>
  <c r="F4765"/>
  <c r="A4766"/>
  <c r="B4766"/>
  <c r="C4766"/>
  <c r="E4766"/>
  <c r="F4766"/>
  <c r="A4767"/>
  <c r="B4767"/>
  <c r="C4767"/>
  <c r="E4767"/>
  <c r="F4767"/>
  <c r="A4768"/>
  <c r="B4768"/>
  <c r="C4768"/>
  <c r="E4768"/>
  <c r="F4768"/>
  <c r="A4769"/>
  <c r="B4769"/>
  <c r="C4769"/>
  <c r="E4769"/>
  <c r="F4769"/>
  <c r="A4770"/>
  <c r="B4770"/>
  <c r="C4770"/>
  <c r="E4770"/>
  <c r="F4770"/>
  <c r="A4771"/>
  <c r="B4771"/>
  <c r="C4771"/>
  <c r="E4771"/>
  <c r="F4771"/>
  <c r="A4772"/>
  <c r="B4772"/>
  <c r="C4772"/>
  <c r="E4772"/>
  <c r="F4772"/>
  <c r="A4773"/>
  <c r="B4773"/>
  <c r="C4773"/>
  <c r="E4773"/>
  <c r="F4773"/>
  <c r="A4774"/>
  <c r="B4774"/>
  <c r="C4774"/>
  <c r="E4774"/>
  <c r="F4774"/>
  <c r="A4775"/>
  <c r="B4775"/>
  <c r="C4775"/>
  <c r="E4775"/>
  <c r="F4775"/>
  <c r="A4776"/>
  <c r="B4776"/>
  <c r="C4776"/>
  <c r="E4776"/>
  <c r="F4776"/>
  <c r="A4777"/>
  <c r="B4777"/>
  <c r="C4777"/>
  <c r="E4777"/>
  <c r="F4777"/>
  <c r="A4778"/>
  <c r="B4778"/>
  <c r="C4778"/>
  <c r="E4778"/>
  <c r="F4778"/>
  <c r="A4779"/>
  <c r="B4779"/>
  <c r="C4779"/>
  <c r="E4779"/>
  <c r="F4779"/>
  <c r="A4780"/>
  <c r="B4780"/>
  <c r="C4780"/>
  <c r="E4780"/>
  <c r="F4780"/>
  <c r="A4781"/>
  <c r="B4781"/>
  <c r="C4781"/>
  <c r="E4781"/>
  <c r="F4781"/>
  <c r="A4782"/>
  <c r="B4782"/>
  <c r="C4782"/>
  <c r="E4782"/>
  <c r="F4782"/>
  <c r="A4783"/>
  <c r="B4783"/>
  <c r="C4783"/>
  <c r="E4783"/>
  <c r="F4783"/>
  <c r="A4784"/>
  <c r="B4784"/>
  <c r="C4784"/>
  <c r="E4784"/>
  <c r="F4784"/>
  <c r="A4785"/>
  <c r="B4785"/>
  <c r="C4785"/>
  <c r="E4785"/>
  <c r="F4785"/>
  <c r="A4786"/>
  <c r="B4786"/>
  <c r="C4786"/>
  <c r="E4786"/>
  <c r="F4786"/>
  <c r="A4787"/>
  <c r="B4787"/>
  <c r="C4787"/>
  <c r="E4787"/>
  <c r="F4787"/>
  <c r="A4788"/>
  <c r="B4788"/>
  <c r="C4788"/>
  <c r="E4788"/>
  <c r="F4788"/>
  <c r="A4789"/>
  <c r="B4789"/>
  <c r="C4789"/>
  <c r="E4789"/>
  <c r="F4789"/>
  <c r="A4790"/>
  <c r="B4790"/>
  <c r="C4790"/>
  <c r="E4790"/>
  <c r="F4790"/>
  <c r="A4791"/>
  <c r="B4791"/>
  <c r="C4791"/>
  <c r="E4791"/>
  <c r="F4791"/>
  <c r="A4792"/>
  <c r="B4792"/>
  <c r="C4792"/>
  <c r="E4792"/>
  <c r="F4792"/>
  <c r="A4793"/>
  <c r="B4793"/>
  <c r="C4793"/>
  <c r="E4793"/>
  <c r="F4793"/>
  <c r="A4794"/>
  <c r="B4794"/>
  <c r="C4794"/>
  <c r="E4794"/>
  <c r="F4794"/>
  <c r="A4795"/>
  <c r="B4795"/>
  <c r="C4795"/>
  <c r="E4795"/>
  <c r="F4795"/>
  <c r="A4796"/>
  <c r="B4796"/>
  <c r="C4796"/>
  <c r="E4796"/>
  <c r="F4796"/>
  <c r="A4797"/>
  <c r="B4797"/>
  <c r="C4797"/>
  <c r="E4797"/>
  <c r="F4797"/>
  <c r="A4798"/>
  <c r="B4798"/>
  <c r="C4798"/>
  <c r="E4798"/>
  <c r="F4798"/>
  <c r="A4799"/>
  <c r="B4799"/>
  <c r="C4799"/>
  <c r="E4799"/>
  <c r="F4799"/>
  <c r="A4800"/>
  <c r="B4800"/>
  <c r="C4800"/>
  <c r="E4800"/>
  <c r="F4800"/>
  <c r="A4801"/>
  <c r="B4801"/>
  <c r="C4801"/>
  <c r="E4801"/>
  <c r="F4801"/>
  <c r="A4802"/>
  <c r="B4802"/>
  <c r="C4802"/>
  <c r="E4802"/>
  <c r="F4802"/>
  <c r="A4803"/>
  <c r="B4803"/>
  <c r="C4803"/>
  <c r="E4803"/>
  <c r="F4803"/>
  <c r="A4804"/>
  <c r="B4804"/>
  <c r="C4804"/>
  <c r="E4804"/>
  <c r="F4804"/>
  <c r="A4805"/>
  <c r="B4805"/>
  <c r="C4805"/>
  <c r="E4805"/>
  <c r="F4805"/>
  <c r="A4806"/>
  <c r="B4806"/>
  <c r="C4806"/>
  <c r="E4806"/>
  <c r="F4806"/>
  <c r="A4807"/>
  <c r="B4807"/>
  <c r="C4807"/>
  <c r="E4807"/>
  <c r="F4807"/>
  <c r="A4808"/>
  <c r="B4808"/>
  <c r="C4808"/>
  <c r="E4808"/>
  <c r="F4808"/>
  <c r="A4809"/>
  <c r="B4809"/>
  <c r="C4809"/>
  <c r="E4809"/>
  <c r="F4809"/>
  <c r="A4810"/>
  <c r="B4810"/>
  <c r="C4810"/>
  <c r="E4810"/>
  <c r="F4810"/>
  <c r="A4811"/>
  <c r="B4811"/>
  <c r="C4811"/>
  <c r="E4811"/>
  <c r="F4811"/>
  <c r="A4812"/>
  <c r="B4812"/>
  <c r="C4812"/>
  <c r="E4812"/>
  <c r="F4812"/>
  <c r="A4813"/>
  <c r="B4813"/>
  <c r="C4813"/>
  <c r="E4813"/>
  <c r="F4813"/>
  <c r="A4814"/>
  <c r="B4814"/>
  <c r="C4814"/>
  <c r="E4814"/>
  <c r="F4814"/>
  <c r="A4815"/>
  <c r="B4815"/>
  <c r="C4815"/>
  <c r="E4815"/>
  <c r="F4815"/>
  <c r="A4816"/>
  <c r="B4816"/>
  <c r="C4816"/>
  <c r="E4816"/>
  <c r="F4816"/>
  <c r="A4817"/>
  <c r="B4817"/>
  <c r="C4817"/>
  <c r="E4817"/>
  <c r="F4817"/>
  <c r="A4818"/>
  <c r="B4818"/>
  <c r="C4818"/>
  <c r="E4818"/>
  <c r="F4818"/>
  <c r="A4819"/>
  <c r="B4819"/>
  <c r="C4819"/>
  <c r="E4819"/>
  <c r="F4819"/>
  <c r="A4820"/>
  <c r="B4820"/>
  <c r="C4820"/>
  <c r="E4820"/>
  <c r="F4820"/>
  <c r="A4821"/>
  <c r="B4821"/>
  <c r="C4821"/>
  <c r="E4821"/>
  <c r="F4821"/>
  <c r="A4822"/>
  <c r="B4822"/>
  <c r="C4822"/>
  <c r="E4822"/>
  <c r="F4822"/>
  <c r="A4823"/>
  <c r="B4823"/>
  <c r="C4823"/>
  <c r="E4823"/>
  <c r="F4823"/>
  <c r="A4824"/>
  <c r="B4824"/>
  <c r="C4824"/>
  <c r="E4824"/>
  <c r="F4824"/>
  <c r="A4825"/>
  <c r="B4825"/>
  <c r="C4825"/>
  <c r="E4825"/>
  <c r="F4825"/>
  <c r="A4826"/>
  <c r="B4826"/>
  <c r="C4826"/>
  <c r="E4826"/>
  <c r="F4826"/>
  <c r="A4827"/>
  <c r="B4827"/>
  <c r="C4827"/>
  <c r="E4827"/>
  <c r="F4827"/>
  <c r="A4828"/>
  <c r="B4828"/>
  <c r="C4828"/>
  <c r="E4828"/>
  <c r="F4828"/>
  <c r="A4829"/>
  <c r="B4829"/>
  <c r="C4829"/>
  <c r="E4829"/>
  <c r="F4829"/>
  <c r="A4830"/>
  <c r="B4830"/>
  <c r="C4830"/>
  <c r="E4830"/>
  <c r="F4830"/>
  <c r="A4831"/>
  <c r="B4831"/>
  <c r="C4831"/>
  <c r="E4831"/>
  <c r="F4831"/>
  <c r="A4832"/>
  <c r="B4832"/>
  <c r="C4832"/>
  <c r="E4832"/>
  <c r="F4832"/>
  <c r="A4833"/>
  <c r="B4833"/>
  <c r="C4833"/>
  <c r="E4833"/>
  <c r="F4833"/>
  <c r="A4834"/>
  <c r="B4834"/>
  <c r="C4834"/>
  <c r="E4834"/>
  <c r="F4834"/>
  <c r="A4835"/>
  <c r="B4835"/>
  <c r="C4835"/>
  <c r="E4835"/>
  <c r="F4835"/>
  <c r="A4836"/>
  <c r="B4836"/>
  <c r="C4836"/>
  <c r="E4836"/>
  <c r="F4836"/>
  <c r="A4837"/>
  <c r="B4837"/>
  <c r="C4837"/>
  <c r="E4837"/>
  <c r="F4837"/>
  <c r="A4838"/>
  <c r="B4838"/>
  <c r="C4838"/>
  <c r="E4838"/>
  <c r="F4838"/>
  <c r="A4839"/>
  <c r="B4839"/>
  <c r="C4839"/>
  <c r="E4839"/>
  <c r="F4839"/>
  <c r="A4840"/>
  <c r="B4840"/>
  <c r="C4840"/>
  <c r="E4840"/>
  <c r="F4840"/>
  <c r="A4841"/>
  <c r="B4841"/>
  <c r="C4841"/>
  <c r="E4841"/>
  <c r="F4841"/>
  <c r="A4842"/>
  <c r="B4842"/>
  <c r="C4842"/>
  <c r="E4842"/>
  <c r="F4842"/>
  <c r="A4843"/>
  <c r="B4843"/>
  <c r="C4843"/>
  <c r="E4843"/>
  <c r="F4843"/>
  <c r="A4844"/>
  <c r="B4844"/>
  <c r="C4844"/>
  <c r="E4844"/>
  <c r="F4844"/>
  <c r="A4845"/>
  <c r="B4845"/>
  <c r="C4845"/>
  <c r="E4845"/>
  <c r="F4845"/>
  <c r="A4846"/>
  <c r="B4846"/>
  <c r="C4846"/>
  <c r="E4846"/>
  <c r="F4846"/>
  <c r="A4847"/>
  <c r="B4847"/>
  <c r="C4847"/>
  <c r="E4847"/>
  <c r="F4847"/>
  <c r="A4848"/>
  <c r="B4848"/>
  <c r="C4848"/>
  <c r="E4848"/>
  <c r="F4848"/>
  <c r="A4849"/>
  <c r="B4849"/>
  <c r="C4849"/>
  <c r="E4849"/>
  <c r="F4849"/>
  <c r="A4850"/>
  <c r="B4850"/>
  <c r="C4850"/>
  <c r="E4850"/>
  <c r="F4850"/>
  <c r="A4851"/>
  <c r="B4851"/>
  <c r="C4851"/>
  <c r="E4851"/>
  <c r="F4851"/>
  <c r="A4852"/>
  <c r="B4852"/>
  <c r="C4852"/>
  <c r="E4852"/>
  <c r="F4852"/>
  <c r="A4853"/>
  <c r="B4853"/>
  <c r="C4853"/>
  <c r="E4853"/>
  <c r="F4853"/>
  <c r="A4854"/>
  <c r="B4854"/>
  <c r="C4854"/>
  <c r="E4854"/>
  <c r="F4854"/>
  <c r="A4855"/>
  <c r="B4855"/>
  <c r="C4855"/>
  <c r="E4855"/>
  <c r="F4855"/>
  <c r="A4856"/>
  <c r="B4856"/>
  <c r="C4856"/>
  <c r="E4856"/>
  <c r="F4856"/>
  <c r="A4857"/>
  <c r="B4857"/>
  <c r="C4857"/>
  <c r="E4857"/>
  <c r="F4857"/>
  <c r="A4858"/>
  <c r="B4858"/>
  <c r="C4858"/>
  <c r="E4858"/>
  <c r="F4858"/>
  <c r="A4859"/>
  <c r="B4859"/>
  <c r="C4859"/>
  <c r="E4859"/>
  <c r="F4859"/>
  <c r="A4860"/>
  <c r="B4860"/>
  <c r="C4860"/>
  <c r="E4860"/>
  <c r="F4860"/>
  <c r="A4861"/>
  <c r="B4861"/>
  <c r="C4861"/>
  <c r="E4861"/>
  <c r="F4861"/>
  <c r="A4862"/>
  <c r="B4862"/>
  <c r="C4862"/>
  <c r="E4862"/>
  <c r="F4862"/>
  <c r="A4863"/>
  <c r="B4863"/>
  <c r="C4863"/>
  <c r="E4863"/>
  <c r="F4863"/>
  <c r="A4864"/>
  <c r="B4864"/>
  <c r="C4864"/>
  <c r="E4864"/>
  <c r="F4864"/>
  <c r="A4865"/>
  <c r="B4865"/>
  <c r="C4865"/>
  <c r="E4865"/>
  <c r="F4865"/>
  <c r="A4866"/>
  <c r="B4866"/>
  <c r="C4866"/>
  <c r="E4866"/>
  <c r="F4866"/>
  <c r="A4867"/>
  <c r="B4867"/>
  <c r="C4867"/>
  <c r="E4867"/>
  <c r="F4867"/>
  <c r="A4868"/>
  <c r="B4868"/>
  <c r="C4868"/>
  <c r="E4868"/>
  <c r="F4868"/>
  <c r="A4869"/>
  <c r="B4869"/>
  <c r="C4869"/>
  <c r="E4869"/>
  <c r="F4869"/>
  <c r="A4870"/>
  <c r="B4870"/>
  <c r="C4870"/>
  <c r="E4870"/>
  <c r="F4870"/>
  <c r="A4871"/>
  <c r="B4871"/>
  <c r="C4871"/>
  <c r="E4871"/>
  <c r="F4871"/>
  <c r="A4872"/>
  <c r="B4872"/>
  <c r="C4872"/>
  <c r="E4872"/>
  <c r="F4872"/>
  <c r="A4873"/>
  <c r="B4873"/>
  <c r="C4873"/>
  <c r="E4873"/>
  <c r="F4873"/>
  <c r="A4874"/>
  <c r="B4874"/>
  <c r="C4874"/>
  <c r="E4874"/>
  <c r="F4874"/>
  <c r="A4875"/>
  <c r="B4875"/>
  <c r="C4875"/>
  <c r="E4875"/>
  <c r="F4875"/>
  <c r="A4876"/>
  <c r="B4876"/>
  <c r="C4876"/>
  <c r="E4876"/>
  <c r="F4876"/>
  <c r="A4877"/>
  <c r="B4877"/>
  <c r="C4877"/>
  <c r="E4877"/>
  <c r="F4877"/>
  <c r="A4878"/>
  <c r="B4878"/>
  <c r="C4878"/>
  <c r="E4878"/>
  <c r="F4878"/>
  <c r="A4879"/>
  <c r="B4879"/>
  <c r="C4879"/>
  <c r="E4879"/>
  <c r="F4879"/>
  <c r="A4880"/>
  <c r="B4880"/>
  <c r="C4880"/>
  <c r="E4880"/>
  <c r="F4880"/>
  <c r="A4881"/>
  <c r="B4881"/>
  <c r="C4881"/>
  <c r="E4881"/>
  <c r="F4881"/>
  <c r="A4882"/>
  <c r="B4882"/>
  <c r="C4882"/>
  <c r="E4882"/>
  <c r="F4882"/>
  <c r="A4883"/>
  <c r="B4883"/>
  <c r="C4883"/>
  <c r="E4883"/>
  <c r="F4883"/>
  <c r="A4884"/>
  <c r="B4884"/>
  <c r="C4884"/>
  <c r="E4884"/>
  <c r="F4884"/>
  <c r="A4885"/>
  <c r="B4885"/>
  <c r="C4885"/>
  <c r="E4885"/>
  <c r="F4885"/>
  <c r="A4886"/>
  <c r="B4886"/>
  <c r="C4886"/>
  <c r="E4886"/>
  <c r="F4886"/>
  <c r="A4887"/>
  <c r="B4887"/>
  <c r="C4887"/>
  <c r="E4887"/>
  <c r="F4887"/>
  <c r="A4888"/>
  <c r="B4888"/>
  <c r="C4888"/>
  <c r="E4888"/>
  <c r="F4888"/>
  <c r="A4889"/>
  <c r="B4889"/>
  <c r="C4889"/>
  <c r="E4889"/>
  <c r="F4889"/>
  <c r="A4890"/>
  <c r="B4890"/>
  <c r="C4890"/>
  <c r="E4890"/>
  <c r="F4890"/>
  <c r="A4891"/>
  <c r="B4891"/>
  <c r="C4891"/>
  <c r="E4891"/>
  <c r="F4891"/>
  <c r="A4892"/>
  <c r="B4892"/>
  <c r="C4892"/>
  <c r="E4892"/>
  <c r="F4892"/>
  <c r="A4893"/>
  <c r="B4893"/>
  <c r="C4893"/>
  <c r="E4893"/>
  <c r="F4893"/>
  <c r="A4894"/>
  <c r="B4894"/>
  <c r="C4894"/>
  <c r="E4894"/>
  <c r="F4894"/>
  <c r="A4895"/>
  <c r="B4895"/>
  <c r="C4895"/>
  <c r="E4895"/>
  <c r="F4895"/>
  <c r="A4896"/>
  <c r="B4896"/>
  <c r="C4896"/>
  <c r="E4896"/>
  <c r="F4896"/>
  <c r="A4897"/>
  <c r="B4897"/>
  <c r="C4897"/>
  <c r="E4897"/>
  <c r="F4897"/>
  <c r="A4898"/>
  <c r="B4898"/>
  <c r="C4898"/>
  <c r="E4898"/>
  <c r="F4898"/>
  <c r="A4899"/>
  <c r="B4899"/>
  <c r="C4899"/>
  <c r="E4899"/>
  <c r="F4899"/>
  <c r="A4900"/>
  <c r="B4900"/>
  <c r="C4900"/>
  <c r="E4900"/>
  <c r="F4900"/>
  <c r="A4901"/>
  <c r="B4901"/>
  <c r="C4901"/>
  <c r="E4901"/>
  <c r="F4901"/>
  <c r="A4902"/>
  <c r="B4902"/>
  <c r="C4902"/>
  <c r="E4902"/>
  <c r="F4902"/>
  <c r="A4903"/>
  <c r="B4903"/>
  <c r="C4903"/>
  <c r="E4903"/>
  <c r="F4903"/>
  <c r="A4904"/>
  <c r="B4904"/>
  <c r="C4904"/>
  <c r="E4904"/>
  <c r="F4904"/>
  <c r="A4905"/>
  <c r="B4905"/>
  <c r="C4905"/>
  <c r="E4905"/>
  <c r="F4905"/>
  <c r="A4906"/>
  <c r="B4906"/>
  <c r="C4906"/>
  <c r="E4906"/>
  <c r="F4906"/>
  <c r="A4907"/>
  <c r="B4907"/>
  <c r="C4907"/>
  <c r="E4907"/>
  <c r="F4907"/>
  <c r="A4908"/>
  <c r="B4908"/>
  <c r="C4908"/>
  <c r="E4908"/>
  <c r="F4908"/>
  <c r="A4909"/>
  <c r="B4909"/>
  <c r="C4909"/>
  <c r="E4909"/>
  <c r="F4909"/>
  <c r="A4910"/>
  <c r="B4910"/>
  <c r="C4910"/>
  <c r="E4910"/>
  <c r="F4910"/>
  <c r="A4911"/>
  <c r="B4911"/>
  <c r="C4911"/>
  <c r="E4911"/>
  <c r="F4911"/>
  <c r="A4912"/>
  <c r="B4912"/>
  <c r="C4912"/>
  <c r="E4912"/>
  <c r="F4912"/>
  <c r="A4913"/>
  <c r="B4913"/>
  <c r="C4913"/>
  <c r="E4913"/>
  <c r="F4913"/>
  <c r="A4914"/>
  <c r="B4914"/>
  <c r="C4914"/>
  <c r="E4914"/>
  <c r="F4914"/>
  <c r="A4915"/>
  <c r="B4915"/>
  <c r="C4915"/>
  <c r="E4915"/>
  <c r="F4915"/>
  <c r="A4916"/>
  <c r="B4916"/>
  <c r="C4916"/>
  <c r="E4916"/>
  <c r="F4916"/>
  <c r="A4917"/>
  <c r="B4917"/>
  <c r="C4917"/>
  <c r="E4917"/>
  <c r="F4917"/>
  <c r="A4918"/>
  <c r="B4918"/>
  <c r="C4918"/>
  <c r="E4918"/>
  <c r="F4918"/>
  <c r="A4919"/>
  <c r="B4919"/>
  <c r="C4919"/>
  <c r="E4919"/>
  <c r="F4919"/>
  <c r="A4920"/>
  <c r="B4920"/>
  <c r="C4920"/>
  <c r="E4920"/>
  <c r="F4920"/>
  <c r="A4921"/>
  <c r="B4921"/>
  <c r="C4921"/>
  <c r="E4921"/>
  <c r="F4921"/>
  <c r="A4922"/>
  <c r="B4922"/>
  <c r="C4922"/>
  <c r="E4922"/>
  <c r="F4922"/>
  <c r="A4923"/>
  <c r="B4923"/>
  <c r="C4923"/>
  <c r="E4923"/>
  <c r="F4923"/>
  <c r="A4924"/>
  <c r="B4924"/>
  <c r="C4924"/>
  <c r="E4924"/>
  <c r="F4924"/>
  <c r="A4925"/>
  <c r="B4925"/>
  <c r="C4925"/>
  <c r="E4925"/>
  <c r="F4925"/>
  <c r="A4926"/>
  <c r="B4926"/>
  <c r="C4926"/>
  <c r="E4926"/>
  <c r="F4926"/>
  <c r="A4927"/>
  <c r="B4927"/>
  <c r="C4927"/>
  <c r="E4927"/>
  <c r="F4927"/>
  <c r="A4928"/>
  <c r="B4928"/>
  <c r="C4928"/>
  <c r="E4928"/>
  <c r="F4928"/>
  <c r="A4929"/>
  <c r="B4929"/>
  <c r="C4929"/>
  <c r="E4929"/>
  <c r="F4929"/>
  <c r="A4930"/>
  <c r="B4930"/>
  <c r="C4930"/>
  <c r="E4930"/>
  <c r="F4930"/>
  <c r="A4931"/>
  <c r="B4931"/>
  <c r="C4931"/>
  <c r="E4931"/>
  <c r="F4931"/>
  <c r="A4932"/>
  <c r="B4932"/>
  <c r="C4932"/>
  <c r="E4932"/>
  <c r="F4932"/>
  <c r="A4933"/>
  <c r="B4933"/>
  <c r="C4933"/>
  <c r="E4933"/>
  <c r="F4933"/>
  <c r="A4934"/>
  <c r="B4934"/>
  <c r="C4934"/>
  <c r="E4934"/>
  <c r="F4934"/>
  <c r="A4935"/>
  <c r="B4935"/>
  <c r="C4935"/>
  <c r="E4935"/>
  <c r="F4935"/>
  <c r="A4936"/>
  <c r="B4936"/>
  <c r="C4936"/>
  <c r="E4936"/>
  <c r="F4936"/>
  <c r="A4937"/>
  <c r="B4937"/>
  <c r="C4937"/>
  <c r="E4937"/>
  <c r="F4937"/>
  <c r="A4938"/>
  <c r="B4938"/>
  <c r="C4938"/>
  <c r="E4938"/>
  <c r="F4938"/>
  <c r="A4939"/>
  <c r="B4939"/>
  <c r="C4939"/>
  <c r="E4939"/>
  <c r="F4939"/>
  <c r="A4940"/>
  <c r="B4940"/>
  <c r="C4940"/>
  <c r="E4940"/>
  <c r="F4940"/>
  <c r="A4941"/>
  <c r="B4941"/>
  <c r="C4941"/>
  <c r="E4941"/>
  <c r="F4941"/>
  <c r="A4942"/>
  <c r="B4942"/>
  <c r="C4942"/>
  <c r="E4942"/>
  <c r="F4942"/>
  <c r="A4943"/>
  <c r="B4943"/>
  <c r="C4943"/>
  <c r="E4943"/>
  <c r="F4943"/>
  <c r="A4944"/>
  <c r="B4944"/>
  <c r="C4944"/>
  <c r="E4944"/>
  <c r="F4944"/>
  <c r="A4945"/>
  <c r="B4945"/>
  <c r="C4945"/>
  <c r="E4945"/>
  <c r="F4945"/>
  <c r="A4946"/>
  <c r="B4946"/>
  <c r="C4946"/>
  <c r="E4946"/>
  <c r="F4946"/>
  <c r="A4947"/>
  <c r="B4947"/>
  <c r="C4947"/>
  <c r="E4947"/>
  <c r="F4947"/>
  <c r="A4948"/>
  <c r="B4948"/>
  <c r="C4948"/>
  <c r="E4948"/>
  <c r="F4948"/>
  <c r="A4949"/>
  <c r="B4949"/>
  <c r="C4949"/>
  <c r="E4949"/>
  <c r="F4949"/>
  <c r="A4950"/>
  <c r="B4950"/>
  <c r="C4950"/>
  <c r="E4950"/>
  <c r="F4950"/>
  <c r="A4951"/>
  <c r="B4951"/>
  <c r="C4951"/>
  <c r="E4951"/>
  <c r="F4951"/>
  <c r="A4952"/>
  <c r="B4952"/>
  <c r="C4952"/>
  <c r="E4952"/>
  <c r="F4952"/>
  <c r="A4953"/>
  <c r="B4953"/>
  <c r="C4953"/>
  <c r="E4953"/>
  <c r="F4953"/>
  <c r="A4954"/>
  <c r="B4954"/>
  <c r="C4954"/>
  <c r="E4954"/>
  <c r="F4954"/>
  <c r="A4955"/>
  <c r="B4955"/>
  <c r="C4955"/>
  <c r="E4955"/>
  <c r="F4955"/>
  <c r="A4956"/>
  <c r="B4956"/>
  <c r="C4956"/>
  <c r="E4956"/>
  <c r="F4956"/>
  <c r="A4957"/>
  <c r="B4957"/>
  <c r="C4957"/>
  <c r="E4957"/>
  <c r="F4957"/>
  <c r="A4958"/>
  <c r="B4958"/>
  <c r="C4958"/>
  <c r="E4958"/>
  <c r="F4958"/>
  <c r="A4959"/>
  <c r="B4959"/>
  <c r="C4959"/>
  <c r="E4959"/>
  <c r="F4959"/>
  <c r="A4960"/>
  <c r="B4960"/>
  <c r="C4960"/>
  <c r="E4960"/>
  <c r="F4960"/>
  <c r="A4961"/>
  <c r="B4961"/>
  <c r="C4961"/>
  <c r="E4961"/>
  <c r="F4961"/>
  <c r="A4962"/>
  <c r="B4962"/>
  <c r="C4962"/>
  <c r="E4962"/>
  <c r="F4962"/>
  <c r="A4963"/>
  <c r="B4963"/>
  <c r="C4963"/>
  <c r="E4963"/>
  <c r="F4963"/>
  <c r="A4964"/>
  <c r="B4964"/>
  <c r="C4964"/>
  <c r="E4964"/>
  <c r="F4964"/>
  <c r="A4965"/>
  <c r="B4965"/>
  <c r="C4965"/>
  <c r="E4965"/>
  <c r="F4965"/>
  <c r="A4966"/>
  <c r="B4966"/>
  <c r="C4966"/>
  <c r="E4966"/>
  <c r="F4966"/>
  <c r="A4967"/>
  <c r="B4967"/>
  <c r="C4967"/>
  <c r="E4967"/>
  <c r="F4967"/>
  <c r="A4968"/>
  <c r="B4968"/>
  <c r="C4968"/>
  <c r="E4968"/>
  <c r="F4968"/>
  <c r="A4969"/>
  <c r="B4969"/>
  <c r="C4969"/>
  <c r="E4969"/>
  <c r="F4969"/>
  <c r="A4970"/>
  <c r="B4970"/>
  <c r="C4970"/>
  <c r="E4970"/>
  <c r="F4970"/>
  <c r="A4971"/>
  <c r="B4971"/>
  <c r="C4971"/>
  <c r="E4971"/>
  <c r="F4971"/>
  <c r="A4972"/>
  <c r="B4972"/>
  <c r="C4972"/>
  <c r="E4972"/>
  <c r="F4972"/>
  <c r="A4973"/>
  <c r="B4973"/>
  <c r="C4973"/>
  <c r="E4973"/>
  <c r="F4973"/>
  <c r="A4974"/>
  <c r="B4974"/>
  <c r="C4974"/>
  <c r="E4974"/>
  <c r="F4974"/>
  <c r="A4975"/>
  <c r="B4975"/>
  <c r="C4975"/>
  <c r="E4975"/>
  <c r="F4975"/>
  <c r="A4976"/>
  <c r="B4976"/>
  <c r="C4976"/>
  <c r="E4976"/>
  <c r="F4976"/>
  <c r="A4977"/>
  <c r="B4977"/>
  <c r="C4977"/>
  <c r="E4977"/>
  <c r="F4977"/>
  <c r="A4978"/>
  <c r="B4978"/>
  <c r="C4978"/>
  <c r="E4978"/>
  <c r="F4978"/>
  <c r="A4979"/>
  <c r="B4979"/>
  <c r="C4979"/>
  <c r="E4979"/>
  <c r="F4979"/>
  <c r="A4980"/>
  <c r="B4980"/>
  <c r="C4980"/>
  <c r="E4980"/>
  <c r="F4980"/>
  <c r="A4981"/>
  <c r="B4981"/>
  <c r="C4981"/>
  <c r="E4981"/>
  <c r="F4981"/>
  <c r="A4982"/>
  <c r="B4982"/>
  <c r="C4982"/>
  <c r="E4982"/>
  <c r="F4982"/>
  <c r="A4983"/>
  <c r="B4983"/>
  <c r="C4983"/>
  <c r="E4983"/>
  <c r="F4983"/>
  <c r="A4984"/>
  <c r="B4984"/>
  <c r="C4984"/>
  <c r="E4984"/>
  <c r="F4984"/>
  <c r="A4985"/>
  <c r="B4985"/>
  <c r="C4985"/>
  <c r="E4985"/>
  <c r="F4985"/>
  <c r="A4986"/>
  <c r="B4986"/>
  <c r="C4986"/>
  <c r="E4986"/>
  <c r="F4986"/>
  <c r="A4987"/>
  <c r="B4987"/>
  <c r="C4987"/>
  <c r="E4987"/>
  <c r="F4987"/>
  <c r="A4988"/>
  <c r="B4988"/>
  <c r="C4988"/>
  <c r="E4988"/>
  <c r="F4988"/>
  <c r="A4989"/>
  <c r="B4989"/>
  <c r="C4989"/>
  <c r="E4989"/>
  <c r="F4989"/>
  <c r="A4990"/>
  <c r="B4990"/>
  <c r="C4990"/>
  <c r="E4990"/>
  <c r="F4990"/>
  <c r="A4991"/>
  <c r="B4991"/>
  <c r="C4991"/>
  <c r="E4991"/>
  <c r="F4991"/>
  <c r="A4992"/>
  <c r="B4992"/>
  <c r="C4992"/>
  <c r="E4992"/>
  <c r="F4992"/>
  <c r="A4993"/>
  <c r="B4993"/>
  <c r="C4993"/>
  <c r="E4993"/>
  <c r="F4993"/>
  <c r="A4994"/>
  <c r="B4994"/>
  <c r="C4994"/>
  <c r="E4994"/>
  <c r="F4994"/>
  <c r="A4995"/>
  <c r="B4995"/>
  <c r="C4995"/>
  <c r="E4995"/>
  <c r="F4995"/>
  <c r="A4996"/>
  <c r="B4996"/>
  <c r="C4996"/>
  <c r="E4996"/>
  <c r="F4996"/>
  <c r="A4997"/>
  <c r="B4997"/>
  <c r="C4997"/>
  <c r="E4997"/>
  <c r="F4997"/>
  <c r="A4998"/>
  <c r="B4998"/>
  <c r="C4998"/>
  <c r="E4998"/>
  <c r="F4998"/>
  <c r="A4999"/>
  <c r="B4999"/>
  <c r="C4999"/>
  <c r="E4999"/>
  <c r="F4999"/>
  <c r="A5000"/>
  <c r="B5000"/>
  <c r="C5000"/>
  <c r="E5000"/>
  <c r="F5000"/>
  <c r="A5001"/>
  <c r="B5001"/>
  <c r="C5001"/>
  <c r="E5001"/>
  <c r="F5001"/>
  <c r="A5002"/>
  <c r="B5002"/>
  <c r="C5002"/>
  <c r="E5002"/>
  <c r="F5002"/>
  <c r="A5003"/>
  <c r="B5003"/>
  <c r="C5003"/>
  <c r="E5003"/>
  <c r="F5003"/>
  <c r="A5004"/>
  <c r="B5004"/>
  <c r="C5004"/>
  <c r="E5004"/>
  <c r="F5004"/>
  <c r="A5005"/>
  <c r="B5005"/>
  <c r="C5005"/>
  <c r="E5005"/>
  <c r="F5005"/>
  <c r="A5006"/>
  <c r="B5006"/>
  <c r="C5006"/>
  <c r="E5006"/>
  <c r="F5006"/>
  <c r="A5007"/>
  <c r="B5007"/>
  <c r="C5007"/>
  <c r="E5007"/>
  <c r="F5007"/>
  <c r="A5008"/>
  <c r="B5008"/>
  <c r="C5008"/>
  <c r="E5008"/>
  <c r="F5008"/>
  <c r="A5009"/>
  <c r="B5009"/>
  <c r="C5009"/>
  <c r="E5009"/>
  <c r="F5009"/>
  <c r="A5010"/>
  <c r="B5010"/>
  <c r="C5010"/>
  <c r="E5010"/>
  <c r="F5010"/>
  <c r="A5011"/>
  <c r="B5011"/>
  <c r="C5011"/>
  <c r="E5011"/>
  <c r="F5011"/>
  <c r="A5012"/>
  <c r="B5012"/>
  <c r="C5012"/>
  <c r="E5012"/>
  <c r="F5012"/>
  <c r="A5013"/>
  <c r="B5013"/>
  <c r="C5013"/>
  <c r="E5013"/>
  <c r="F5013"/>
  <c r="A5014"/>
  <c r="B5014"/>
  <c r="C5014"/>
  <c r="E5014"/>
  <c r="F5014"/>
  <c r="A5015"/>
  <c r="B5015"/>
  <c r="C5015"/>
  <c r="E5015"/>
  <c r="F5015"/>
  <c r="A5016"/>
  <c r="B5016"/>
  <c r="C5016"/>
  <c r="E5016"/>
  <c r="F5016"/>
  <c r="A5017"/>
  <c r="B5017"/>
  <c r="C5017"/>
  <c r="E5017"/>
  <c r="F5017"/>
  <c r="A5018"/>
  <c r="B5018"/>
  <c r="C5018"/>
  <c r="E5018"/>
  <c r="F5018"/>
  <c r="A5019"/>
  <c r="B5019"/>
  <c r="C5019"/>
  <c r="E5019"/>
  <c r="F5019"/>
  <c r="A5020"/>
  <c r="B5020"/>
  <c r="C5020"/>
  <c r="E5020"/>
  <c r="F5020"/>
  <c r="A5021"/>
  <c r="B5021"/>
  <c r="C5021"/>
  <c r="E5021"/>
  <c r="F5021"/>
  <c r="A5022"/>
  <c r="B5022"/>
  <c r="C5022"/>
  <c r="E5022"/>
  <c r="F5022"/>
  <c r="A5023"/>
  <c r="B5023"/>
  <c r="C5023"/>
  <c r="E5023"/>
  <c r="F5023"/>
  <c r="A5024"/>
  <c r="B5024"/>
  <c r="C5024"/>
  <c r="E5024"/>
  <c r="F5024"/>
  <c r="A5025"/>
  <c r="B5025"/>
  <c r="C5025"/>
  <c r="E5025"/>
  <c r="F5025"/>
  <c r="A5026"/>
  <c r="B5026"/>
  <c r="C5026"/>
  <c r="E5026"/>
  <c r="F5026"/>
  <c r="A5027"/>
  <c r="B5027"/>
  <c r="C5027"/>
  <c r="E5027"/>
  <c r="F5027"/>
  <c r="A5028"/>
  <c r="B5028"/>
  <c r="C5028"/>
  <c r="E5028"/>
  <c r="F5028"/>
  <c r="A5029"/>
  <c r="B5029"/>
  <c r="C5029"/>
  <c r="E5029"/>
  <c r="F5029"/>
  <c r="A5030"/>
  <c r="B5030"/>
  <c r="C5030"/>
  <c r="E5030"/>
  <c r="F5030"/>
  <c r="A5031"/>
  <c r="B5031"/>
  <c r="C5031"/>
  <c r="E5031"/>
  <c r="F5031"/>
  <c r="A5032"/>
  <c r="B5032"/>
  <c r="C5032"/>
  <c r="E5032"/>
  <c r="F5032"/>
  <c r="A5033"/>
  <c r="B5033"/>
  <c r="C5033"/>
  <c r="E5033"/>
  <c r="F5033"/>
  <c r="A5034"/>
  <c r="B5034"/>
  <c r="C5034"/>
  <c r="E5034"/>
  <c r="F5034"/>
  <c r="A5035"/>
  <c r="B5035"/>
  <c r="C5035"/>
  <c r="E5035"/>
  <c r="F5035"/>
  <c r="A5036"/>
  <c r="B5036"/>
  <c r="C5036"/>
  <c r="E5036"/>
  <c r="F5036"/>
  <c r="A5037"/>
  <c r="B5037"/>
  <c r="C5037"/>
  <c r="E5037"/>
  <c r="F5037"/>
  <c r="A5038"/>
  <c r="B5038"/>
  <c r="C5038"/>
  <c r="E5038"/>
  <c r="F5038"/>
  <c r="A5039"/>
  <c r="B5039"/>
  <c r="C5039"/>
  <c r="E5039"/>
  <c r="F5039"/>
  <c r="A5040"/>
  <c r="B5040"/>
  <c r="C5040"/>
  <c r="E5040"/>
  <c r="F5040"/>
  <c r="A5041"/>
  <c r="B5041"/>
  <c r="C5041"/>
  <c r="E5041"/>
  <c r="F5041"/>
  <c r="A5042"/>
  <c r="B5042"/>
  <c r="C5042"/>
  <c r="E5042"/>
  <c r="F5042"/>
  <c r="A5043"/>
  <c r="B5043"/>
  <c r="C5043"/>
  <c r="E5043"/>
  <c r="F5043"/>
  <c r="A5044"/>
  <c r="B5044"/>
  <c r="C5044"/>
  <c r="E5044"/>
  <c r="F5044"/>
  <c r="A5045"/>
  <c r="B5045"/>
  <c r="C5045"/>
  <c r="E5045"/>
  <c r="F5045"/>
  <c r="A5046"/>
  <c r="B5046"/>
  <c r="C5046"/>
  <c r="E5046"/>
  <c r="F5046"/>
  <c r="A5047"/>
  <c r="B5047"/>
  <c r="C5047"/>
  <c r="E5047"/>
  <c r="F5047"/>
  <c r="A5048"/>
  <c r="B5048"/>
  <c r="C5048"/>
  <c r="E5048"/>
  <c r="F5048"/>
  <c r="A5049"/>
  <c r="B5049"/>
  <c r="C5049"/>
  <c r="E5049"/>
  <c r="F5049"/>
  <c r="A5050"/>
  <c r="B5050"/>
  <c r="C5050"/>
  <c r="E5050"/>
  <c r="F5050"/>
  <c r="A5051"/>
  <c r="B5051"/>
  <c r="C5051"/>
  <c r="E5051"/>
  <c r="F5051"/>
  <c r="A5052"/>
  <c r="B5052"/>
  <c r="C5052"/>
  <c r="E5052"/>
  <c r="F5052"/>
  <c r="A5053"/>
  <c r="B5053"/>
  <c r="C5053"/>
  <c r="E5053"/>
  <c r="F5053"/>
  <c r="A5054"/>
  <c r="B5054"/>
  <c r="C5054"/>
  <c r="E5054"/>
  <c r="F5054"/>
  <c r="A5055"/>
  <c r="B5055"/>
  <c r="C5055"/>
  <c r="E5055"/>
  <c r="F5055"/>
  <c r="A5056"/>
  <c r="B5056"/>
  <c r="C5056"/>
  <c r="E5056"/>
  <c r="F5056"/>
  <c r="A5057"/>
  <c r="B5057"/>
  <c r="C5057"/>
  <c r="E5057"/>
  <c r="F5057"/>
  <c r="A5058"/>
  <c r="B5058"/>
  <c r="C5058"/>
  <c r="E5058"/>
  <c r="F5058"/>
  <c r="A5059"/>
  <c r="B5059"/>
  <c r="C5059"/>
  <c r="E5059"/>
  <c r="F5059"/>
  <c r="A5060"/>
  <c r="B5060"/>
  <c r="C5060"/>
  <c r="E5060"/>
  <c r="F5060"/>
  <c r="A5061"/>
  <c r="B5061"/>
  <c r="C5061"/>
  <c r="E5061"/>
  <c r="F5061"/>
  <c r="A5062"/>
  <c r="B5062"/>
  <c r="C5062"/>
  <c r="E5062"/>
  <c r="F5062"/>
  <c r="A5063"/>
  <c r="B5063"/>
  <c r="C5063"/>
  <c r="E5063"/>
  <c r="F5063"/>
  <c r="A5064"/>
  <c r="B5064"/>
  <c r="C5064"/>
  <c r="E5064"/>
  <c r="F5064"/>
  <c r="A5065"/>
  <c r="B5065"/>
  <c r="C5065"/>
  <c r="E5065"/>
  <c r="F5065"/>
  <c r="A5066"/>
  <c r="B5066"/>
  <c r="C5066"/>
  <c r="E5066"/>
  <c r="F5066"/>
  <c r="A5067"/>
  <c r="B5067"/>
  <c r="C5067"/>
  <c r="E5067"/>
  <c r="F5067"/>
  <c r="A5068"/>
  <c r="B5068"/>
  <c r="C5068"/>
  <c r="E5068"/>
  <c r="F5068"/>
  <c r="A5069"/>
  <c r="B5069"/>
  <c r="C5069"/>
  <c r="E5069"/>
  <c r="F5069"/>
  <c r="A5070"/>
  <c r="B5070"/>
  <c r="C5070"/>
  <c r="E5070"/>
  <c r="F5070"/>
  <c r="A5071"/>
  <c r="B5071"/>
  <c r="C5071"/>
  <c r="E5071"/>
  <c r="F5071"/>
  <c r="A5072"/>
  <c r="B5072"/>
  <c r="C5072"/>
  <c r="E5072"/>
  <c r="F5072"/>
  <c r="A5073"/>
  <c r="B5073"/>
  <c r="C5073"/>
  <c r="E5073"/>
  <c r="F5073"/>
  <c r="A5074"/>
  <c r="B5074"/>
  <c r="C5074"/>
  <c r="E5074"/>
  <c r="F5074"/>
  <c r="A5075"/>
  <c r="B5075"/>
  <c r="C5075"/>
  <c r="E5075"/>
  <c r="F5075"/>
  <c r="A5076"/>
  <c r="B5076"/>
  <c r="C5076"/>
  <c r="E5076"/>
  <c r="F5076"/>
  <c r="A5077"/>
  <c r="B5077"/>
  <c r="C5077"/>
  <c r="E5077"/>
  <c r="F5077"/>
  <c r="A5078"/>
  <c r="B5078"/>
  <c r="C5078"/>
  <c r="E5078"/>
  <c r="F5078"/>
  <c r="A5079"/>
  <c r="B5079"/>
  <c r="C5079"/>
  <c r="E5079"/>
  <c r="F5079"/>
  <c r="A5080"/>
  <c r="B5080"/>
  <c r="C5080"/>
  <c r="E5080"/>
  <c r="F5080"/>
  <c r="A5081"/>
  <c r="B5081"/>
  <c r="C5081"/>
  <c r="E5081"/>
  <c r="F5081"/>
  <c r="A5082"/>
  <c r="B5082"/>
  <c r="C5082"/>
  <c r="E5082"/>
  <c r="F5082"/>
  <c r="A5083"/>
  <c r="B5083"/>
  <c r="C5083"/>
  <c r="E5083"/>
  <c r="F5083"/>
  <c r="A5084"/>
  <c r="B5084"/>
  <c r="C5084"/>
  <c r="E5084"/>
  <c r="F5084"/>
  <c r="A5085"/>
  <c r="B5085"/>
  <c r="C5085"/>
  <c r="E5085"/>
  <c r="F5085"/>
  <c r="A5086"/>
  <c r="B5086"/>
  <c r="C5086"/>
  <c r="E5086"/>
  <c r="F5086"/>
  <c r="A5087"/>
  <c r="B5087"/>
  <c r="C5087"/>
  <c r="E5087"/>
  <c r="F5087"/>
  <c r="A5088"/>
  <c r="B5088"/>
  <c r="C5088"/>
  <c r="E5088"/>
  <c r="F5088"/>
  <c r="A5089"/>
  <c r="B5089"/>
  <c r="C5089"/>
  <c r="E5089"/>
  <c r="F5089"/>
  <c r="A5090"/>
  <c r="B5090"/>
  <c r="C5090"/>
  <c r="E5090"/>
  <c r="F5090"/>
  <c r="A5091"/>
  <c r="B5091"/>
  <c r="C5091"/>
  <c r="E5091"/>
  <c r="F5091"/>
  <c r="A5092"/>
  <c r="B5092"/>
  <c r="C5092"/>
  <c r="E5092"/>
  <c r="F5092"/>
  <c r="A5093"/>
  <c r="B5093"/>
  <c r="C5093"/>
  <c r="E5093"/>
  <c r="F5093"/>
  <c r="A5094"/>
  <c r="B5094"/>
  <c r="C5094"/>
  <c r="E5094"/>
  <c r="F5094"/>
  <c r="A5095"/>
  <c r="B5095"/>
  <c r="C5095"/>
  <c r="E5095"/>
  <c r="F5095"/>
  <c r="A5096"/>
  <c r="B5096"/>
  <c r="C5096"/>
  <c r="E5096"/>
  <c r="F5096"/>
  <c r="A5097"/>
  <c r="B5097"/>
  <c r="C5097"/>
  <c r="E5097"/>
  <c r="F5097"/>
  <c r="A5098"/>
  <c r="B5098"/>
  <c r="C5098"/>
  <c r="E5098"/>
  <c r="F5098"/>
  <c r="A5099"/>
  <c r="B5099"/>
  <c r="C5099"/>
  <c r="E5099"/>
  <c r="F5099"/>
  <c r="A5100"/>
  <c r="B5100"/>
  <c r="C5100"/>
  <c r="E5100"/>
  <c r="F5100"/>
  <c r="A5101"/>
  <c r="B5101"/>
  <c r="C5101"/>
  <c r="E5101"/>
  <c r="F5101"/>
  <c r="A5102"/>
  <c r="B5102"/>
  <c r="C5102"/>
  <c r="E5102"/>
  <c r="F5102"/>
  <c r="A5103"/>
  <c r="B5103"/>
  <c r="C5103"/>
  <c r="E5103"/>
  <c r="F5103"/>
  <c r="A5104"/>
  <c r="B5104"/>
  <c r="C5104"/>
  <c r="E5104"/>
  <c r="F5104"/>
  <c r="A5105"/>
  <c r="B5105"/>
  <c r="C5105"/>
  <c r="E5105"/>
  <c r="F5105"/>
  <c r="A5106"/>
  <c r="B5106"/>
  <c r="C5106"/>
  <c r="E5106"/>
  <c r="F5106"/>
  <c r="A5107"/>
  <c r="B5107"/>
  <c r="C5107"/>
  <c r="E5107"/>
  <c r="F5107"/>
  <c r="A5108"/>
  <c r="B5108"/>
  <c r="C5108"/>
  <c r="E5108"/>
  <c r="F5108"/>
  <c r="A5109"/>
  <c r="B5109"/>
  <c r="C5109"/>
  <c r="E5109"/>
  <c r="F5109"/>
  <c r="A5110"/>
  <c r="B5110"/>
  <c r="C5110"/>
  <c r="E5110"/>
  <c r="F5110"/>
  <c r="A5111"/>
  <c r="B5111"/>
  <c r="C5111"/>
  <c r="E5111"/>
  <c r="F5111"/>
  <c r="A5112"/>
  <c r="B5112"/>
  <c r="C5112"/>
  <c r="E5112"/>
  <c r="F5112"/>
  <c r="A5113"/>
  <c r="B5113"/>
  <c r="C5113"/>
  <c r="E5113"/>
  <c r="F5113"/>
  <c r="A5114"/>
  <c r="B5114"/>
  <c r="C5114"/>
  <c r="E5114"/>
  <c r="F5114"/>
  <c r="A5115"/>
  <c r="B5115"/>
  <c r="C5115"/>
  <c r="E5115"/>
  <c r="F5115"/>
  <c r="A5116"/>
  <c r="B5116"/>
  <c r="C5116"/>
  <c r="E5116"/>
  <c r="F5116"/>
  <c r="A5117"/>
  <c r="B5117"/>
  <c r="C5117"/>
  <c r="E5117"/>
  <c r="F5117"/>
  <c r="A5118"/>
  <c r="B5118"/>
  <c r="C5118"/>
  <c r="E5118"/>
  <c r="F5118"/>
  <c r="A5119"/>
  <c r="B5119"/>
  <c r="C5119"/>
  <c r="E5119"/>
  <c r="F5119"/>
  <c r="A5120"/>
  <c r="B5120"/>
  <c r="C5120"/>
  <c r="E5120"/>
  <c r="F5120"/>
  <c r="A5121"/>
  <c r="B5121"/>
  <c r="C5121"/>
  <c r="E5121"/>
  <c r="F5121"/>
  <c r="A5122"/>
  <c r="B5122"/>
  <c r="C5122"/>
  <c r="E5122"/>
  <c r="F5122"/>
  <c r="A5123"/>
  <c r="B5123"/>
  <c r="C5123"/>
  <c r="E5123"/>
  <c r="F5123"/>
  <c r="A5124"/>
  <c r="B5124"/>
  <c r="C5124"/>
  <c r="E5124"/>
  <c r="F5124"/>
  <c r="A5125"/>
  <c r="B5125"/>
  <c r="C5125"/>
  <c r="E5125"/>
  <c r="F5125"/>
  <c r="A5126"/>
  <c r="B5126"/>
  <c r="C5126"/>
  <c r="E5126"/>
  <c r="F5126"/>
  <c r="A5127"/>
  <c r="B5127"/>
  <c r="C5127"/>
  <c r="E5127"/>
  <c r="F5127"/>
  <c r="A5128"/>
  <c r="B5128"/>
  <c r="C5128"/>
  <c r="E5128"/>
  <c r="F5128"/>
  <c r="A5129"/>
  <c r="B5129"/>
  <c r="C5129"/>
  <c r="E5129"/>
  <c r="F5129"/>
  <c r="A5130"/>
  <c r="B5130"/>
  <c r="C5130"/>
  <c r="E5130"/>
  <c r="F5130"/>
  <c r="A5131"/>
  <c r="B5131"/>
  <c r="C5131"/>
  <c r="E5131"/>
  <c r="F5131"/>
  <c r="A5132"/>
  <c r="B5132"/>
  <c r="C5132"/>
  <c r="E5132"/>
  <c r="F5132"/>
  <c r="A5133"/>
  <c r="B5133"/>
  <c r="C5133"/>
  <c r="E5133"/>
  <c r="F5133"/>
  <c r="A5134"/>
  <c r="B5134"/>
  <c r="C5134"/>
  <c r="E5134"/>
  <c r="F5134"/>
  <c r="A5135"/>
  <c r="B5135"/>
  <c r="C5135"/>
  <c r="E5135"/>
  <c r="F5135"/>
  <c r="A5136"/>
  <c r="B5136"/>
  <c r="C5136"/>
  <c r="E5136"/>
  <c r="F5136"/>
  <c r="A5137"/>
  <c r="B5137"/>
  <c r="C5137"/>
  <c r="E5137"/>
  <c r="F5137"/>
  <c r="A5138"/>
  <c r="B5138"/>
  <c r="C5138"/>
  <c r="E5138"/>
  <c r="F5138"/>
  <c r="A5139"/>
  <c r="B5139"/>
  <c r="C5139"/>
  <c r="E5139"/>
  <c r="F5139"/>
  <c r="A5140"/>
  <c r="B5140"/>
  <c r="C5140"/>
  <c r="E5140"/>
  <c r="F5140"/>
  <c r="A5141"/>
  <c r="B5141"/>
  <c r="C5141"/>
  <c r="E5141"/>
  <c r="F5141"/>
  <c r="A5142"/>
  <c r="B5142"/>
  <c r="C5142"/>
  <c r="E5142"/>
  <c r="F5142"/>
  <c r="A5143"/>
  <c r="B5143"/>
  <c r="C5143"/>
  <c r="E5143"/>
  <c r="F5143"/>
  <c r="A5144"/>
  <c r="B5144"/>
  <c r="C5144"/>
  <c r="E5144"/>
  <c r="F5144"/>
  <c r="A5145"/>
  <c r="B5145"/>
  <c r="C5145"/>
  <c r="E5145"/>
  <c r="F5145"/>
  <c r="A5146"/>
  <c r="B5146"/>
  <c r="C5146"/>
  <c r="E5146"/>
  <c r="F5146"/>
  <c r="A5147"/>
  <c r="B5147"/>
  <c r="C5147"/>
  <c r="E5147"/>
  <c r="F5147"/>
  <c r="A5148"/>
  <c r="B5148"/>
  <c r="C5148"/>
  <c r="E5148"/>
  <c r="F5148"/>
  <c r="A5149"/>
  <c r="B5149"/>
  <c r="C5149"/>
  <c r="E5149"/>
  <c r="F5149"/>
  <c r="A5150"/>
  <c r="B5150"/>
  <c r="C5150"/>
  <c r="E5150"/>
  <c r="F5150"/>
  <c r="A5151"/>
  <c r="B5151"/>
  <c r="C5151"/>
  <c r="E5151"/>
  <c r="F5151"/>
  <c r="A5152"/>
  <c r="B5152"/>
  <c r="C5152"/>
  <c r="E5152"/>
  <c r="F5152"/>
  <c r="A5153"/>
  <c r="B5153"/>
  <c r="C5153"/>
  <c r="E5153"/>
  <c r="F5153"/>
  <c r="A5154"/>
  <c r="B5154"/>
  <c r="C5154"/>
  <c r="E5154"/>
  <c r="F5154"/>
  <c r="A5155"/>
  <c r="B5155"/>
  <c r="C5155"/>
  <c r="E5155"/>
  <c r="F5155"/>
  <c r="A5156"/>
  <c r="B5156"/>
  <c r="C5156"/>
  <c r="E5156"/>
  <c r="F5156"/>
  <c r="A5157"/>
  <c r="B5157"/>
  <c r="C5157"/>
  <c r="E5157"/>
  <c r="F5157"/>
  <c r="A5158"/>
  <c r="B5158"/>
  <c r="C5158"/>
  <c r="E5158"/>
  <c r="F5158"/>
  <c r="A5159"/>
  <c r="B5159"/>
  <c r="C5159"/>
  <c r="E5159"/>
  <c r="F5159"/>
  <c r="A5160"/>
  <c r="B5160"/>
  <c r="C5160"/>
  <c r="E5160"/>
  <c r="F5160"/>
  <c r="A5161"/>
  <c r="B5161"/>
  <c r="C5161"/>
  <c r="E5161"/>
  <c r="F5161"/>
  <c r="A5162"/>
  <c r="B5162"/>
  <c r="C5162"/>
  <c r="E5162"/>
  <c r="F5162"/>
  <c r="A5163"/>
  <c r="B5163"/>
  <c r="C5163"/>
  <c r="E5163"/>
  <c r="F5163"/>
  <c r="A5164"/>
  <c r="B5164"/>
  <c r="C5164"/>
  <c r="E5164"/>
  <c r="F5164"/>
  <c r="A5165"/>
  <c r="B5165"/>
  <c r="C5165"/>
  <c r="E5165"/>
  <c r="F5165"/>
  <c r="A5166"/>
  <c r="B5166"/>
  <c r="C5166"/>
  <c r="E5166"/>
  <c r="F5166"/>
  <c r="A5167"/>
  <c r="B5167"/>
  <c r="C5167"/>
  <c r="E5167"/>
  <c r="F5167"/>
  <c r="A5168"/>
  <c r="B5168"/>
  <c r="C5168"/>
  <c r="E5168"/>
  <c r="F5168"/>
  <c r="A5169"/>
  <c r="B5169"/>
  <c r="C5169"/>
  <c r="E5169"/>
  <c r="F5169"/>
  <c r="A5170"/>
  <c r="B5170"/>
  <c r="C5170"/>
  <c r="E5170"/>
  <c r="F5170"/>
  <c r="A5171"/>
  <c r="B5171"/>
  <c r="C5171"/>
  <c r="E5171"/>
  <c r="F5171"/>
  <c r="A5172"/>
  <c r="B5172"/>
  <c r="C5172"/>
  <c r="E5172"/>
  <c r="F5172"/>
  <c r="A5173"/>
  <c r="B5173"/>
  <c r="C5173"/>
  <c r="E5173"/>
  <c r="F5173"/>
  <c r="A5174"/>
  <c r="B5174"/>
  <c r="C5174"/>
  <c r="E5174"/>
  <c r="F5174"/>
  <c r="A5175"/>
  <c r="B5175"/>
  <c r="C5175"/>
  <c r="E5175"/>
  <c r="F5175"/>
  <c r="A5176"/>
  <c r="B5176"/>
  <c r="C5176"/>
  <c r="E5176"/>
  <c r="F5176"/>
  <c r="A5177"/>
  <c r="B5177"/>
  <c r="C5177"/>
  <c r="E5177"/>
  <c r="F5177"/>
  <c r="A5178"/>
  <c r="B5178"/>
  <c r="C5178"/>
  <c r="E5178"/>
  <c r="F5178"/>
  <c r="A5179"/>
  <c r="B5179"/>
  <c r="C5179"/>
  <c r="E5179"/>
  <c r="F5179"/>
  <c r="A5180"/>
  <c r="B5180"/>
  <c r="C5180"/>
  <c r="E5180"/>
  <c r="F5180"/>
  <c r="A5181"/>
  <c r="B5181"/>
  <c r="C5181"/>
  <c r="E5181"/>
  <c r="F5181"/>
  <c r="A5182"/>
  <c r="B5182"/>
  <c r="C5182"/>
  <c r="E5182"/>
  <c r="F5182"/>
  <c r="A5183"/>
  <c r="B5183"/>
  <c r="C5183"/>
  <c r="E5183"/>
  <c r="F5183"/>
  <c r="A5184"/>
  <c r="B5184"/>
  <c r="C5184"/>
  <c r="E5184"/>
  <c r="F5184"/>
  <c r="A5185"/>
  <c r="B5185"/>
  <c r="C5185"/>
  <c r="E5185"/>
  <c r="F5185"/>
  <c r="A5186"/>
  <c r="B5186"/>
  <c r="C5186"/>
  <c r="E5186"/>
  <c r="F5186"/>
  <c r="A5187"/>
  <c r="B5187"/>
  <c r="C5187"/>
  <c r="E5187"/>
  <c r="F5187"/>
  <c r="A5188"/>
  <c r="B5188"/>
  <c r="C5188"/>
  <c r="E5188"/>
  <c r="F5188"/>
  <c r="A5189"/>
  <c r="B5189"/>
  <c r="C5189"/>
  <c r="E5189"/>
  <c r="F5189"/>
  <c r="A5190"/>
  <c r="B5190"/>
  <c r="C5190"/>
  <c r="E5190"/>
  <c r="F5190"/>
  <c r="A5191"/>
  <c r="B5191"/>
  <c r="C5191"/>
  <c r="E5191"/>
  <c r="F5191"/>
  <c r="A5192"/>
  <c r="B5192"/>
  <c r="C5192"/>
  <c r="E5192"/>
  <c r="F5192"/>
  <c r="A5193"/>
  <c r="B5193"/>
  <c r="C5193"/>
  <c r="E5193"/>
  <c r="F5193"/>
  <c r="A5194"/>
  <c r="B5194"/>
  <c r="C5194"/>
  <c r="E5194"/>
  <c r="F5194"/>
  <c r="A5195"/>
  <c r="B5195"/>
  <c r="C5195"/>
  <c r="E5195"/>
  <c r="F5195"/>
  <c r="A5196"/>
  <c r="B5196"/>
  <c r="C5196"/>
  <c r="E5196"/>
  <c r="F5196"/>
  <c r="A5197"/>
  <c r="B5197"/>
  <c r="C5197"/>
  <c r="E5197"/>
  <c r="F5197"/>
  <c r="A5198"/>
  <c r="B5198"/>
  <c r="C5198"/>
  <c r="E5198"/>
  <c r="F5198"/>
  <c r="A5199"/>
  <c r="B5199"/>
  <c r="C5199"/>
  <c r="E5199"/>
  <c r="F5199"/>
  <c r="A5200"/>
  <c r="B5200"/>
  <c r="C5200"/>
  <c r="E5200"/>
  <c r="F5200"/>
  <c r="A5201"/>
  <c r="B5201"/>
  <c r="C5201"/>
  <c r="E5201"/>
  <c r="F5201"/>
  <c r="A5202"/>
  <c r="B5202"/>
  <c r="C5202"/>
  <c r="E5202"/>
  <c r="F5202"/>
  <c r="A5203"/>
  <c r="B5203"/>
  <c r="C5203"/>
  <c r="E5203"/>
  <c r="F5203"/>
  <c r="A5204"/>
  <c r="B5204"/>
  <c r="C5204"/>
  <c r="E5204"/>
  <c r="F5204"/>
  <c r="A5205"/>
  <c r="B5205"/>
  <c r="C5205"/>
  <c r="E5205"/>
  <c r="F5205"/>
  <c r="A5206"/>
  <c r="B5206"/>
  <c r="C5206"/>
  <c r="E5206"/>
  <c r="F5206"/>
  <c r="A5207"/>
  <c r="B5207"/>
  <c r="C5207"/>
  <c r="E5207"/>
  <c r="F5207"/>
  <c r="A5208"/>
  <c r="B5208"/>
  <c r="C5208"/>
  <c r="E5208"/>
  <c r="F5208"/>
  <c r="A5209"/>
  <c r="B5209"/>
  <c r="C5209"/>
  <c r="E5209"/>
  <c r="F5209"/>
  <c r="A5210"/>
  <c r="B5210"/>
  <c r="C5210"/>
  <c r="E5210"/>
  <c r="F5210"/>
  <c r="A5211"/>
  <c r="B5211"/>
  <c r="C5211"/>
  <c r="E5211"/>
  <c r="F5211"/>
  <c r="A5212"/>
  <c r="B5212"/>
  <c r="C5212"/>
  <c r="E5212"/>
  <c r="F5212"/>
  <c r="A5213"/>
  <c r="B5213"/>
  <c r="C5213"/>
  <c r="E5213"/>
  <c r="F5213"/>
  <c r="A5214"/>
  <c r="B5214"/>
  <c r="C5214"/>
  <c r="E5214"/>
  <c r="F5214"/>
  <c r="A5215"/>
  <c r="B5215"/>
  <c r="C5215"/>
  <c r="E5215"/>
  <c r="F5215"/>
  <c r="A5216"/>
  <c r="B5216"/>
  <c r="C5216"/>
  <c r="E5216"/>
  <c r="F5216"/>
  <c r="A5217"/>
  <c r="B5217"/>
  <c r="C5217"/>
  <c r="E5217"/>
  <c r="F5217"/>
  <c r="A5218"/>
  <c r="B5218"/>
  <c r="C5218"/>
  <c r="E5218"/>
  <c r="F5218"/>
  <c r="A5219"/>
  <c r="B5219"/>
  <c r="C5219"/>
  <c r="E5219"/>
  <c r="F5219"/>
  <c r="A5220"/>
  <c r="B5220"/>
  <c r="C5220"/>
  <c r="E5220"/>
  <c r="F5220"/>
  <c r="A5221"/>
  <c r="B5221"/>
  <c r="C5221"/>
  <c r="E5221"/>
  <c r="F5221"/>
  <c r="A5222"/>
  <c r="B5222"/>
  <c r="C5222"/>
  <c r="E5222"/>
  <c r="F5222"/>
  <c r="A5223"/>
  <c r="B5223"/>
  <c r="C5223"/>
  <c r="E5223"/>
  <c r="F5223"/>
  <c r="A5224"/>
  <c r="B5224"/>
  <c r="C5224"/>
  <c r="E5224"/>
  <c r="F5224"/>
  <c r="A5225"/>
  <c r="B5225"/>
  <c r="C5225"/>
  <c r="E5225"/>
  <c r="F5225"/>
  <c r="A5226"/>
  <c r="B5226"/>
  <c r="C5226"/>
  <c r="E5226"/>
  <c r="F5226"/>
  <c r="A5227"/>
  <c r="B5227"/>
  <c r="C5227"/>
  <c r="E5227"/>
  <c r="F5227"/>
  <c r="A5228"/>
  <c r="B5228"/>
  <c r="C5228"/>
  <c r="E5228"/>
  <c r="F5228"/>
  <c r="A5229"/>
  <c r="B5229"/>
  <c r="C5229"/>
  <c r="E5229"/>
  <c r="F5229"/>
  <c r="A5230"/>
  <c r="B5230"/>
  <c r="C5230"/>
  <c r="E5230"/>
  <c r="F5230"/>
  <c r="A5231"/>
  <c r="B5231"/>
  <c r="C5231"/>
  <c r="E5231"/>
  <c r="F5231"/>
  <c r="A5232"/>
  <c r="B5232"/>
  <c r="C5232"/>
  <c r="E5232"/>
  <c r="F5232"/>
  <c r="A5233"/>
  <c r="B5233"/>
  <c r="C5233"/>
  <c r="E5233"/>
  <c r="F5233"/>
  <c r="A5234"/>
  <c r="B5234"/>
  <c r="C5234"/>
  <c r="E5234"/>
  <c r="F5234"/>
  <c r="A5235"/>
  <c r="B5235"/>
  <c r="C5235"/>
  <c r="E5235"/>
  <c r="F5235"/>
  <c r="A5236"/>
  <c r="B5236"/>
  <c r="C5236"/>
  <c r="E5236"/>
  <c r="F5236"/>
  <c r="A5237"/>
  <c r="B5237"/>
  <c r="C5237"/>
  <c r="E5237"/>
  <c r="F5237"/>
  <c r="C5238"/>
  <c r="E5238"/>
  <c r="F5238"/>
  <c r="A5239"/>
  <c r="B5239"/>
  <c r="C5239"/>
  <c r="E5239"/>
  <c r="F5239"/>
  <c r="A5240"/>
  <c r="B5240"/>
  <c r="C5240"/>
  <c r="E5240"/>
  <c r="F5240"/>
  <c r="A5241"/>
  <c r="B5241"/>
  <c r="C5241"/>
  <c r="E5241"/>
  <c r="F5241"/>
  <c r="A5242"/>
  <c r="B5242"/>
  <c r="C5242"/>
  <c r="E5242"/>
  <c r="F5242"/>
  <c r="A5243"/>
  <c r="B5243"/>
  <c r="C5243"/>
  <c r="E5243"/>
  <c r="F5243"/>
  <c r="A5244"/>
  <c r="B5244"/>
  <c r="C5244"/>
  <c r="E5244"/>
  <c r="F5244"/>
  <c r="A5245"/>
  <c r="B5245"/>
  <c r="C5245"/>
  <c r="E5245"/>
  <c r="F5245"/>
  <c r="A5246"/>
  <c r="B5246"/>
  <c r="C5246"/>
  <c r="E5246"/>
  <c r="F5246"/>
  <c r="A5247"/>
  <c r="B5247"/>
  <c r="C5247"/>
  <c r="E5247"/>
  <c r="F5247"/>
  <c r="A5248"/>
  <c r="B5248"/>
  <c r="C5248"/>
  <c r="E5248"/>
  <c r="F5248"/>
  <c r="A5249"/>
  <c r="B5249"/>
  <c r="C5249"/>
  <c r="E5249"/>
  <c r="F5249"/>
  <c r="A5250"/>
  <c r="B5250"/>
  <c r="C5250"/>
  <c r="E5250"/>
  <c r="F5250"/>
  <c r="A5251"/>
  <c r="B5251"/>
  <c r="C5251"/>
  <c r="E5251"/>
  <c r="F5251"/>
  <c r="A5252"/>
  <c r="B5252"/>
  <c r="C5252"/>
  <c r="E5252"/>
  <c r="F5252"/>
  <c r="A5253"/>
  <c r="B5253"/>
  <c r="C5253"/>
  <c r="E5253"/>
  <c r="F5253"/>
  <c r="A5254"/>
  <c r="B5254"/>
  <c r="C5254"/>
  <c r="E5254"/>
  <c r="F5254"/>
  <c r="A5255"/>
  <c r="B5255"/>
  <c r="C5255"/>
  <c r="E5255"/>
  <c r="F5255"/>
  <c r="A5256"/>
  <c r="B5256"/>
  <c r="C5256"/>
  <c r="E5256"/>
  <c r="F5256"/>
  <c r="A5257"/>
  <c r="B5257"/>
  <c r="C5257"/>
  <c r="E5257"/>
  <c r="F5257"/>
  <c r="A5258"/>
  <c r="B5258"/>
  <c r="C5258"/>
  <c r="E5258"/>
  <c r="F5258"/>
  <c r="A5259"/>
  <c r="B5259"/>
  <c r="C5259"/>
  <c r="E5259"/>
  <c r="F5259"/>
  <c r="A5260"/>
  <c r="B5260"/>
  <c r="C5260"/>
  <c r="E5260"/>
  <c r="F5260"/>
  <c r="A5261"/>
  <c r="B5261"/>
  <c r="C5261"/>
  <c r="E5261"/>
  <c r="F5261"/>
  <c r="A5262"/>
  <c r="B5262"/>
  <c r="C5262"/>
  <c r="E5262"/>
  <c r="F5262"/>
  <c r="A5263"/>
  <c r="B5263"/>
  <c r="C5263"/>
  <c r="E5263"/>
  <c r="F5263"/>
  <c r="A5264"/>
  <c r="B5264"/>
  <c r="C5264"/>
  <c r="E5264"/>
  <c r="F5264"/>
  <c r="A5265"/>
  <c r="B5265"/>
  <c r="C5265"/>
  <c r="E5265"/>
  <c r="F5265"/>
  <c r="A5266"/>
  <c r="B5266"/>
  <c r="C5266"/>
  <c r="E5266"/>
  <c r="F5266"/>
  <c r="A5267"/>
  <c r="B5267"/>
  <c r="C5267"/>
  <c r="E5267"/>
  <c r="F5267"/>
  <c r="A5268"/>
  <c r="B5268"/>
  <c r="C5268"/>
  <c r="E5268"/>
  <c r="F5268"/>
  <c r="A5269"/>
  <c r="B5269"/>
  <c r="C5269"/>
  <c r="E5269"/>
  <c r="F5269"/>
  <c r="A5270"/>
  <c r="B5270"/>
  <c r="C5270"/>
  <c r="E5270"/>
  <c r="F5270"/>
  <c r="A5271"/>
  <c r="B5271"/>
  <c r="C5271"/>
  <c r="E5271"/>
  <c r="F5271"/>
  <c r="A5272"/>
  <c r="B5272"/>
  <c r="C5272"/>
  <c r="E5272"/>
  <c r="F5272"/>
  <c r="A5273"/>
  <c r="B5273"/>
  <c r="C5273"/>
  <c r="E5273"/>
  <c r="F5273"/>
  <c r="A5274"/>
  <c r="B5274"/>
  <c r="C5274"/>
  <c r="E5274"/>
  <c r="F5274"/>
  <c r="A5275"/>
  <c r="B5275"/>
  <c r="C5275"/>
  <c r="E5275"/>
  <c r="F5275"/>
  <c r="A5276"/>
  <c r="B5276"/>
  <c r="C5276"/>
  <c r="E5276"/>
  <c r="F5276"/>
  <c r="A5277"/>
  <c r="B5277"/>
  <c r="C5277"/>
  <c r="E5277"/>
  <c r="F5277"/>
  <c r="A5278"/>
  <c r="B5278"/>
  <c r="C5278"/>
  <c r="E5278"/>
  <c r="F5278"/>
  <c r="A5279"/>
  <c r="B5279"/>
  <c r="C5279"/>
  <c r="E5279"/>
  <c r="F5279"/>
  <c r="A5280"/>
  <c r="B5280"/>
  <c r="C5280"/>
  <c r="E5280"/>
  <c r="F5280"/>
  <c r="A5281"/>
  <c r="B5281"/>
  <c r="C5281"/>
  <c r="E5281"/>
  <c r="F5281"/>
  <c r="A5282"/>
  <c r="B5282"/>
  <c r="C5282"/>
  <c r="E5282"/>
  <c r="F5282"/>
  <c r="A5283"/>
  <c r="B5283"/>
  <c r="C5283"/>
  <c r="E5283"/>
  <c r="F5283"/>
  <c r="A5284"/>
  <c r="B5284"/>
  <c r="C5284"/>
  <c r="E5284"/>
  <c r="F5284"/>
  <c r="A5285"/>
  <c r="B5285"/>
  <c r="C5285"/>
  <c r="E5285"/>
  <c r="F5285"/>
  <c r="A5286"/>
  <c r="B5286"/>
  <c r="C5286"/>
  <c r="E5286"/>
  <c r="F5286"/>
  <c r="A5287"/>
  <c r="B5287"/>
  <c r="C5287"/>
  <c r="E5287"/>
  <c r="F5287"/>
  <c r="A5288"/>
  <c r="B5288"/>
  <c r="C5288"/>
  <c r="E5288"/>
  <c r="F5288"/>
  <c r="A5289"/>
  <c r="B5289"/>
  <c r="C5289"/>
  <c r="E5289"/>
  <c r="F5289"/>
  <c r="A5290"/>
  <c r="B5290"/>
  <c r="C5290"/>
  <c r="E5290"/>
  <c r="F5290"/>
  <c r="A5291"/>
  <c r="B5291"/>
  <c r="C5291"/>
  <c r="E5291"/>
  <c r="F5291"/>
  <c r="A5292"/>
  <c r="B5292"/>
  <c r="C5292"/>
  <c r="E5292"/>
  <c r="F5292"/>
  <c r="A5293"/>
  <c r="B5293"/>
  <c r="C5293"/>
  <c r="E5293"/>
  <c r="F5293"/>
  <c r="A5294"/>
  <c r="B5294"/>
  <c r="C5294"/>
  <c r="E5294"/>
  <c r="F5294"/>
  <c r="A5295"/>
  <c r="B5295"/>
  <c r="C5295"/>
  <c r="E5295"/>
  <c r="F5295"/>
  <c r="A5296"/>
  <c r="B5296"/>
  <c r="C5296"/>
  <c r="E5296"/>
  <c r="F5296"/>
  <c r="A5297"/>
  <c r="B5297"/>
  <c r="C5297"/>
  <c r="E5297"/>
  <c r="F5297"/>
  <c r="A5298"/>
  <c r="B5298"/>
  <c r="C5298"/>
  <c r="E5298"/>
  <c r="F5298"/>
  <c r="A5299"/>
  <c r="B5299"/>
  <c r="C5299"/>
  <c r="E5299"/>
  <c r="F5299"/>
  <c r="A5300"/>
  <c r="B5300"/>
  <c r="C5300"/>
  <c r="E5300"/>
  <c r="F5300"/>
  <c r="A5301"/>
  <c r="B5301"/>
  <c r="C5301"/>
  <c r="E5301"/>
  <c r="F5301"/>
  <c r="A5302"/>
  <c r="B5302"/>
  <c r="C5302"/>
  <c r="E5302"/>
  <c r="F5302"/>
  <c r="A5303"/>
  <c r="B5303"/>
  <c r="C5303"/>
  <c r="E5303"/>
  <c r="F5303"/>
  <c r="A5304"/>
  <c r="B5304"/>
  <c r="C5304"/>
  <c r="E5304"/>
  <c r="F5304"/>
  <c r="A5305"/>
  <c r="B5305"/>
  <c r="C5305"/>
  <c r="E5305"/>
  <c r="F5305"/>
  <c r="A5306"/>
  <c r="B5306"/>
  <c r="C5306"/>
  <c r="E5306"/>
  <c r="F5306"/>
  <c r="A5307"/>
  <c r="B5307"/>
  <c r="C5307"/>
  <c r="E5307"/>
  <c r="F5307"/>
  <c r="A5308"/>
  <c r="B5308"/>
  <c r="C5308"/>
  <c r="E5308"/>
  <c r="F5308"/>
  <c r="A5309"/>
  <c r="B5309"/>
  <c r="C5309"/>
  <c r="E5309"/>
  <c r="F5309"/>
  <c r="A5310"/>
  <c r="B5310"/>
  <c r="C5310"/>
  <c r="E5310"/>
  <c r="F5310"/>
  <c r="A5311"/>
  <c r="B5311"/>
  <c r="C5311"/>
  <c r="E5311"/>
  <c r="F5311"/>
  <c r="A5312"/>
  <c r="B5312"/>
  <c r="C5312"/>
  <c r="E5312"/>
  <c r="F5312"/>
  <c r="A5313"/>
  <c r="B5313"/>
  <c r="C5313"/>
  <c r="E5313"/>
  <c r="F5313"/>
  <c r="A5314"/>
  <c r="B5314"/>
  <c r="C5314"/>
  <c r="E5314"/>
  <c r="F5314"/>
  <c r="C5315"/>
  <c r="E5315"/>
  <c r="F5315"/>
  <c r="A5316"/>
  <c r="B5316"/>
  <c r="C5316"/>
  <c r="E5316"/>
  <c r="F5316"/>
  <c r="A5317"/>
  <c r="B5317"/>
  <c r="C5317"/>
  <c r="E5317"/>
  <c r="F5317"/>
  <c r="C5318"/>
  <c r="E5318"/>
  <c r="F5318"/>
  <c r="A5319"/>
  <c r="B5319"/>
  <c r="C5319"/>
  <c r="E5319"/>
  <c r="F5319"/>
  <c r="A5320"/>
  <c r="B5320"/>
  <c r="C5320"/>
  <c r="E5320"/>
  <c r="F5320"/>
  <c r="A5321"/>
  <c r="B5321"/>
  <c r="C5321"/>
  <c r="E5321"/>
  <c r="F5321"/>
  <c r="A5322"/>
  <c r="B5322"/>
  <c r="C5322"/>
  <c r="E5322"/>
  <c r="F5322"/>
  <c r="A5323"/>
  <c r="B5323"/>
  <c r="C5323"/>
  <c r="E5323"/>
  <c r="F5323"/>
  <c r="A5324"/>
  <c r="B5324"/>
  <c r="C5324"/>
  <c r="E5324"/>
  <c r="F5324"/>
  <c r="A5325"/>
  <c r="B5325"/>
  <c r="C5325"/>
  <c r="E5325"/>
  <c r="F5325"/>
  <c r="A5326"/>
  <c r="B5326"/>
  <c r="C5326"/>
  <c r="E5326"/>
  <c r="F5326"/>
  <c r="A5327"/>
  <c r="B5327"/>
  <c r="C5327"/>
  <c r="E5327"/>
  <c r="F5327"/>
  <c r="A5328"/>
  <c r="B5328"/>
  <c r="C5328"/>
  <c r="E5328"/>
  <c r="F5328"/>
  <c r="A5329"/>
  <c r="B5329"/>
  <c r="C5329"/>
  <c r="E5329"/>
  <c r="F5329"/>
  <c r="A5330"/>
  <c r="B5330"/>
  <c r="C5330"/>
  <c r="E5330"/>
  <c r="F5330"/>
  <c r="A5331"/>
  <c r="B5331"/>
  <c r="C5331"/>
  <c r="E5331"/>
  <c r="F5331"/>
  <c r="A5332"/>
  <c r="B5332"/>
  <c r="C5332"/>
  <c r="E5332"/>
  <c r="F5332"/>
  <c r="A5333"/>
  <c r="B5333"/>
  <c r="C5333"/>
  <c r="E5333"/>
  <c r="F5333"/>
  <c r="A5334"/>
  <c r="B5334"/>
  <c r="C5334"/>
  <c r="E5334"/>
  <c r="F5334"/>
  <c r="A5335"/>
  <c r="B5335"/>
  <c r="C5335"/>
  <c r="E5335"/>
  <c r="F5335"/>
  <c r="A5336"/>
  <c r="B5336"/>
  <c r="C5336"/>
  <c r="E5336"/>
  <c r="F5336"/>
  <c r="A5337"/>
  <c r="B5337"/>
  <c r="C5337"/>
  <c r="E5337"/>
  <c r="F5337"/>
  <c r="A5338"/>
  <c r="B5338"/>
  <c r="C5338"/>
  <c r="E5338"/>
  <c r="F5338"/>
  <c r="A5339"/>
  <c r="B5339"/>
  <c r="C5339"/>
  <c r="E5339"/>
  <c r="F5339"/>
  <c r="A5340"/>
  <c r="B5340"/>
  <c r="C5340"/>
  <c r="E5340"/>
  <c r="F5340"/>
  <c r="A5341"/>
  <c r="B5341"/>
  <c r="C5341"/>
  <c r="E5341"/>
  <c r="F5341"/>
  <c r="A5342"/>
  <c r="B5342"/>
  <c r="C5342"/>
  <c r="E5342"/>
  <c r="F5342"/>
  <c r="A5343"/>
  <c r="B5343"/>
  <c r="C5343"/>
  <c r="E5343"/>
  <c r="F5343"/>
  <c r="A5344"/>
  <c r="B5344"/>
  <c r="C5344"/>
  <c r="E5344"/>
  <c r="F5344"/>
  <c r="A5345"/>
  <c r="B5345"/>
  <c r="C5345"/>
  <c r="E5345"/>
  <c r="F5345"/>
  <c r="A5346"/>
  <c r="B5346"/>
  <c r="C5346"/>
  <c r="E5346"/>
  <c r="F5346"/>
  <c r="A5347"/>
  <c r="B5347"/>
  <c r="C5347"/>
  <c r="E5347"/>
  <c r="F5347"/>
  <c r="A5348"/>
  <c r="B5348"/>
  <c r="C5348"/>
  <c r="E5348"/>
  <c r="F5348"/>
  <c r="A5349"/>
  <c r="B5349"/>
  <c r="C5349"/>
  <c r="E5349"/>
  <c r="F5349"/>
  <c r="A5350"/>
  <c r="B5350"/>
  <c r="C5350"/>
  <c r="E5350"/>
  <c r="F5350"/>
  <c r="A5351"/>
  <c r="B5351"/>
  <c r="C5351"/>
  <c r="E5351"/>
  <c r="F5351"/>
  <c r="A5352"/>
  <c r="B5352"/>
  <c r="C5352"/>
  <c r="E5352"/>
  <c r="F5352"/>
  <c r="A5353"/>
  <c r="B5353"/>
  <c r="C5353"/>
  <c r="E5353"/>
  <c r="F5353"/>
  <c r="A5354"/>
  <c r="B5354"/>
  <c r="C5354"/>
  <c r="E5354"/>
  <c r="F5354"/>
  <c r="A5355"/>
  <c r="B5355"/>
  <c r="C5355"/>
  <c r="E5355"/>
  <c r="F5355"/>
  <c r="A5356"/>
  <c r="B5356"/>
  <c r="C5356"/>
  <c r="E5356"/>
  <c r="F5356"/>
  <c r="A5357"/>
  <c r="B5357"/>
  <c r="C5357"/>
  <c r="E5357"/>
  <c r="F5357"/>
  <c r="A5358"/>
  <c r="B5358"/>
  <c r="C5358"/>
  <c r="E5358"/>
  <c r="F5358"/>
  <c r="A5359"/>
  <c r="B5359"/>
  <c r="C5359"/>
  <c r="E5359"/>
  <c r="F5359"/>
  <c r="A5360"/>
  <c r="B5360"/>
  <c r="C5360"/>
  <c r="E5360"/>
  <c r="F5360"/>
  <c r="A5361"/>
  <c r="B5361"/>
  <c r="C5361"/>
  <c r="E5361"/>
  <c r="F5361"/>
  <c r="A5362"/>
  <c r="B5362"/>
  <c r="C5362"/>
  <c r="E5362"/>
  <c r="F5362"/>
  <c r="A5363"/>
  <c r="B5363"/>
  <c r="C5363"/>
  <c r="E5363"/>
  <c r="F5363"/>
  <c r="A5364"/>
  <c r="B5364"/>
  <c r="C5364"/>
  <c r="E5364"/>
  <c r="F5364"/>
  <c r="A5365"/>
  <c r="B5365"/>
  <c r="C5365"/>
  <c r="E5365"/>
  <c r="F5365"/>
  <c r="A5366"/>
  <c r="B5366"/>
  <c r="C5366"/>
  <c r="E5366"/>
  <c r="F5366"/>
  <c r="A5367"/>
  <c r="B5367"/>
  <c r="C5367"/>
  <c r="E5367"/>
  <c r="F5367"/>
  <c r="A5368"/>
  <c r="B5368"/>
  <c r="C5368"/>
  <c r="E5368"/>
  <c r="F5368"/>
  <c r="A5369"/>
  <c r="B5369"/>
  <c r="C5369"/>
  <c r="E5369"/>
  <c r="F5369"/>
  <c r="A5370"/>
  <c r="B5370"/>
  <c r="C5370"/>
  <c r="E5370"/>
  <c r="F5370"/>
  <c r="A5371"/>
  <c r="B5371"/>
  <c r="C5371"/>
  <c r="E5371"/>
  <c r="F5371"/>
  <c r="A5372"/>
  <c r="B5372"/>
  <c r="C5372"/>
  <c r="E5372"/>
  <c r="F5372"/>
  <c r="A5373"/>
  <c r="B5373"/>
  <c r="C5373"/>
  <c r="E5373"/>
  <c r="F5373"/>
  <c r="A5374"/>
  <c r="B5374"/>
  <c r="C5374"/>
  <c r="E5374"/>
  <c r="F5374"/>
  <c r="A5375"/>
  <c r="B5375"/>
  <c r="C5375"/>
  <c r="E5375"/>
  <c r="F5375"/>
  <c r="A5376"/>
  <c r="B5376"/>
  <c r="C5376"/>
  <c r="E5376"/>
  <c r="F5376"/>
  <c r="A5377"/>
  <c r="B5377"/>
  <c r="C5377"/>
  <c r="E5377"/>
  <c r="F5377"/>
  <c r="A5378"/>
  <c r="B5378"/>
  <c r="C5378"/>
  <c r="E5378"/>
  <c r="F5378"/>
  <c r="A5379"/>
  <c r="B5379"/>
  <c r="C5379"/>
  <c r="E5379"/>
  <c r="F5379"/>
  <c r="A5380"/>
  <c r="B5380"/>
  <c r="C5380"/>
  <c r="E5380"/>
  <c r="F5380"/>
  <c r="A5381"/>
  <c r="B5381"/>
  <c r="C5381"/>
  <c r="E5381"/>
  <c r="F5381"/>
  <c r="A5382"/>
  <c r="B5382"/>
  <c r="C5382"/>
  <c r="E5382"/>
  <c r="F5382"/>
  <c r="A5383"/>
  <c r="B5383"/>
  <c r="C5383"/>
  <c r="E5383"/>
  <c r="F5383"/>
  <c r="A5384"/>
  <c r="B5384"/>
  <c r="C5384"/>
  <c r="E5384"/>
  <c r="F5384"/>
  <c r="A5385"/>
  <c r="B5385"/>
  <c r="C5385"/>
  <c r="E5385"/>
  <c r="F5385"/>
  <c r="A5386"/>
  <c r="B5386"/>
  <c r="C5386"/>
  <c r="E5386"/>
  <c r="F5386"/>
  <c r="A5387"/>
  <c r="B5387"/>
  <c r="C5387"/>
  <c r="E5387"/>
  <c r="F5387"/>
  <c r="A5388"/>
  <c r="B5388"/>
  <c r="C5388"/>
  <c r="E5388"/>
  <c r="F5388"/>
  <c r="A5389"/>
  <c r="B5389"/>
  <c r="C5389"/>
  <c r="E5389"/>
  <c r="F5389"/>
  <c r="A5390"/>
  <c r="B5390"/>
  <c r="C5390"/>
  <c r="E5390"/>
  <c r="F5390"/>
  <c r="A5391"/>
  <c r="B5391"/>
  <c r="C5391"/>
  <c r="E5391"/>
  <c r="F5391"/>
  <c r="A5392"/>
  <c r="B5392"/>
  <c r="C5392"/>
  <c r="E5392"/>
  <c r="F5392"/>
  <c r="A5393"/>
  <c r="B5393"/>
  <c r="C5393"/>
  <c r="E5393"/>
  <c r="F5393"/>
  <c r="A5394"/>
  <c r="B5394"/>
  <c r="C5394"/>
  <c r="E5394"/>
  <c r="F5394"/>
  <c r="A5395"/>
  <c r="B5395"/>
  <c r="C5395"/>
  <c r="E5395"/>
  <c r="F5395"/>
  <c r="A5396"/>
  <c r="B5396"/>
  <c r="C5396"/>
  <c r="E5396"/>
  <c r="F5396"/>
  <c r="A5397"/>
  <c r="B5397"/>
  <c r="C5397"/>
  <c r="E5397"/>
  <c r="F5397"/>
  <c r="A5398"/>
  <c r="B5398"/>
  <c r="C5398"/>
  <c r="E5398"/>
  <c r="F5398"/>
  <c r="A5399"/>
  <c r="B5399"/>
  <c r="C5399"/>
  <c r="E5399"/>
  <c r="F5399"/>
  <c r="A5400"/>
  <c r="B5400"/>
  <c r="C5400"/>
  <c r="E5400"/>
  <c r="F5400"/>
  <c r="A5401"/>
  <c r="B5401"/>
  <c r="C5401"/>
  <c r="E5401"/>
  <c r="F5401"/>
  <c r="A5402"/>
  <c r="B5402"/>
  <c r="C5402"/>
  <c r="E5402"/>
  <c r="F5402"/>
  <c r="A5403"/>
  <c r="B5403"/>
  <c r="C5403"/>
  <c r="E5403"/>
  <c r="F5403"/>
  <c r="A5404"/>
  <c r="B5404"/>
  <c r="C5404"/>
  <c r="E5404"/>
  <c r="F5404"/>
  <c r="A5405"/>
  <c r="B5405"/>
  <c r="C5405"/>
  <c r="E5405"/>
  <c r="F5405"/>
  <c r="A5406"/>
  <c r="B5406"/>
  <c r="C5406"/>
  <c r="E5406"/>
  <c r="F5406"/>
  <c r="A5407"/>
  <c r="B5407"/>
  <c r="C5407"/>
  <c r="E5407"/>
  <c r="F5407"/>
  <c r="A5408"/>
  <c r="B5408"/>
  <c r="C5408"/>
  <c r="E5408"/>
  <c r="F5408"/>
  <c r="A5409"/>
  <c r="B5409"/>
  <c r="C5409"/>
  <c r="E5409"/>
  <c r="F5409"/>
  <c r="A5410"/>
  <c r="B5410"/>
  <c r="C5410"/>
  <c r="E5410"/>
  <c r="F5410"/>
  <c r="A5411"/>
  <c r="B5411"/>
  <c r="C5411"/>
  <c r="E5411"/>
  <c r="F5411"/>
  <c r="A5412"/>
  <c r="B5412"/>
  <c r="C5412"/>
  <c r="E5412"/>
  <c r="F5412"/>
  <c r="A5413"/>
  <c r="B5413"/>
  <c r="C5413"/>
  <c r="E5413"/>
  <c r="F5413"/>
  <c r="A5414"/>
  <c r="B5414"/>
  <c r="C5414"/>
  <c r="E5414"/>
  <c r="F5414"/>
  <c r="A5415"/>
  <c r="B5415"/>
  <c r="C5415"/>
  <c r="E5415"/>
  <c r="F5415"/>
  <c r="A5416"/>
  <c r="B5416"/>
  <c r="C5416"/>
  <c r="E5416"/>
  <c r="F5416"/>
  <c r="A5417"/>
  <c r="B5417"/>
  <c r="C5417"/>
  <c r="E5417"/>
  <c r="F5417"/>
  <c r="A5418"/>
  <c r="B5418"/>
  <c r="C5418"/>
  <c r="E5418"/>
  <c r="F5418"/>
  <c r="A5419"/>
  <c r="B5419"/>
  <c r="C5419"/>
  <c r="E5419"/>
  <c r="F5419"/>
  <c r="A5420"/>
  <c r="B5420"/>
  <c r="C5420"/>
  <c r="E5420"/>
  <c r="F5420"/>
  <c r="A5421"/>
  <c r="B5421"/>
  <c r="C5421"/>
  <c r="E5421"/>
  <c r="F5421"/>
  <c r="A5422"/>
  <c r="B5422"/>
  <c r="C5422"/>
  <c r="E5422"/>
  <c r="F5422"/>
  <c r="A5423"/>
  <c r="B5423"/>
  <c r="C5423"/>
  <c r="E5423"/>
  <c r="F5423"/>
  <c r="A5424"/>
  <c r="B5424"/>
  <c r="C5424"/>
  <c r="E5424"/>
  <c r="F5424"/>
  <c r="A5425"/>
  <c r="B5425"/>
  <c r="C5425"/>
  <c r="E5425"/>
  <c r="F5425"/>
  <c r="A5426"/>
  <c r="B5426"/>
  <c r="C5426"/>
  <c r="E5426"/>
  <c r="F5426"/>
  <c r="A5427"/>
  <c r="B5427"/>
  <c r="C5427"/>
  <c r="E5427"/>
  <c r="F5427"/>
  <c r="A5428"/>
  <c r="B5428"/>
  <c r="C5428"/>
  <c r="E5428"/>
  <c r="F5428"/>
  <c r="A5429"/>
  <c r="B5429"/>
  <c r="C5429"/>
  <c r="E5429"/>
  <c r="F5429"/>
  <c r="A5430"/>
  <c r="B5430"/>
  <c r="C5430"/>
  <c r="E5430"/>
  <c r="F5430"/>
  <c r="A5431"/>
  <c r="B5431"/>
  <c r="C5431"/>
  <c r="E5431"/>
  <c r="F5431"/>
  <c r="A5432"/>
  <c r="B5432"/>
  <c r="C5432"/>
  <c r="E5432"/>
  <c r="F5432"/>
  <c r="A5433"/>
  <c r="B5433"/>
  <c r="C5433"/>
  <c r="E5433"/>
  <c r="F5433"/>
  <c r="A5434"/>
  <c r="B5434"/>
  <c r="C5434"/>
  <c r="E5434"/>
  <c r="F5434"/>
  <c r="A5435"/>
  <c r="B5435"/>
  <c r="C5435"/>
  <c r="E5435"/>
  <c r="F5435"/>
  <c r="A5436"/>
  <c r="B5436"/>
  <c r="C5436"/>
  <c r="E5436"/>
  <c r="F5436"/>
  <c r="A5437"/>
  <c r="B5437"/>
  <c r="C5437"/>
  <c r="E5437"/>
  <c r="F5437"/>
  <c r="C5438"/>
  <c r="E5438"/>
  <c r="F5438"/>
  <c r="C5439"/>
  <c r="E5439"/>
  <c r="F5439"/>
  <c r="C5440"/>
  <c r="E5440"/>
  <c r="F5440"/>
  <c r="C5441"/>
  <c r="E5441"/>
  <c r="F5441"/>
  <c r="C5442"/>
  <c r="E5442"/>
  <c r="F5442"/>
  <c r="C5443"/>
  <c r="E5443"/>
  <c r="F5443"/>
  <c r="C5444"/>
  <c r="E5444"/>
  <c r="F5444"/>
  <c r="C5445"/>
  <c r="E5445"/>
  <c r="F5445"/>
  <c r="C5446"/>
  <c r="E5446"/>
  <c r="F5446"/>
  <c r="C5447"/>
  <c r="E5447"/>
  <c r="F5447"/>
  <c r="C5448"/>
  <c r="E5448"/>
  <c r="F5448"/>
  <c r="A5449"/>
  <c r="B5449"/>
  <c r="C5449"/>
  <c r="E5449"/>
  <c r="F5449"/>
  <c r="A5450"/>
  <c r="B5450"/>
  <c r="C5450"/>
  <c r="E5450"/>
  <c r="F5450"/>
  <c r="A5451"/>
  <c r="B5451"/>
  <c r="C5451"/>
  <c r="E5451"/>
  <c r="F5451"/>
  <c r="A5452"/>
  <c r="B5452"/>
  <c r="C5452"/>
  <c r="E5452"/>
  <c r="F5452"/>
  <c r="A5453"/>
  <c r="B5453"/>
  <c r="C5453"/>
  <c r="E5453"/>
  <c r="F5453"/>
  <c r="A5454"/>
  <c r="B5454"/>
  <c r="C5454"/>
  <c r="E5454"/>
  <c r="F5454"/>
  <c r="A5455"/>
  <c r="B5455"/>
  <c r="C5455"/>
  <c r="E5455"/>
  <c r="F5455"/>
  <c r="A5456"/>
  <c r="B5456"/>
  <c r="C5456"/>
  <c r="E5456"/>
  <c r="F5456"/>
  <c r="A5457"/>
  <c r="B5457"/>
  <c r="C5457"/>
  <c r="E5457"/>
  <c r="F5457"/>
  <c r="A5458"/>
  <c r="B5458"/>
  <c r="C5458"/>
  <c r="E5458"/>
  <c r="F5458"/>
  <c r="A5459"/>
  <c r="B5459"/>
  <c r="C5459"/>
  <c r="E5459"/>
  <c r="F5459"/>
  <c r="A5460"/>
  <c r="B5460"/>
  <c r="C5460"/>
  <c r="E5460"/>
  <c r="F5460"/>
  <c r="A5461"/>
  <c r="B5461"/>
  <c r="C5461"/>
  <c r="E5461"/>
  <c r="F5461"/>
  <c r="A5462"/>
  <c r="B5462"/>
  <c r="C5462"/>
  <c r="E5462"/>
  <c r="F5462"/>
  <c r="A5463"/>
  <c r="B5463"/>
  <c r="C5463"/>
  <c r="E5463"/>
  <c r="F5463"/>
  <c r="A5464"/>
  <c r="B5464"/>
  <c r="C5464"/>
  <c r="E5464"/>
  <c r="F5464"/>
  <c r="A5465"/>
  <c r="B5465"/>
  <c r="C5465"/>
  <c r="E5465"/>
  <c r="F5465"/>
  <c r="A5466"/>
  <c r="B5466"/>
  <c r="C5466"/>
  <c r="E5466"/>
  <c r="F5466"/>
  <c r="A5467"/>
  <c r="B5467"/>
  <c r="C5467"/>
  <c r="E5467"/>
  <c r="F5467"/>
  <c r="A5468"/>
  <c r="B5468"/>
  <c r="C5468"/>
  <c r="E5468"/>
  <c r="F5468"/>
  <c r="A5469"/>
  <c r="B5469"/>
  <c r="C5469"/>
  <c r="E5469"/>
  <c r="F5469"/>
  <c r="A5470"/>
  <c r="B5470"/>
  <c r="C5470"/>
  <c r="E5470"/>
  <c r="F5470"/>
  <c r="A5471"/>
  <c r="B5471"/>
  <c r="C5471"/>
  <c r="E5471"/>
  <c r="F5471"/>
  <c r="A5472"/>
  <c r="B5472"/>
  <c r="C5472"/>
  <c r="E5472"/>
  <c r="F5472"/>
  <c r="A5473"/>
  <c r="B5473"/>
  <c r="C5473"/>
  <c r="E5473"/>
  <c r="F5473"/>
  <c r="A5474"/>
  <c r="B5474"/>
  <c r="C5474"/>
  <c r="E5474"/>
  <c r="F5474"/>
  <c r="A5475"/>
  <c r="B5475"/>
  <c r="C5475"/>
  <c r="E5475"/>
  <c r="F5475"/>
  <c r="A5476"/>
  <c r="B5476"/>
  <c r="C5476"/>
  <c r="E5476"/>
  <c r="F5476"/>
  <c r="A5477"/>
  <c r="B5477"/>
  <c r="C5477"/>
  <c r="E5477"/>
  <c r="F5477"/>
  <c r="A5478"/>
  <c r="B5478"/>
  <c r="C5478"/>
  <c r="E5478"/>
  <c r="F5478"/>
  <c r="A5479"/>
  <c r="B5479"/>
  <c r="C5479"/>
  <c r="E5479"/>
  <c r="F5479"/>
  <c r="A5480"/>
  <c r="B5480"/>
  <c r="C5480"/>
  <c r="E5480"/>
  <c r="F5480"/>
  <c r="A5481"/>
  <c r="B5481"/>
  <c r="C5481"/>
  <c r="E5481"/>
  <c r="F5481"/>
  <c r="A5482"/>
  <c r="B5482"/>
  <c r="C5482"/>
  <c r="E5482"/>
  <c r="F5482"/>
  <c r="A5483"/>
  <c r="B5483"/>
  <c r="C5483"/>
  <c r="E5483"/>
  <c r="F5483"/>
  <c r="A5484"/>
  <c r="B5484"/>
  <c r="C5484"/>
  <c r="E5484"/>
  <c r="F5484"/>
  <c r="A5485"/>
  <c r="B5485"/>
  <c r="C5485"/>
  <c r="E5485"/>
  <c r="F5485"/>
  <c r="A5486"/>
  <c r="B5486"/>
  <c r="C5486"/>
  <c r="E5486"/>
  <c r="F5486"/>
  <c r="A5487"/>
  <c r="B5487"/>
  <c r="C5487"/>
  <c r="E5487"/>
  <c r="F5487"/>
  <c r="A5488"/>
  <c r="B5488"/>
  <c r="C5488"/>
  <c r="E5488"/>
  <c r="F5488"/>
  <c r="A5489"/>
  <c r="B5489"/>
  <c r="C5489"/>
  <c r="E5489"/>
  <c r="F5489"/>
  <c r="A5490"/>
  <c r="B5490"/>
  <c r="C5490"/>
  <c r="E5490"/>
  <c r="F5490"/>
  <c r="A5491"/>
  <c r="B5491"/>
  <c r="C5491"/>
  <c r="E5491"/>
  <c r="F5491"/>
  <c r="A5492"/>
  <c r="B5492"/>
  <c r="C5492"/>
  <c r="E5492"/>
  <c r="F5492"/>
  <c r="A5493"/>
  <c r="B5493"/>
  <c r="C5493"/>
  <c r="E5493"/>
  <c r="F5493"/>
  <c r="A5494"/>
  <c r="B5494"/>
  <c r="C5494"/>
  <c r="E5494"/>
  <c r="F5494"/>
  <c r="A5495"/>
  <c r="B5495"/>
  <c r="C5495"/>
  <c r="E5495"/>
  <c r="F5495"/>
  <c r="A5496"/>
  <c r="B5496"/>
  <c r="C5496"/>
  <c r="E5496"/>
  <c r="F5496"/>
  <c r="A5497"/>
  <c r="B5497"/>
  <c r="C5497"/>
  <c r="E5497"/>
  <c r="F5497"/>
  <c r="A5498"/>
  <c r="B5498"/>
  <c r="C5498"/>
  <c r="E5498"/>
  <c r="F5498"/>
  <c r="A5499"/>
  <c r="B5499"/>
  <c r="C5499"/>
  <c r="E5499"/>
  <c r="F5499"/>
  <c r="A5500"/>
  <c r="B5500"/>
  <c r="C5500"/>
  <c r="E5500"/>
  <c r="F5500"/>
  <c r="A5501"/>
  <c r="B5501"/>
  <c r="C5501"/>
  <c r="E5501"/>
  <c r="F5501"/>
  <c r="A5502"/>
  <c r="B5502"/>
  <c r="C5502"/>
  <c r="E5502"/>
  <c r="F5502"/>
  <c r="A5503"/>
  <c r="B5503"/>
  <c r="C5503"/>
  <c r="E5503"/>
  <c r="F5503"/>
  <c r="A5504"/>
  <c r="B5504"/>
  <c r="C5504"/>
  <c r="E5504"/>
  <c r="F5504"/>
  <c r="A5505"/>
  <c r="B5505"/>
  <c r="C5505"/>
  <c r="E5505"/>
  <c r="F5505"/>
  <c r="A5506"/>
  <c r="B5506"/>
  <c r="C5506"/>
  <c r="E5506"/>
  <c r="F5506"/>
  <c r="A5507"/>
  <c r="B5507"/>
  <c r="C5507"/>
  <c r="E5507"/>
  <c r="F5507"/>
  <c r="A5508"/>
  <c r="B5508"/>
  <c r="C5508"/>
  <c r="E5508"/>
  <c r="F5508"/>
  <c r="A5509"/>
  <c r="B5509"/>
  <c r="C5509"/>
  <c r="E5509"/>
  <c r="F5509"/>
  <c r="A5510"/>
  <c r="B5510"/>
  <c r="C5510"/>
  <c r="E5510"/>
  <c r="F5510"/>
  <c r="A5511"/>
  <c r="B5511"/>
  <c r="C5511"/>
  <c r="E5511"/>
  <c r="F5511"/>
  <c r="A5512"/>
  <c r="B5512"/>
  <c r="C5512"/>
  <c r="E5512"/>
  <c r="F5512"/>
  <c r="A5513"/>
  <c r="B5513"/>
  <c r="C5513"/>
  <c r="E5513"/>
  <c r="F5513"/>
  <c r="A5514"/>
  <c r="B5514"/>
  <c r="C5514"/>
  <c r="E5514"/>
  <c r="F5514"/>
  <c r="A5515"/>
  <c r="B5515"/>
  <c r="C5515"/>
  <c r="E5515"/>
  <c r="F5515"/>
  <c r="A5516"/>
  <c r="B5516"/>
  <c r="C5516"/>
  <c r="E5516"/>
  <c r="F5516"/>
  <c r="A5517"/>
  <c r="B5517"/>
  <c r="C5517"/>
  <c r="E5517"/>
  <c r="F5517"/>
  <c r="A5518"/>
  <c r="B5518"/>
  <c r="C5518"/>
  <c r="E5518"/>
  <c r="F5518"/>
  <c r="A5519"/>
  <c r="B5519"/>
  <c r="C5519"/>
  <c r="E5519"/>
  <c r="F5519"/>
  <c r="A5520"/>
  <c r="B5520"/>
  <c r="C5520"/>
  <c r="E5520"/>
  <c r="F5520"/>
  <c r="A5521"/>
  <c r="B5521"/>
  <c r="C5521"/>
  <c r="E5521"/>
  <c r="F5521"/>
  <c r="A5522"/>
  <c r="B5522"/>
  <c r="C5522"/>
  <c r="E5522"/>
  <c r="F5522"/>
  <c r="A5523"/>
  <c r="B5523"/>
  <c r="C5523"/>
  <c r="E5523"/>
  <c r="F5523"/>
  <c r="A5524"/>
  <c r="B5524"/>
  <c r="C5524"/>
  <c r="E5524"/>
  <c r="F5524"/>
  <c r="A5525"/>
  <c r="B5525"/>
  <c r="C5525"/>
  <c r="E5525"/>
  <c r="F5525"/>
  <c r="A5526"/>
  <c r="B5526"/>
  <c r="C5526"/>
  <c r="E5526"/>
  <c r="F5526"/>
  <c r="A5527"/>
  <c r="B5527"/>
  <c r="C5527"/>
  <c r="E5527"/>
  <c r="F5527"/>
  <c r="A5528"/>
  <c r="B5528"/>
  <c r="C5528"/>
  <c r="E5528"/>
  <c r="F5528"/>
  <c r="A5529"/>
  <c r="B5529"/>
  <c r="C5529"/>
  <c r="E5529"/>
  <c r="F5529"/>
  <c r="A5530"/>
  <c r="B5530"/>
  <c r="C5530"/>
  <c r="E5530"/>
  <c r="F5530"/>
  <c r="A5531"/>
  <c r="B5531"/>
  <c r="C5531"/>
  <c r="E5531"/>
  <c r="F5531"/>
  <c r="A5532"/>
  <c r="B5532"/>
  <c r="C5532"/>
  <c r="E5532"/>
  <c r="F5532"/>
  <c r="A5533"/>
  <c r="B5533"/>
  <c r="C5533"/>
  <c r="E5533"/>
  <c r="F5533"/>
  <c r="A5534"/>
  <c r="B5534"/>
  <c r="C5534"/>
  <c r="E5534"/>
  <c r="F5534"/>
  <c r="A5535"/>
  <c r="B5535"/>
  <c r="C5535"/>
  <c r="E5535"/>
  <c r="F5535"/>
  <c r="A5536"/>
  <c r="B5536"/>
  <c r="C5536"/>
  <c r="E5536"/>
  <c r="F5536"/>
  <c r="A5537"/>
  <c r="B5537"/>
  <c r="C5537"/>
  <c r="E5537"/>
  <c r="F5537"/>
  <c r="A5538"/>
  <c r="B5538"/>
  <c r="C5538"/>
  <c r="E5538"/>
  <c r="F5538"/>
  <c r="A5539"/>
  <c r="B5539"/>
  <c r="C5539"/>
  <c r="E5539"/>
  <c r="F5539"/>
  <c r="A5540"/>
  <c r="B5540"/>
  <c r="C5540"/>
  <c r="E5540"/>
  <c r="F5540"/>
  <c r="A5541"/>
  <c r="B5541"/>
  <c r="C5541"/>
  <c r="E5541"/>
  <c r="F5541"/>
  <c r="A5542"/>
  <c r="B5542"/>
  <c r="C5542"/>
  <c r="E5542"/>
  <c r="F5542"/>
  <c r="A5543"/>
  <c r="B5543"/>
  <c r="C5543"/>
  <c r="E5543"/>
  <c r="F5543"/>
  <c r="A5544"/>
  <c r="B5544"/>
  <c r="C5544"/>
  <c r="E5544"/>
  <c r="F5544"/>
  <c r="A5545"/>
  <c r="B5545"/>
  <c r="C5545"/>
  <c r="E5545"/>
  <c r="F5545"/>
  <c r="A5546"/>
  <c r="B5546"/>
  <c r="C5546"/>
  <c r="E5546"/>
  <c r="F5546"/>
  <c r="A5547"/>
  <c r="B5547"/>
  <c r="C5547"/>
  <c r="E5547"/>
  <c r="F5547"/>
  <c r="A5548"/>
  <c r="B5548"/>
  <c r="C5548"/>
  <c r="E5548"/>
  <c r="F5548"/>
  <c r="A5549"/>
  <c r="B5549"/>
  <c r="C5549"/>
  <c r="E5549"/>
  <c r="F5549"/>
  <c r="A5550"/>
  <c r="B5550"/>
  <c r="C5550"/>
  <c r="E5550"/>
  <c r="F5550"/>
  <c r="A5551"/>
  <c r="B5551"/>
  <c r="C5551"/>
  <c r="E5551"/>
  <c r="F5551"/>
  <c r="A5552"/>
  <c r="B5552"/>
  <c r="C5552"/>
  <c r="E5552"/>
  <c r="F5552"/>
  <c r="A5553"/>
  <c r="B5553"/>
  <c r="C5553"/>
  <c r="E5553"/>
  <c r="F5553"/>
  <c r="A5554"/>
  <c r="B5554"/>
  <c r="C5554"/>
  <c r="E5554"/>
  <c r="F5554"/>
  <c r="A5555"/>
  <c r="B5555"/>
  <c r="C5555"/>
  <c r="E5555"/>
  <c r="F5555"/>
  <c r="A5556"/>
  <c r="B5556"/>
  <c r="C5556"/>
  <c r="E5556"/>
  <c r="F5556"/>
  <c r="A5557"/>
  <c r="B5557"/>
  <c r="C5557"/>
  <c r="E5557"/>
  <c r="F5557"/>
  <c r="A5558"/>
  <c r="B5558"/>
  <c r="C5558"/>
  <c r="E5558"/>
  <c r="F5558"/>
  <c r="A5559"/>
  <c r="B5559"/>
  <c r="C5559"/>
  <c r="E5559"/>
  <c r="F5559"/>
  <c r="A5560"/>
  <c r="B5560"/>
  <c r="C5560"/>
  <c r="E5560"/>
  <c r="F5560"/>
  <c r="A5561"/>
  <c r="B5561"/>
  <c r="C5561"/>
  <c r="E5561"/>
  <c r="F5561"/>
  <c r="A5562"/>
  <c r="B5562"/>
  <c r="C5562"/>
  <c r="E5562"/>
  <c r="F5562"/>
  <c r="A5563"/>
  <c r="B5563"/>
  <c r="C5563"/>
  <c r="E5563"/>
  <c r="F5563"/>
  <c r="A5564"/>
  <c r="B5564"/>
  <c r="C5564"/>
  <c r="E5564"/>
  <c r="F5564"/>
  <c r="A5565"/>
  <c r="B5565"/>
  <c r="C5565"/>
  <c r="E5565"/>
  <c r="F5565"/>
  <c r="A5566"/>
  <c r="B5566"/>
  <c r="C5566"/>
  <c r="E5566"/>
  <c r="F5566"/>
  <c r="A5567"/>
  <c r="B5567"/>
  <c r="C5567"/>
  <c r="E5567"/>
  <c r="F5567"/>
  <c r="A5568"/>
  <c r="B5568"/>
  <c r="C5568"/>
  <c r="E5568"/>
  <c r="F5568"/>
  <c r="A5569"/>
  <c r="B5569"/>
  <c r="C5569"/>
  <c r="E5569"/>
  <c r="F5569"/>
  <c r="A5570"/>
  <c r="B5570"/>
  <c r="C5570"/>
  <c r="E5570"/>
  <c r="F5570"/>
  <c r="A5571"/>
  <c r="B5571"/>
  <c r="C5571"/>
  <c r="E5571"/>
  <c r="F5571"/>
  <c r="A5572"/>
  <c r="B5572"/>
  <c r="C5572"/>
  <c r="E5572"/>
  <c r="F5572"/>
  <c r="A5573"/>
  <c r="B5573"/>
  <c r="C5573"/>
  <c r="E5573"/>
  <c r="F5573"/>
  <c r="A5574"/>
  <c r="B5574"/>
  <c r="C5574"/>
  <c r="E5574"/>
  <c r="F5574"/>
  <c r="A5575"/>
  <c r="B5575"/>
  <c r="C5575"/>
  <c r="E5575"/>
  <c r="F5575"/>
  <c r="A5576"/>
  <c r="B5576"/>
  <c r="C5576"/>
  <c r="E5576"/>
  <c r="F5576"/>
  <c r="A5577"/>
  <c r="B5577"/>
  <c r="C5577"/>
  <c r="E5577"/>
  <c r="F5577"/>
  <c r="A5578"/>
  <c r="B5578"/>
  <c r="C5578"/>
  <c r="E5578"/>
  <c r="F5578"/>
  <c r="A5579"/>
  <c r="B5579"/>
  <c r="C5579"/>
  <c r="E5579"/>
  <c r="F5579"/>
  <c r="A5580"/>
  <c r="B5580"/>
  <c r="C5580"/>
  <c r="E5580"/>
  <c r="F5580"/>
  <c r="A5581"/>
  <c r="B5581"/>
  <c r="C5581"/>
  <c r="E5581"/>
  <c r="F5581"/>
  <c r="A5582"/>
  <c r="B5582"/>
  <c r="C5582"/>
  <c r="E5582"/>
  <c r="F5582"/>
  <c r="A5583"/>
  <c r="B5583"/>
  <c r="C5583"/>
  <c r="E5583"/>
  <c r="F5583"/>
  <c r="A5584"/>
  <c r="B5584"/>
  <c r="C5584"/>
  <c r="E5584"/>
  <c r="F5584"/>
  <c r="A5585"/>
  <c r="B5585"/>
  <c r="C5585"/>
  <c r="E5585"/>
  <c r="F5585"/>
  <c r="A5586"/>
  <c r="B5586"/>
  <c r="C5586"/>
  <c r="E5586"/>
  <c r="F5586"/>
  <c r="A5587"/>
  <c r="B5587"/>
  <c r="C5587"/>
  <c r="E5587"/>
  <c r="F5587"/>
  <c r="A5588"/>
  <c r="B5588"/>
  <c r="C5588"/>
  <c r="E5588"/>
  <c r="F5588"/>
  <c r="A5589"/>
  <c r="B5589"/>
  <c r="C5589"/>
  <c r="E5589"/>
  <c r="F5589"/>
  <c r="A5590"/>
  <c r="B5590"/>
  <c r="C5590"/>
  <c r="E5590"/>
  <c r="F5590"/>
  <c r="A5591"/>
  <c r="B5591"/>
  <c r="C5591"/>
  <c r="E5591"/>
  <c r="F5591"/>
  <c r="A5592"/>
  <c r="B5592"/>
  <c r="C5592"/>
  <c r="E5592"/>
  <c r="F5592"/>
  <c r="A5593"/>
  <c r="B5593"/>
  <c r="C5593"/>
  <c r="E5593"/>
  <c r="F5593"/>
  <c r="A5594"/>
  <c r="B5594"/>
  <c r="C5594"/>
  <c r="E5594"/>
  <c r="F5594"/>
  <c r="A5595"/>
  <c r="B5595"/>
  <c r="C5595"/>
  <c r="E5595"/>
  <c r="F5595"/>
  <c r="A5596"/>
  <c r="B5596"/>
  <c r="C5596"/>
  <c r="E5596"/>
  <c r="F5596"/>
  <c r="A5597"/>
  <c r="B5597"/>
  <c r="C5597"/>
  <c r="E5597"/>
  <c r="F5597"/>
  <c r="A5598"/>
  <c r="B5598"/>
  <c r="C5598"/>
  <c r="E5598"/>
  <c r="F5598"/>
  <c r="A5599"/>
  <c r="B5599"/>
  <c r="C5599"/>
  <c r="E5599"/>
  <c r="F5599"/>
  <c r="A5600"/>
  <c r="B5600"/>
  <c r="C5600"/>
  <c r="E5600"/>
  <c r="F5600"/>
  <c r="A5601"/>
  <c r="B5601"/>
  <c r="C5601"/>
  <c r="E5601"/>
  <c r="F5601"/>
  <c r="A5602"/>
  <c r="B5602"/>
  <c r="C5602"/>
  <c r="E5602"/>
  <c r="F5602"/>
  <c r="A5603"/>
  <c r="B5603"/>
  <c r="C5603"/>
  <c r="E5603"/>
  <c r="F5603"/>
  <c r="A5604"/>
  <c r="B5604"/>
  <c r="C5604"/>
  <c r="E5604"/>
  <c r="F5604"/>
  <c r="A5605"/>
  <c r="B5605"/>
  <c r="C5605"/>
  <c r="E5605"/>
  <c r="F5605"/>
  <c r="A5606"/>
  <c r="B5606"/>
  <c r="C5606"/>
  <c r="E5606"/>
  <c r="F5606"/>
  <c r="A5607"/>
  <c r="B5607"/>
  <c r="C5607"/>
  <c r="E5607"/>
  <c r="F5607"/>
  <c r="A5608"/>
  <c r="B5608"/>
  <c r="C5608"/>
  <c r="E5608"/>
  <c r="F5608"/>
  <c r="A5609"/>
  <c r="B5609"/>
  <c r="C5609"/>
  <c r="E5609"/>
  <c r="F5609"/>
  <c r="A5610"/>
  <c r="B5610"/>
  <c r="C5610"/>
  <c r="E5610"/>
  <c r="F5610"/>
  <c r="A5611"/>
  <c r="B5611"/>
  <c r="C5611"/>
  <c r="E5611"/>
  <c r="F5611"/>
  <c r="A5612"/>
  <c r="B5612"/>
  <c r="C5612"/>
  <c r="E5612"/>
  <c r="F5612"/>
  <c r="A5613"/>
  <c r="B5613"/>
  <c r="C5613"/>
  <c r="E5613"/>
  <c r="F5613"/>
  <c r="A5614"/>
  <c r="B5614"/>
  <c r="C5614"/>
  <c r="E5614"/>
  <c r="F5614"/>
  <c r="A5615"/>
  <c r="B5615"/>
  <c r="C5615"/>
  <c r="E5615"/>
  <c r="F5615"/>
  <c r="A5616"/>
  <c r="B5616"/>
  <c r="C5616"/>
  <c r="E5616"/>
  <c r="F5616"/>
  <c r="A5617"/>
  <c r="B5617"/>
  <c r="C5617"/>
  <c r="E5617"/>
  <c r="F5617"/>
  <c r="A5618"/>
  <c r="B5618"/>
  <c r="C5618"/>
  <c r="E5618"/>
  <c r="F5618"/>
  <c r="A5619"/>
  <c r="B5619"/>
  <c r="C5619"/>
  <c r="E5619"/>
  <c r="F5619"/>
  <c r="A5620"/>
  <c r="B5620"/>
  <c r="C5620"/>
  <c r="E5620"/>
  <c r="F5620"/>
  <c r="A5621"/>
  <c r="B5621"/>
  <c r="C5621"/>
  <c r="E5621"/>
  <c r="F5621"/>
  <c r="A5622"/>
  <c r="B5622"/>
  <c r="C5622"/>
  <c r="E5622"/>
  <c r="F5622"/>
  <c r="A5623"/>
  <c r="B5623"/>
  <c r="C5623"/>
  <c r="E5623"/>
  <c r="F5623"/>
  <c r="A5624"/>
  <c r="B5624"/>
  <c r="C5624"/>
  <c r="E5624"/>
  <c r="F5624"/>
  <c r="A5625"/>
  <c r="B5625"/>
  <c r="C5625"/>
  <c r="E5625"/>
  <c r="F5625"/>
  <c r="A5626"/>
  <c r="B5626"/>
  <c r="C5626"/>
  <c r="E5626"/>
  <c r="F5626"/>
  <c r="A5627"/>
  <c r="B5627"/>
  <c r="C5627"/>
  <c r="E5627"/>
  <c r="F5627"/>
  <c r="A5628"/>
  <c r="B5628"/>
  <c r="C5628"/>
  <c r="E5628"/>
  <c r="F5628"/>
  <c r="A5629"/>
  <c r="B5629"/>
  <c r="C5629"/>
  <c r="E5629"/>
  <c r="F5629"/>
  <c r="A5630"/>
  <c r="B5630"/>
  <c r="C5630"/>
  <c r="E5630"/>
  <c r="F5630"/>
  <c r="A5631"/>
  <c r="B5631"/>
  <c r="C5631"/>
  <c r="E5631"/>
  <c r="F5631"/>
  <c r="A5632"/>
  <c r="B5632"/>
  <c r="C5632"/>
  <c r="E5632"/>
  <c r="F5632"/>
  <c r="A5633"/>
  <c r="B5633"/>
  <c r="C5633"/>
  <c r="E5633"/>
  <c r="F5633"/>
  <c r="A5634"/>
  <c r="B5634"/>
  <c r="C5634"/>
  <c r="E5634"/>
  <c r="F5634"/>
  <c r="A5635"/>
  <c r="B5635"/>
  <c r="C5635"/>
  <c r="E5635"/>
  <c r="F5635"/>
  <c r="A5636"/>
  <c r="B5636"/>
  <c r="C5636"/>
  <c r="E5636"/>
  <c r="F5636"/>
  <c r="A5637"/>
  <c r="B5637"/>
  <c r="C5637"/>
  <c r="E5637"/>
  <c r="F5637"/>
  <c r="A5638"/>
  <c r="B5638"/>
  <c r="C5638"/>
  <c r="E5638"/>
  <c r="F5638"/>
  <c r="A5639"/>
  <c r="B5639"/>
  <c r="C5639"/>
  <c r="E5639"/>
  <c r="F5639"/>
  <c r="A5640"/>
  <c r="B5640"/>
  <c r="C5640"/>
  <c r="E5640"/>
  <c r="F5640"/>
  <c r="A5641"/>
  <c r="B5641"/>
  <c r="C5641"/>
  <c r="E5641"/>
  <c r="F5641"/>
  <c r="A5642"/>
  <c r="B5642"/>
  <c r="C5642"/>
  <c r="E5642"/>
  <c r="F5642"/>
  <c r="A5643"/>
  <c r="B5643"/>
  <c r="C5643"/>
  <c r="E5643"/>
  <c r="F5643"/>
  <c r="A5644"/>
  <c r="B5644"/>
  <c r="C5644"/>
  <c r="E5644"/>
  <c r="F5644"/>
  <c r="A5645"/>
  <c r="B5645"/>
  <c r="C5645"/>
  <c r="E5645"/>
  <c r="F5645"/>
  <c r="A5646"/>
  <c r="B5646"/>
  <c r="C5646"/>
  <c r="E5646"/>
  <c r="F5646"/>
  <c r="A5647"/>
  <c r="B5647"/>
  <c r="C5647"/>
  <c r="E5647"/>
  <c r="F5647"/>
  <c r="A5648"/>
  <c r="B5648"/>
  <c r="C5648"/>
  <c r="E5648"/>
  <c r="F5648"/>
  <c r="A5649"/>
  <c r="B5649"/>
  <c r="C5649"/>
  <c r="E5649"/>
  <c r="F5649"/>
  <c r="A5650"/>
  <c r="B5650"/>
  <c r="C5650"/>
  <c r="E5650"/>
  <c r="F5650"/>
  <c r="A5651"/>
  <c r="B5651"/>
  <c r="C5651"/>
  <c r="E5651"/>
  <c r="F5651"/>
  <c r="A5652"/>
  <c r="B5652"/>
  <c r="C5652"/>
  <c r="E5652"/>
  <c r="F5652"/>
  <c r="A5653"/>
  <c r="B5653"/>
  <c r="C5653"/>
  <c r="E5653"/>
  <c r="F5653"/>
  <c r="A5654"/>
  <c r="B5654"/>
  <c r="C5654"/>
  <c r="E5654"/>
  <c r="F5654"/>
  <c r="A5655"/>
  <c r="B5655"/>
  <c r="C5655"/>
  <c r="E5655"/>
  <c r="F5655"/>
  <c r="A5656"/>
  <c r="B5656"/>
  <c r="C5656"/>
  <c r="E5656"/>
  <c r="F5656"/>
  <c r="A5657"/>
  <c r="B5657"/>
  <c r="C5657"/>
  <c r="E5657"/>
  <c r="F5657"/>
  <c r="A5658"/>
  <c r="B5658"/>
  <c r="C5658"/>
  <c r="E5658"/>
  <c r="F5658"/>
  <c r="A5659"/>
  <c r="B5659"/>
  <c r="C5659"/>
  <c r="E5659"/>
  <c r="F5659"/>
  <c r="A5660"/>
  <c r="B5660"/>
  <c r="C5660"/>
  <c r="E5660"/>
  <c r="F5660"/>
  <c r="A5661"/>
  <c r="B5661"/>
  <c r="C5661"/>
  <c r="E5661"/>
  <c r="F5661"/>
  <c r="A5662"/>
  <c r="B5662"/>
  <c r="C5662"/>
  <c r="E5662"/>
  <c r="F5662"/>
  <c r="A5663"/>
  <c r="B5663"/>
  <c r="C5663"/>
  <c r="E5663"/>
  <c r="F5663"/>
  <c r="A5664"/>
  <c r="B5664"/>
  <c r="C5664"/>
  <c r="E5664"/>
  <c r="F5664"/>
  <c r="A5665"/>
  <c r="B5665"/>
  <c r="C5665"/>
  <c r="E5665"/>
  <c r="F5665"/>
  <c r="A5666"/>
  <c r="B5666"/>
  <c r="C5666"/>
  <c r="E5666"/>
  <c r="F5666"/>
  <c r="A5667"/>
  <c r="B5667"/>
  <c r="C5667"/>
  <c r="E5667"/>
  <c r="F5667"/>
  <c r="A5668"/>
  <c r="B5668"/>
  <c r="C5668"/>
  <c r="E5668"/>
  <c r="F5668"/>
  <c r="A5669"/>
  <c r="B5669"/>
  <c r="C5669"/>
  <c r="E5669"/>
  <c r="F5669"/>
  <c r="A5670"/>
  <c r="B5670"/>
  <c r="C5670"/>
  <c r="E5670"/>
  <c r="F5670"/>
  <c r="A5671"/>
  <c r="B5671"/>
  <c r="C5671"/>
  <c r="E5671"/>
  <c r="F5671"/>
  <c r="A5672"/>
  <c r="B5672"/>
  <c r="C5672"/>
  <c r="E5672"/>
  <c r="F5672"/>
  <c r="A5673"/>
  <c r="B5673"/>
  <c r="C5673"/>
  <c r="E5673"/>
  <c r="F5673"/>
  <c r="A5674"/>
  <c r="B5674"/>
  <c r="C5674"/>
  <c r="E5674"/>
  <c r="F5674"/>
  <c r="A5675"/>
  <c r="B5675"/>
  <c r="C5675"/>
  <c r="E5675"/>
  <c r="F5675"/>
  <c r="A5676"/>
  <c r="B5676"/>
  <c r="C5676"/>
  <c r="E5676"/>
  <c r="F5676"/>
  <c r="A5677"/>
  <c r="B5677"/>
  <c r="C5677"/>
  <c r="E5677"/>
  <c r="F5677"/>
  <c r="A5678"/>
  <c r="B5678"/>
  <c r="C5678"/>
  <c r="E5678"/>
  <c r="F5678"/>
  <c r="A5679"/>
  <c r="B5679"/>
  <c r="C5679"/>
  <c r="E5679"/>
  <c r="F5679"/>
  <c r="A5680"/>
  <c r="B5680"/>
  <c r="C5680"/>
  <c r="E5680"/>
  <c r="F5680"/>
  <c r="A5681"/>
  <c r="B5681"/>
  <c r="C5681"/>
  <c r="E5681"/>
  <c r="F5681"/>
  <c r="A5682"/>
  <c r="B5682"/>
  <c r="C5682"/>
  <c r="E5682"/>
  <c r="F5682"/>
  <c r="A5683"/>
  <c r="B5683"/>
  <c r="C5683"/>
  <c r="E5683"/>
  <c r="F5683"/>
  <c r="A5684"/>
  <c r="B5684"/>
  <c r="C5684"/>
  <c r="E5684"/>
  <c r="F5684"/>
  <c r="A5685"/>
  <c r="B5685"/>
  <c r="C5685"/>
  <c r="E5685"/>
  <c r="F5685"/>
  <c r="A5686"/>
  <c r="B5686"/>
  <c r="C5686"/>
  <c r="E5686"/>
  <c r="F5686"/>
  <c r="A5687"/>
  <c r="B5687"/>
  <c r="C5687"/>
  <c r="E5687"/>
  <c r="F5687"/>
  <c r="A5688"/>
  <c r="B5688"/>
  <c r="C5688"/>
  <c r="E5688"/>
  <c r="F5688"/>
  <c r="A5689"/>
  <c r="B5689"/>
  <c r="C5689"/>
  <c r="E5689"/>
  <c r="F5689"/>
  <c r="A5690"/>
  <c r="B5690"/>
  <c r="C5690"/>
  <c r="E5690"/>
  <c r="F5690"/>
  <c r="A5691"/>
  <c r="B5691"/>
  <c r="C5691"/>
  <c r="E5691"/>
  <c r="F5691"/>
  <c r="A5692"/>
  <c r="B5692"/>
  <c r="C5692"/>
  <c r="E5692"/>
  <c r="F5692"/>
  <c r="A5693"/>
  <c r="B5693"/>
  <c r="C5693"/>
  <c r="E5693"/>
  <c r="F5693"/>
  <c r="A5694"/>
  <c r="B5694"/>
  <c r="C5694"/>
  <c r="E5694"/>
  <c r="F5694"/>
  <c r="A5695"/>
  <c r="B5695"/>
  <c r="C5695"/>
  <c r="E5695"/>
  <c r="F5695"/>
  <c r="A5696"/>
  <c r="B5696"/>
  <c r="C5696"/>
  <c r="E5696"/>
  <c r="F5696"/>
  <c r="A5697"/>
  <c r="B5697"/>
  <c r="C5697"/>
  <c r="E5697"/>
  <c r="F5697"/>
  <c r="A5698"/>
  <c r="B5698"/>
  <c r="C5698"/>
  <c r="E5698"/>
  <c r="F5698"/>
  <c r="A5699"/>
  <c r="B5699"/>
  <c r="C5699"/>
  <c r="E5699"/>
  <c r="F5699"/>
  <c r="A5700"/>
  <c r="B5700"/>
  <c r="C5700"/>
  <c r="E5700"/>
  <c r="F5700"/>
  <c r="A5701"/>
  <c r="B5701"/>
  <c r="C5701"/>
  <c r="E5701"/>
  <c r="F5701"/>
  <c r="A5702"/>
  <c r="B5702"/>
  <c r="C5702"/>
  <c r="E5702"/>
  <c r="F5702"/>
  <c r="A5703"/>
  <c r="B5703"/>
  <c r="C5703"/>
  <c r="E5703"/>
  <c r="F5703"/>
  <c r="A5704"/>
  <c r="B5704"/>
  <c r="C5704"/>
  <c r="E5704"/>
  <c r="F5704"/>
  <c r="A5705"/>
  <c r="B5705"/>
  <c r="C5705"/>
  <c r="E5705"/>
  <c r="F5705"/>
  <c r="A5706"/>
  <c r="B5706"/>
  <c r="C5706"/>
  <c r="E5706"/>
  <c r="F5706"/>
  <c r="A5707"/>
  <c r="B5707"/>
  <c r="C5707"/>
  <c r="E5707"/>
  <c r="F5707"/>
  <c r="A5708"/>
  <c r="B5708"/>
  <c r="C5708"/>
  <c r="E5708"/>
  <c r="F5708"/>
  <c r="A5709"/>
  <c r="B5709"/>
  <c r="C5709"/>
  <c r="E5709"/>
  <c r="F5709"/>
  <c r="A5710"/>
  <c r="B5710"/>
  <c r="C5710"/>
  <c r="E5710"/>
  <c r="F5710"/>
  <c r="A5711"/>
  <c r="B5711"/>
  <c r="C5711"/>
  <c r="E5711"/>
  <c r="F5711"/>
  <c r="A5712"/>
  <c r="B5712"/>
  <c r="C5712"/>
  <c r="E5712"/>
  <c r="F5712"/>
  <c r="A5713"/>
  <c r="B5713"/>
  <c r="C5713"/>
  <c r="E5713"/>
  <c r="F5713"/>
  <c r="A5714"/>
  <c r="B5714"/>
  <c r="C5714"/>
  <c r="E5714"/>
  <c r="F5714"/>
  <c r="A5715"/>
  <c r="B5715"/>
  <c r="C5715"/>
  <c r="E5715"/>
  <c r="F5715"/>
  <c r="A5716"/>
  <c r="B5716"/>
  <c r="C5716"/>
  <c r="E5716"/>
  <c r="F5716"/>
  <c r="A5717"/>
  <c r="B5717"/>
  <c r="C5717"/>
  <c r="E5717"/>
  <c r="F5717"/>
  <c r="A5718"/>
  <c r="B5718"/>
  <c r="C5718"/>
  <c r="E5718"/>
  <c r="F5718"/>
  <c r="A5719"/>
  <c r="B5719"/>
  <c r="C5719"/>
  <c r="E5719"/>
  <c r="F5719"/>
  <c r="A5720"/>
  <c r="B5720"/>
  <c r="C5720"/>
  <c r="E5720"/>
  <c r="F5720"/>
  <c r="A5721"/>
  <c r="B5721"/>
  <c r="C5721"/>
  <c r="E5721"/>
  <c r="F5721"/>
  <c r="A5722"/>
  <c r="B5722"/>
  <c r="C5722"/>
  <c r="E5722"/>
  <c r="F5722"/>
  <c r="A5723"/>
  <c r="B5723"/>
  <c r="C5723"/>
  <c r="E5723"/>
  <c r="F5723"/>
  <c r="A5724"/>
  <c r="B5724"/>
  <c r="C5724"/>
  <c r="E5724"/>
  <c r="F5724"/>
  <c r="A5725"/>
  <c r="B5725"/>
  <c r="C5725"/>
  <c r="E5725"/>
  <c r="F5725"/>
  <c r="A5726"/>
  <c r="B5726"/>
  <c r="C5726"/>
  <c r="E5726"/>
  <c r="F5726"/>
  <c r="A5727"/>
  <c r="B5727"/>
  <c r="C5727"/>
  <c r="E5727"/>
  <c r="F5727"/>
  <c r="A5728"/>
  <c r="B5728"/>
  <c r="C5728"/>
  <c r="E5728"/>
  <c r="F5728"/>
  <c r="A5729"/>
  <c r="B5729"/>
  <c r="C5729"/>
  <c r="E5729"/>
  <c r="F5729"/>
  <c r="A5730"/>
  <c r="B5730"/>
  <c r="C5730"/>
  <c r="E5730"/>
  <c r="F5730"/>
  <c r="A5731"/>
  <c r="B5731"/>
  <c r="C5731"/>
  <c r="E5731"/>
  <c r="F5731"/>
  <c r="A5732"/>
  <c r="B5732"/>
  <c r="C5732"/>
  <c r="E5732"/>
  <c r="F5732"/>
  <c r="A5733"/>
  <c r="B5733"/>
  <c r="C5733"/>
  <c r="E5733"/>
  <c r="F5733"/>
  <c r="A5734"/>
  <c r="B5734"/>
  <c r="C5734"/>
  <c r="E5734"/>
  <c r="F5734"/>
  <c r="A5735"/>
  <c r="B5735"/>
  <c r="C5735"/>
  <c r="E5735"/>
  <c r="F5735"/>
  <c r="A5736"/>
  <c r="B5736"/>
  <c r="C5736"/>
  <c r="E5736"/>
  <c r="F5736"/>
  <c r="A5737"/>
  <c r="B5737"/>
  <c r="C5737"/>
  <c r="E5737"/>
  <c r="F5737"/>
  <c r="A5738"/>
  <c r="B5738"/>
  <c r="C5738"/>
  <c r="E5738"/>
  <c r="F5738"/>
  <c r="A5739"/>
  <c r="B5739"/>
  <c r="C5739"/>
  <c r="E5739"/>
  <c r="F5739"/>
  <c r="A5740"/>
  <c r="B5740"/>
  <c r="C5740"/>
  <c r="E5740"/>
  <c r="F5740"/>
  <c r="A5741"/>
  <c r="B5741"/>
  <c r="C5741"/>
  <c r="E5741"/>
  <c r="F5741"/>
  <c r="A5742"/>
  <c r="B5742"/>
  <c r="C5742"/>
  <c r="E5742"/>
  <c r="F5742"/>
  <c r="A5743"/>
  <c r="B5743"/>
  <c r="C5743"/>
  <c r="E5743"/>
  <c r="F5743"/>
  <c r="A5744"/>
  <c r="B5744"/>
  <c r="C5744"/>
  <c r="E5744"/>
  <c r="F5744"/>
  <c r="A5745"/>
  <c r="B5745"/>
  <c r="C5745"/>
  <c r="E5745"/>
  <c r="F5745"/>
  <c r="A5746"/>
  <c r="B5746"/>
  <c r="C5746"/>
  <c r="E5746"/>
  <c r="F5746"/>
  <c r="A5747"/>
  <c r="B5747"/>
  <c r="C5747"/>
  <c r="E5747"/>
  <c r="F5747"/>
  <c r="A5748"/>
  <c r="B5748"/>
  <c r="C5748"/>
  <c r="E5748"/>
  <c r="F5748"/>
  <c r="A5749"/>
  <c r="B5749"/>
  <c r="C5749"/>
  <c r="E5749"/>
  <c r="F5749"/>
  <c r="A5750"/>
  <c r="B5750"/>
  <c r="C5750"/>
  <c r="E5750"/>
  <c r="F5750"/>
  <c r="A5751"/>
  <c r="B5751"/>
  <c r="C5751"/>
  <c r="E5751"/>
  <c r="F5751"/>
  <c r="A5752"/>
  <c r="B5752"/>
  <c r="C5752"/>
  <c r="E5752"/>
  <c r="F5752"/>
  <c r="A5753"/>
  <c r="B5753"/>
  <c r="C5753"/>
  <c r="E5753"/>
  <c r="F5753"/>
  <c r="A5754"/>
  <c r="B5754"/>
  <c r="C5754"/>
  <c r="E5754"/>
  <c r="F5754"/>
  <c r="A5755"/>
  <c r="B5755"/>
  <c r="C5755"/>
  <c r="E5755"/>
  <c r="F5755"/>
  <c r="A5756"/>
  <c r="B5756"/>
  <c r="C5756"/>
  <c r="E5756"/>
  <c r="F5756"/>
  <c r="A5757"/>
  <c r="B5757"/>
  <c r="C5757"/>
  <c r="E5757"/>
  <c r="F5757"/>
  <c r="A5758"/>
  <c r="B5758"/>
  <c r="C5758"/>
  <c r="E5758"/>
  <c r="F5758"/>
  <c r="A5759"/>
  <c r="B5759"/>
  <c r="C5759"/>
  <c r="E5759"/>
  <c r="F5759"/>
  <c r="C5760"/>
  <c r="E5760"/>
  <c r="F5760"/>
  <c r="C5761"/>
  <c r="E5761"/>
  <c r="F5761"/>
  <c r="C5762"/>
  <c r="E5762"/>
  <c r="F5762"/>
  <c r="C5763"/>
  <c r="E5763"/>
  <c r="F5763"/>
  <c r="C5764"/>
  <c r="E5764"/>
  <c r="F5764"/>
  <c r="C5765"/>
  <c r="E5765"/>
  <c r="F5765"/>
  <c r="C5766"/>
  <c r="E5766"/>
  <c r="F5766"/>
  <c r="C5767"/>
  <c r="E5767"/>
  <c r="F5767"/>
  <c r="A5768"/>
  <c r="B5768"/>
  <c r="C5768"/>
  <c r="E5768"/>
  <c r="F5768"/>
  <c r="C5769"/>
  <c r="E5769"/>
  <c r="F5769"/>
  <c r="C5770"/>
  <c r="E5770"/>
  <c r="F5770"/>
  <c r="C5771"/>
  <c r="E5771"/>
  <c r="F5771"/>
  <c r="C5772"/>
  <c r="E5772"/>
  <c r="F5772"/>
  <c r="C5773"/>
  <c r="E5773"/>
  <c r="F5773"/>
  <c r="C5774"/>
  <c r="E5774"/>
  <c r="F5774"/>
  <c r="C5775"/>
  <c r="E5775"/>
  <c r="F5775"/>
  <c r="C5776"/>
  <c r="E5776"/>
  <c r="F5776"/>
  <c r="A5777"/>
  <c r="B5777"/>
  <c r="C5777"/>
  <c r="E5777"/>
  <c r="F5777"/>
  <c r="C5778"/>
  <c r="E5778"/>
  <c r="F5778"/>
  <c r="C5779"/>
  <c r="E5779"/>
  <c r="F5779"/>
  <c r="C5780"/>
  <c r="E5780"/>
  <c r="F5780"/>
  <c r="C5781"/>
  <c r="E5781"/>
  <c r="F5781"/>
  <c r="C5782"/>
  <c r="E5782"/>
  <c r="F5782"/>
  <c r="C5783"/>
  <c r="E5783"/>
  <c r="F5783"/>
  <c r="C5784"/>
  <c r="E5784"/>
  <c r="F5784"/>
  <c r="C5785"/>
  <c r="E5785"/>
  <c r="F5785"/>
  <c r="A5786"/>
  <c r="B5786"/>
  <c r="C5786"/>
  <c r="E5786"/>
  <c r="F5786"/>
  <c r="C5787"/>
  <c r="E5787"/>
  <c r="F5787"/>
  <c r="C5788"/>
  <c r="E5788"/>
  <c r="F5788"/>
  <c r="C5789"/>
  <c r="E5789"/>
  <c r="F5789"/>
  <c r="C5790"/>
  <c r="E5790"/>
  <c r="F5790"/>
  <c r="C5791"/>
  <c r="E5791"/>
  <c r="F5791"/>
  <c r="C5792"/>
  <c r="E5792"/>
  <c r="F5792"/>
  <c r="C5793"/>
  <c r="E5793"/>
  <c r="F5793"/>
  <c r="C5794"/>
  <c r="E5794"/>
  <c r="F5794"/>
  <c r="A5795"/>
  <c r="B5795"/>
  <c r="C5795"/>
  <c r="E5795"/>
  <c r="F5795"/>
  <c r="C5796"/>
  <c r="E5796"/>
  <c r="F5796"/>
  <c r="C5797"/>
  <c r="E5797"/>
  <c r="F5797"/>
  <c r="C5798"/>
  <c r="E5798"/>
  <c r="F5798"/>
  <c r="C5799"/>
  <c r="E5799"/>
  <c r="F5799"/>
  <c r="C5800"/>
  <c r="E5800"/>
  <c r="F5800"/>
  <c r="C5801"/>
  <c r="E5801"/>
  <c r="F5801"/>
  <c r="C5802"/>
  <c r="E5802"/>
  <c r="F5802"/>
  <c r="C5803"/>
  <c r="E5803"/>
  <c r="F5803"/>
  <c r="A5804"/>
  <c r="B5804"/>
  <c r="C5804"/>
  <c r="E5804"/>
  <c r="F5804"/>
  <c r="C5805"/>
  <c r="E5805"/>
  <c r="F5805"/>
  <c r="C5806"/>
  <c r="E5806"/>
  <c r="F5806"/>
  <c r="C5807"/>
  <c r="E5807"/>
  <c r="F5807"/>
  <c r="C5808"/>
  <c r="E5808"/>
  <c r="F5808"/>
  <c r="C5809"/>
  <c r="E5809"/>
  <c r="F5809"/>
  <c r="C5810"/>
  <c r="E5810"/>
  <c r="F5810"/>
  <c r="C5811"/>
  <c r="E5811"/>
  <c r="F5811"/>
  <c r="C5812"/>
  <c r="E5812"/>
  <c r="F5812"/>
  <c r="A5813"/>
  <c r="B5813"/>
  <c r="C5813"/>
  <c r="E5813"/>
  <c r="F5813"/>
  <c r="C5814"/>
  <c r="E5814"/>
  <c r="F5814"/>
  <c r="C5815"/>
  <c r="E5815"/>
  <c r="F5815"/>
  <c r="C5816"/>
  <c r="E5816"/>
  <c r="F5816"/>
  <c r="C5817"/>
  <c r="E5817"/>
  <c r="F5817"/>
  <c r="C5818"/>
  <c r="E5818"/>
  <c r="F5818"/>
  <c r="C5819"/>
  <c r="E5819"/>
  <c r="F5819"/>
  <c r="C5820"/>
  <c r="E5820"/>
  <c r="F5820"/>
  <c r="C5821"/>
  <c r="E5821"/>
  <c r="F5821"/>
  <c r="A5822"/>
  <c r="B5822"/>
  <c r="C5822"/>
  <c r="E5822"/>
  <c r="F5822"/>
  <c r="C5823"/>
  <c r="E5823"/>
  <c r="F5823"/>
  <c r="C5824"/>
  <c r="E5824"/>
  <c r="F5824"/>
  <c r="C5825"/>
  <c r="E5825"/>
  <c r="F5825"/>
  <c r="C5826"/>
  <c r="E5826"/>
  <c r="F5826"/>
  <c r="C5827"/>
  <c r="E5827"/>
  <c r="F5827"/>
  <c r="C5828"/>
  <c r="E5828"/>
  <c r="F5828"/>
  <c r="C5829"/>
  <c r="E5829"/>
  <c r="F5829"/>
  <c r="C5830"/>
  <c r="E5830"/>
  <c r="F5830"/>
  <c r="A5831"/>
  <c r="B5831"/>
  <c r="C5831"/>
  <c r="E5831"/>
  <c r="F5831"/>
  <c r="C5832"/>
  <c r="E5832"/>
  <c r="F5832"/>
  <c r="C5833"/>
  <c r="E5833"/>
  <c r="F5833"/>
  <c r="C5834"/>
  <c r="E5834"/>
  <c r="F5834"/>
  <c r="C5835"/>
  <c r="E5835"/>
  <c r="F5835"/>
  <c r="C5836"/>
  <c r="E5836"/>
  <c r="F5836"/>
  <c r="C5837"/>
  <c r="E5837"/>
  <c r="F5837"/>
  <c r="C5838"/>
  <c r="E5838"/>
  <c r="F5838"/>
  <c r="C5839"/>
  <c r="E5839"/>
  <c r="F5839"/>
  <c r="A5840"/>
  <c r="B5840"/>
  <c r="C5840"/>
  <c r="E5840"/>
  <c r="F5840"/>
  <c r="C5841"/>
  <c r="E5841"/>
  <c r="F5841"/>
  <c r="C5842"/>
  <c r="E5842"/>
  <c r="F5842"/>
  <c r="C5843"/>
  <c r="E5843"/>
  <c r="F5843"/>
  <c r="C5844"/>
  <c r="E5844"/>
  <c r="F5844"/>
  <c r="C5845"/>
  <c r="E5845"/>
  <c r="F5845"/>
  <c r="C5846"/>
  <c r="E5846"/>
  <c r="F5846"/>
  <c r="C5847"/>
  <c r="E5847"/>
  <c r="F5847"/>
  <c r="C5848"/>
  <c r="E5848"/>
  <c r="F5848"/>
  <c r="A5849"/>
  <c r="B5849"/>
  <c r="C5849"/>
  <c r="E5849"/>
  <c r="F5849"/>
  <c r="A5850"/>
  <c r="B5850"/>
  <c r="C5850"/>
  <c r="E5850"/>
  <c r="F5850"/>
  <c r="A5851"/>
  <c r="B5851"/>
  <c r="C5851"/>
  <c r="E5851"/>
  <c r="F5851"/>
  <c r="A5852"/>
  <c r="B5852"/>
  <c r="C5852"/>
  <c r="E5852"/>
  <c r="F5852"/>
  <c r="A5853"/>
  <c r="B5853"/>
  <c r="C5853"/>
  <c r="E5853"/>
  <c r="F5853"/>
  <c r="A5854"/>
  <c r="B5854"/>
  <c r="C5854"/>
  <c r="E5854"/>
  <c r="F5854"/>
  <c r="A5855"/>
  <c r="B5855"/>
  <c r="C5855"/>
  <c r="E5855"/>
  <c r="F5855"/>
  <c r="A5856"/>
  <c r="B5856"/>
  <c r="C5856"/>
  <c r="E5856"/>
  <c r="F5856"/>
  <c r="A5857"/>
  <c r="B5857"/>
  <c r="C5857"/>
  <c r="E5857"/>
  <c r="F5857"/>
  <c r="A5858"/>
  <c r="B5858"/>
  <c r="C5858"/>
  <c r="E5858"/>
  <c r="F5858"/>
  <c r="A5859"/>
  <c r="B5859"/>
  <c r="C5859"/>
  <c r="E5859"/>
  <c r="F5859"/>
  <c r="A5860"/>
  <c r="B5860"/>
  <c r="C5860"/>
  <c r="E5860"/>
  <c r="F5860"/>
  <c r="A5861"/>
  <c r="B5861"/>
  <c r="C5861"/>
  <c r="E5861"/>
  <c r="F5861"/>
  <c r="A5862"/>
  <c r="B5862"/>
  <c r="C5862"/>
  <c r="E5862"/>
  <c r="F5862"/>
  <c r="A5863"/>
  <c r="B5863"/>
  <c r="C5863"/>
  <c r="E5863"/>
  <c r="F5863"/>
  <c r="A5864"/>
  <c r="B5864"/>
  <c r="C5864"/>
  <c r="E5864"/>
  <c r="F5864"/>
  <c r="A5865"/>
  <c r="B5865"/>
  <c r="C5865"/>
  <c r="E5865"/>
  <c r="F5865"/>
  <c r="A5866"/>
  <c r="B5866"/>
  <c r="C5866"/>
  <c r="E5866"/>
  <c r="F5866"/>
  <c r="A5867"/>
  <c r="B5867"/>
  <c r="C5867"/>
  <c r="E5867"/>
  <c r="F5867"/>
  <c r="A5868"/>
  <c r="B5868"/>
  <c r="C5868"/>
  <c r="E5868"/>
  <c r="F5868"/>
  <c r="A5869"/>
  <c r="B5869"/>
  <c r="C5869"/>
  <c r="E5869"/>
  <c r="F5869"/>
  <c r="A5870"/>
  <c r="B5870"/>
  <c r="C5870"/>
  <c r="E5870"/>
  <c r="F5870"/>
  <c r="A5871"/>
  <c r="B5871"/>
  <c r="C5871"/>
  <c r="E5871"/>
  <c r="F5871"/>
  <c r="A5872"/>
  <c r="B5872"/>
  <c r="C5872"/>
  <c r="E5872"/>
  <c r="F5872"/>
  <c r="A5873"/>
  <c r="B5873"/>
  <c r="C5873"/>
  <c r="E5873"/>
  <c r="F5873"/>
  <c r="A5874"/>
  <c r="B5874"/>
  <c r="C5874"/>
  <c r="E5874"/>
  <c r="F5874"/>
  <c r="A5875"/>
  <c r="B5875"/>
  <c r="C5875"/>
  <c r="E5875"/>
  <c r="F5875"/>
  <c r="A5876"/>
  <c r="B5876"/>
  <c r="C5876"/>
  <c r="E5876"/>
  <c r="F5876"/>
  <c r="A5877"/>
  <c r="B5877"/>
  <c r="C5877"/>
  <c r="E5877"/>
  <c r="F5877"/>
  <c r="A5878"/>
  <c r="B5878"/>
  <c r="C5878"/>
  <c r="E5878"/>
  <c r="F5878"/>
  <c r="A5879"/>
  <c r="B5879"/>
  <c r="C5879"/>
  <c r="E5879"/>
  <c r="F5879"/>
  <c r="A5880"/>
  <c r="B5880"/>
  <c r="C5880"/>
  <c r="E5880"/>
  <c r="F5880"/>
  <c r="A5881"/>
  <c r="B5881"/>
  <c r="C5881"/>
  <c r="E5881"/>
  <c r="F5881"/>
  <c r="A5882"/>
  <c r="B5882"/>
  <c r="C5882"/>
  <c r="E5882"/>
  <c r="F5882"/>
  <c r="A5883"/>
  <c r="B5883"/>
  <c r="C5883"/>
  <c r="E5883"/>
  <c r="F5883"/>
  <c r="A5884"/>
  <c r="B5884"/>
  <c r="C5884"/>
  <c r="E5884"/>
  <c r="F5884"/>
  <c r="A5885"/>
  <c r="B5885"/>
  <c r="C5885"/>
  <c r="E5885"/>
  <c r="F5885"/>
  <c r="A5886"/>
  <c r="B5886"/>
  <c r="C5886"/>
  <c r="E5886"/>
  <c r="F5886"/>
  <c r="A5887"/>
  <c r="B5887"/>
  <c r="C5887"/>
  <c r="E5887"/>
  <c r="F5887"/>
  <c r="A5888"/>
  <c r="B5888"/>
  <c r="C5888"/>
  <c r="E5888"/>
  <c r="F5888"/>
  <c r="A5889"/>
  <c r="B5889"/>
  <c r="C5889"/>
  <c r="E5889"/>
  <c r="F5889"/>
  <c r="A5890"/>
  <c r="B5890"/>
  <c r="C5890"/>
  <c r="E5890"/>
  <c r="F5890"/>
  <c r="A5891"/>
  <c r="B5891"/>
  <c r="C5891"/>
  <c r="E5891"/>
  <c r="F5891"/>
  <c r="A5892"/>
  <c r="B5892"/>
  <c r="C5892"/>
  <c r="E5892"/>
  <c r="F5892"/>
  <c r="A5893"/>
  <c r="B5893"/>
  <c r="C5893"/>
  <c r="E5893"/>
  <c r="F5893"/>
  <c r="A5894"/>
  <c r="B5894"/>
  <c r="C5894"/>
  <c r="E5894"/>
  <c r="F5894"/>
  <c r="A5895"/>
  <c r="B5895"/>
  <c r="C5895"/>
  <c r="E5895"/>
  <c r="F5895"/>
  <c r="A5896"/>
  <c r="B5896"/>
  <c r="C5896"/>
  <c r="E5896"/>
  <c r="F5896"/>
  <c r="A5897"/>
  <c r="B5897"/>
  <c r="C5897"/>
  <c r="E5897"/>
  <c r="F5897"/>
  <c r="A5898"/>
  <c r="B5898"/>
  <c r="C5898"/>
  <c r="E5898"/>
  <c r="F5898"/>
  <c r="A5899"/>
  <c r="B5899"/>
  <c r="C5899"/>
  <c r="E5899"/>
  <c r="F5899"/>
  <c r="A5900"/>
  <c r="B5900"/>
  <c r="C5900"/>
  <c r="E5900"/>
  <c r="F5900"/>
  <c r="A5901"/>
  <c r="B5901"/>
  <c r="C5901"/>
  <c r="E5901"/>
  <c r="F5901"/>
  <c r="A5902"/>
  <c r="B5902"/>
  <c r="C5902"/>
  <c r="E5902"/>
  <c r="F5902"/>
  <c r="A5903"/>
  <c r="B5903"/>
  <c r="C5903"/>
  <c r="E5903"/>
  <c r="F5903"/>
  <c r="A5904"/>
  <c r="B5904"/>
  <c r="C5904"/>
  <c r="E5904"/>
  <c r="F5904"/>
  <c r="A5905"/>
  <c r="B5905"/>
  <c r="C5905"/>
  <c r="E5905"/>
  <c r="F5905"/>
  <c r="A5906"/>
  <c r="B5906"/>
  <c r="C5906"/>
  <c r="E5906"/>
  <c r="F5906"/>
  <c r="A5907"/>
  <c r="B5907"/>
  <c r="C5907"/>
  <c r="E5907"/>
  <c r="F5907"/>
  <c r="A5908"/>
  <c r="B5908"/>
  <c r="C5908"/>
  <c r="E5908"/>
  <c r="F5908"/>
  <c r="A5909"/>
  <c r="B5909"/>
  <c r="C5909"/>
  <c r="E5909"/>
  <c r="F5909"/>
  <c r="A5910"/>
  <c r="B5910"/>
  <c r="C5910"/>
  <c r="E5910"/>
  <c r="F5910"/>
  <c r="A5911"/>
  <c r="B5911"/>
  <c r="C5911"/>
  <c r="E5911"/>
  <c r="F5911"/>
  <c r="A5912"/>
  <c r="B5912"/>
  <c r="C5912"/>
  <c r="E5912"/>
  <c r="F5912"/>
  <c r="A5913"/>
  <c r="B5913"/>
  <c r="C5913"/>
  <c r="E5913"/>
  <c r="F5913"/>
  <c r="A5914"/>
  <c r="B5914"/>
  <c r="C5914"/>
  <c r="E5914"/>
  <c r="F5914"/>
  <c r="A5915"/>
  <c r="B5915"/>
  <c r="C5915"/>
  <c r="E5915"/>
  <c r="F5915"/>
  <c r="A5916"/>
  <c r="B5916"/>
  <c r="C5916"/>
  <c r="E5916"/>
  <c r="F5916"/>
  <c r="A5917"/>
  <c r="B5917"/>
  <c r="C5917"/>
  <c r="E5917"/>
  <c r="F5917"/>
  <c r="A5918"/>
  <c r="B5918"/>
  <c r="C5918"/>
  <c r="E5918"/>
  <c r="F5918"/>
  <c r="A5919"/>
  <c r="B5919"/>
  <c r="C5919"/>
  <c r="E5919"/>
  <c r="F5919"/>
  <c r="A5920"/>
  <c r="B5920"/>
  <c r="C5920"/>
  <c r="E5920"/>
  <c r="F5920"/>
  <c r="A5921"/>
  <c r="B5921"/>
  <c r="C5921"/>
  <c r="E5921"/>
  <c r="F5921"/>
  <c r="A5922"/>
  <c r="B5922"/>
  <c r="C5922"/>
  <c r="E5922"/>
  <c r="F5922"/>
  <c r="A5923"/>
  <c r="B5923"/>
  <c r="C5923"/>
  <c r="E5923"/>
  <c r="F5923"/>
  <c r="A5924"/>
  <c r="B5924"/>
  <c r="C5924"/>
  <c r="E5924"/>
  <c r="F5924"/>
  <c r="A5925"/>
  <c r="B5925"/>
  <c r="C5925"/>
  <c r="E5925"/>
  <c r="F5925"/>
  <c r="A5926"/>
  <c r="B5926"/>
  <c r="C5926"/>
  <c r="E5926"/>
  <c r="F5926"/>
  <c r="A5927"/>
  <c r="B5927"/>
  <c r="C5927"/>
  <c r="E5927"/>
  <c r="F5927"/>
  <c r="A5928"/>
  <c r="B5928"/>
  <c r="C5928"/>
  <c r="E5928"/>
  <c r="F5928"/>
  <c r="A5929"/>
  <c r="B5929"/>
  <c r="C5929"/>
  <c r="E5929"/>
  <c r="F5929"/>
  <c r="A5930"/>
  <c r="B5930"/>
  <c r="C5930"/>
  <c r="E5930"/>
  <c r="F5930"/>
  <c r="A5931"/>
  <c r="B5931"/>
  <c r="C5931"/>
  <c r="E5931"/>
  <c r="F5931"/>
  <c r="A5932"/>
  <c r="B5932"/>
  <c r="C5932"/>
  <c r="E5932"/>
  <c r="F5932"/>
  <c r="A5933"/>
  <c r="B5933"/>
  <c r="C5933"/>
  <c r="E5933"/>
  <c r="F5933"/>
  <c r="A5934"/>
  <c r="B5934"/>
  <c r="C5934"/>
  <c r="E5934"/>
  <c r="F5934"/>
  <c r="A5935"/>
  <c r="B5935"/>
  <c r="C5935"/>
  <c r="E5935"/>
  <c r="F5935"/>
  <c r="A5936"/>
  <c r="B5936"/>
  <c r="C5936"/>
  <c r="E5936"/>
  <c r="F5936"/>
  <c r="A5937"/>
  <c r="B5937"/>
  <c r="C5937"/>
  <c r="E5937"/>
  <c r="F5937"/>
  <c r="A5938"/>
  <c r="B5938"/>
  <c r="C5938"/>
  <c r="E5938"/>
  <c r="F5938"/>
  <c r="A5939"/>
  <c r="B5939"/>
  <c r="C5939"/>
  <c r="E5939"/>
  <c r="F5939"/>
  <c r="A5940"/>
  <c r="B5940"/>
  <c r="C5940"/>
  <c r="E5940"/>
  <c r="F5940"/>
  <c r="A5941"/>
  <c r="B5941"/>
  <c r="C5941"/>
  <c r="E5941"/>
  <c r="F5941"/>
  <c r="A5942"/>
  <c r="B5942"/>
  <c r="C5942"/>
  <c r="E5942"/>
  <c r="F5942"/>
  <c r="A5943"/>
  <c r="B5943"/>
  <c r="C5943"/>
  <c r="E5943"/>
  <c r="F5943"/>
  <c r="A5944"/>
  <c r="B5944"/>
  <c r="C5944"/>
  <c r="E5944"/>
  <c r="F5944"/>
  <c r="A5945"/>
  <c r="B5945"/>
  <c r="C5945"/>
  <c r="E5945"/>
  <c r="F5945"/>
  <c r="A5946"/>
  <c r="B5946"/>
  <c r="C5946"/>
  <c r="E5946"/>
  <c r="F5946"/>
  <c r="A5947"/>
  <c r="B5947"/>
  <c r="C5947"/>
  <c r="E5947"/>
  <c r="F5947"/>
  <c r="A5948"/>
  <c r="B5948"/>
  <c r="C5948"/>
  <c r="E5948"/>
  <c r="F5948"/>
  <c r="A5949"/>
  <c r="B5949"/>
  <c r="C5949"/>
  <c r="E5949"/>
  <c r="F5949"/>
  <c r="A5950"/>
  <c r="B5950"/>
  <c r="C5950"/>
  <c r="E5950"/>
  <c r="F5950"/>
  <c r="A5951"/>
  <c r="B5951"/>
  <c r="C5951"/>
  <c r="E5951"/>
  <c r="F5951"/>
  <c r="A5952"/>
  <c r="B5952"/>
  <c r="C5952"/>
  <c r="E5952"/>
  <c r="F5952"/>
  <c r="A5953"/>
  <c r="B5953"/>
  <c r="C5953"/>
  <c r="E5953"/>
  <c r="F5953"/>
  <c r="A5954"/>
  <c r="B5954"/>
  <c r="C5954"/>
  <c r="E5954"/>
  <c r="F5954"/>
  <c r="A5955"/>
  <c r="B5955"/>
  <c r="C5955"/>
  <c r="E5955"/>
  <c r="F5955"/>
  <c r="A5956"/>
  <c r="B5956"/>
  <c r="C5956"/>
  <c r="E5956"/>
  <c r="F5956"/>
  <c r="A5957"/>
  <c r="B5957"/>
  <c r="C5957"/>
  <c r="E5957"/>
  <c r="F5957"/>
  <c r="A5958"/>
  <c r="B5958"/>
  <c r="C5958"/>
  <c r="E5958"/>
  <c r="F5958"/>
  <c r="A5959"/>
  <c r="B5959"/>
  <c r="C5959"/>
  <c r="E5959"/>
  <c r="F5959"/>
  <c r="A5960"/>
  <c r="B5960"/>
  <c r="C5960"/>
  <c r="E5960"/>
  <c r="F5960"/>
  <c r="A5961"/>
  <c r="B5961"/>
  <c r="C5961"/>
  <c r="E5961"/>
  <c r="F5961"/>
  <c r="A5962"/>
  <c r="B5962"/>
  <c r="C5962"/>
  <c r="E5962"/>
  <c r="F5962"/>
  <c r="A5963"/>
  <c r="B5963"/>
  <c r="C5963"/>
  <c r="E5963"/>
  <c r="F5963"/>
  <c r="A5964"/>
  <c r="B5964"/>
  <c r="C5964"/>
  <c r="E5964"/>
  <c r="F5964"/>
  <c r="A5965"/>
  <c r="B5965"/>
  <c r="C5965"/>
  <c r="E5965"/>
  <c r="F5965"/>
  <c r="A5966"/>
  <c r="B5966"/>
  <c r="C5966"/>
  <c r="E5966"/>
  <c r="F5966"/>
  <c r="A5967"/>
  <c r="B5967"/>
  <c r="C5967"/>
  <c r="E5967"/>
  <c r="F5967"/>
  <c r="A5968"/>
  <c r="B5968"/>
  <c r="C5968"/>
  <c r="E5968"/>
  <c r="F5968"/>
  <c r="A5969"/>
  <c r="B5969"/>
  <c r="C5969"/>
  <c r="E5969"/>
  <c r="F5969"/>
  <c r="A5970"/>
  <c r="B5970"/>
  <c r="C5970"/>
  <c r="E5970"/>
  <c r="F5970"/>
  <c r="A5971"/>
  <c r="B5971"/>
  <c r="C5971"/>
  <c r="E5971"/>
  <c r="F5971"/>
  <c r="A5972"/>
  <c r="B5972"/>
  <c r="C5972"/>
  <c r="E5972"/>
  <c r="F5972"/>
  <c r="A5973"/>
  <c r="B5973"/>
  <c r="C5973"/>
  <c r="E5973"/>
  <c r="F5973"/>
  <c r="A5974"/>
  <c r="B5974"/>
  <c r="C5974"/>
  <c r="E5974"/>
  <c r="F5974"/>
  <c r="A5975"/>
  <c r="B5975"/>
  <c r="C5975"/>
  <c r="E5975"/>
  <c r="F5975"/>
  <c r="A5976"/>
  <c r="B5976"/>
  <c r="C5976"/>
  <c r="E5976"/>
  <c r="F5976"/>
  <c r="A5977"/>
  <c r="B5977"/>
  <c r="C5977"/>
  <c r="E5977"/>
  <c r="F5977"/>
  <c r="A5978"/>
  <c r="B5978"/>
  <c r="C5978"/>
  <c r="E5978"/>
  <c r="F5978"/>
  <c r="A5979"/>
  <c r="B5979"/>
  <c r="C5979"/>
  <c r="E5979"/>
  <c r="F5979"/>
  <c r="A5980"/>
  <c r="B5980"/>
  <c r="C5980"/>
  <c r="E5980"/>
  <c r="F5980"/>
  <c r="A5981"/>
  <c r="B5981"/>
  <c r="C5981"/>
  <c r="E5981"/>
  <c r="F5981"/>
  <c r="A5982"/>
  <c r="B5982"/>
  <c r="C5982"/>
  <c r="E5982"/>
  <c r="F5982"/>
  <c r="A5983"/>
  <c r="B5983"/>
  <c r="C5983"/>
  <c r="E5983"/>
  <c r="F5983"/>
  <c r="A5984"/>
  <c r="B5984"/>
  <c r="C5984"/>
  <c r="E5984"/>
  <c r="F5984"/>
  <c r="A5985"/>
  <c r="B5985"/>
  <c r="C5985"/>
  <c r="E5985"/>
  <c r="F5985"/>
  <c r="A5986"/>
  <c r="B5986"/>
  <c r="C5986"/>
  <c r="E5986"/>
  <c r="F5986"/>
  <c r="A5987"/>
  <c r="B5987"/>
  <c r="C5987"/>
  <c r="E5987"/>
  <c r="F5987"/>
  <c r="A5988"/>
  <c r="B5988"/>
  <c r="C5988"/>
  <c r="E5988"/>
  <c r="F5988"/>
  <c r="A5989"/>
  <c r="B5989"/>
  <c r="C5989"/>
  <c r="E5989"/>
  <c r="F5989"/>
  <c r="A5990"/>
  <c r="B5990"/>
  <c r="C5990"/>
  <c r="E5990"/>
  <c r="F5990"/>
  <c r="A5991"/>
  <c r="B5991"/>
  <c r="C5991"/>
  <c r="E5991"/>
  <c r="F5991"/>
  <c r="A5992"/>
  <c r="B5992"/>
  <c r="C5992"/>
  <c r="E5992"/>
  <c r="F5992"/>
  <c r="A5993"/>
  <c r="B5993"/>
  <c r="C5993"/>
  <c r="E5993"/>
  <c r="F5993"/>
  <c r="A5994"/>
  <c r="B5994"/>
  <c r="C5994"/>
  <c r="E5994"/>
  <c r="F5994"/>
  <c r="A5995"/>
  <c r="B5995"/>
  <c r="C5995"/>
  <c r="E5995"/>
  <c r="F5995"/>
  <c r="A5996"/>
  <c r="B5996"/>
  <c r="C5996"/>
  <c r="E5996"/>
  <c r="F5996"/>
  <c r="A5997"/>
  <c r="B5997"/>
  <c r="C5997"/>
  <c r="E5997"/>
  <c r="F5997"/>
  <c r="A5998"/>
  <c r="B5998"/>
  <c r="C5998"/>
  <c r="E5998"/>
  <c r="F5998"/>
  <c r="A5999"/>
  <c r="B5999"/>
  <c r="C5999"/>
  <c r="E5999"/>
  <c r="F5999"/>
  <c r="A6000"/>
  <c r="B6000"/>
  <c r="C6000"/>
  <c r="E6000"/>
  <c r="F6000"/>
  <c r="A6001"/>
  <c r="B6001"/>
  <c r="C6001"/>
  <c r="E6001"/>
  <c r="F6001"/>
  <c r="A6002"/>
  <c r="B6002"/>
  <c r="C6002"/>
  <c r="E6002"/>
  <c r="F6002"/>
  <c r="A6003"/>
  <c r="B6003"/>
  <c r="C6003"/>
  <c r="E6003"/>
  <c r="F6003"/>
  <c r="A6004"/>
  <c r="B6004"/>
  <c r="C6004"/>
  <c r="E6004"/>
  <c r="F6004"/>
  <c r="A6005"/>
  <c r="B6005"/>
  <c r="C6005"/>
  <c r="E6005"/>
  <c r="F6005"/>
  <c r="A6006"/>
  <c r="B6006"/>
  <c r="C6006"/>
  <c r="E6006"/>
  <c r="F6006"/>
  <c r="A6007"/>
  <c r="B6007"/>
  <c r="C6007"/>
  <c r="E6007"/>
  <c r="F6007"/>
  <c r="A6008"/>
  <c r="B6008"/>
  <c r="C6008"/>
  <c r="E6008"/>
  <c r="F6008"/>
  <c r="A6009"/>
  <c r="B6009"/>
  <c r="C6009"/>
  <c r="E6009"/>
  <c r="F6009"/>
  <c r="A6010"/>
  <c r="B6010"/>
  <c r="C6010"/>
  <c r="E6010"/>
  <c r="F6010"/>
  <c r="A6011"/>
  <c r="B6011"/>
  <c r="C6011"/>
  <c r="E6011"/>
  <c r="F6011"/>
  <c r="A6012"/>
  <c r="B6012"/>
  <c r="C6012"/>
  <c r="E6012"/>
  <c r="F6012"/>
  <c r="A6013"/>
  <c r="B6013"/>
  <c r="C6013"/>
  <c r="E6013"/>
  <c r="F6013"/>
  <c r="A6014"/>
  <c r="B6014"/>
  <c r="C6014"/>
  <c r="E6014"/>
  <c r="F6014"/>
  <c r="A6015"/>
  <c r="B6015"/>
  <c r="C6015"/>
  <c r="E6015"/>
  <c r="F6015"/>
  <c r="A6016"/>
  <c r="B6016"/>
  <c r="C6016"/>
  <c r="E6016"/>
  <c r="F6016"/>
  <c r="A6017"/>
  <c r="B6017"/>
  <c r="C6017"/>
  <c r="E6017"/>
  <c r="F6017"/>
  <c r="A6018"/>
  <c r="B6018"/>
  <c r="C6018"/>
  <c r="E6018"/>
  <c r="F6018"/>
  <c r="A6019"/>
  <c r="B6019"/>
  <c r="C6019"/>
  <c r="E6019"/>
  <c r="F6019"/>
  <c r="A6020"/>
  <c r="B6020"/>
  <c r="C6020"/>
  <c r="E6020"/>
  <c r="F6020"/>
  <c r="A6021"/>
  <c r="B6021"/>
  <c r="C6021"/>
  <c r="E6021"/>
  <c r="F6021"/>
  <c r="A6022"/>
  <c r="B6022"/>
  <c r="C6022"/>
  <c r="E6022"/>
  <c r="F6022"/>
  <c r="A6023"/>
  <c r="B6023"/>
  <c r="C6023"/>
  <c r="E6023"/>
  <c r="F6023"/>
  <c r="A6024"/>
  <c r="B6024"/>
  <c r="C6024"/>
  <c r="E6024"/>
  <c r="F6024"/>
  <c r="A6025"/>
  <c r="B6025"/>
  <c r="C6025"/>
  <c r="E6025"/>
  <c r="F6025"/>
  <c r="A6026"/>
  <c r="B6026"/>
  <c r="C6026"/>
  <c r="E6026"/>
  <c r="F6026"/>
  <c r="A6027"/>
  <c r="B6027"/>
  <c r="C6027"/>
  <c r="E6027"/>
  <c r="F6027"/>
  <c r="A6028"/>
  <c r="B6028"/>
  <c r="C6028"/>
  <c r="E6028"/>
  <c r="F6028"/>
  <c r="A6029"/>
  <c r="B6029"/>
  <c r="C6029"/>
  <c r="E6029"/>
  <c r="F6029"/>
  <c r="A6030"/>
  <c r="B6030"/>
  <c r="C6030"/>
  <c r="E6030"/>
  <c r="F6030"/>
  <c r="A6031"/>
  <c r="B6031"/>
  <c r="C6031"/>
  <c r="E6031"/>
  <c r="F6031"/>
  <c r="A6032"/>
  <c r="B6032"/>
  <c r="C6032"/>
  <c r="E6032"/>
  <c r="F6032"/>
  <c r="A6033"/>
  <c r="B6033"/>
  <c r="C6033"/>
  <c r="E6033"/>
  <c r="F6033"/>
  <c r="A6034"/>
  <c r="B6034"/>
  <c r="C6034"/>
  <c r="E6034"/>
  <c r="F6034"/>
  <c r="A6035"/>
  <c r="B6035"/>
  <c r="C6035"/>
  <c r="E6035"/>
  <c r="F6035"/>
  <c r="A6036"/>
  <c r="B6036"/>
  <c r="C6036"/>
  <c r="E6036"/>
  <c r="F6036"/>
  <c r="A6037"/>
  <c r="B6037"/>
  <c r="C6037"/>
  <c r="E6037"/>
  <c r="F6037"/>
  <c r="A6038"/>
  <c r="B6038"/>
  <c r="C6038"/>
  <c r="E6038"/>
  <c r="F6038"/>
  <c r="A6039"/>
  <c r="B6039"/>
  <c r="C6039"/>
  <c r="E6039"/>
  <c r="F6039"/>
  <c r="A6040"/>
  <c r="B6040"/>
  <c r="C6040"/>
  <c r="E6040"/>
  <c r="F6040"/>
  <c r="A6041"/>
  <c r="B6041"/>
  <c r="C6041"/>
  <c r="E6041"/>
  <c r="F6041"/>
  <c r="A6042"/>
  <c r="B6042"/>
  <c r="C6042"/>
  <c r="E6042"/>
  <c r="F6042"/>
  <c r="E6043"/>
  <c r="F6043"/>
  <c r="E6044"/>
  <c r="F6044"/>
  <c r="E6045"/>
  <c r="F6045"/>
  <c r="E6046"/>
  <c r="F6046"/>
  <c r="A6047"/>
  <c r="B6047"/>
  <c r="C6047"/>
  <c r="E6047"/>
  <c r="F6047"/>
  <c r="A6048"/>
  <c r="B6048"/>
  <c r="C6048"/>
  <c r="E6048"/>
  <c r="F6048"/>
  <c r="A6049"/>
  <c r="B6049"/>
  <c r="C6049"/>
  <c r="E6049"/>
  <c r="F6049"/>
  <c r="A6050"/>
  <c r="B6050"/>
  <c r="C6050"/>
  <c r="E6050"/>
  <c r="F6050"/>
  <c r="C6051"/>
  <c r="E6051"/>
  <c r="F6051"/>
  <c r="C6052"/>
  <c r="E6052"/>
  <c r="F6052"/>
  <c r="C6053"/>
  <c r="E6053"/>
  <c r="F6053"/>
  <c r="C6054"/>
  <c r="E6054"/>
  <c r="F6054"/>
  <c r="A6055"/>
  <c r="B6055"/>
  <c r="C6055"/>
  <c r="E6055"/>
  <c r="F6055"/>
  <c r="C6056"/>
  <c r="E6056"/>
  <c r="F6056"/>
  <c r="C6057"/>
  <c r="E6057"/>
  <c r="F6057"/>
  <c r="C6058"/>
  <c r="E6058"/>
  <c r="F6058"/>
  <c r="C6059"/>
  <c r="E6059"/>
  <c r="F6059"/>
  <c r="C6060"/>
  <c r="E6060"/>
  <c r="F6060"/>
  <c r="C6061"/>
  <c r="E6061"/>
  <c r="F6061"/>
  <c r="C6062"/>
  <c r="E6062"/>
  <c r="F6062"/>
  <c r="C6063"/>
  <c r="E6063"/>
  <c r="F6063"/>
  <c r="C6064"/>
  <c r="E6064"/>
  <c r="F6064"/>
  <c r="C6065"/>
  <c r="E6065"/>
  <c r="F6065"/>
  <c r="A6066"/>
  <c r="B6066"/>
  <c r="C6066"/>
  <c r="E6066"/>
  <c r="F6066"/>
  <c r="A6067"/>
  <c r="B6067"/>
  <c r="C6067"/>
  <c r="E6067"/>
  <c r="F6067"/>
  <c r="A6068"/>
  <c r="B6068"/>
  <c r="C6068"/>
  <c r="E6068"/>
  <c r="F6068"/>
  <c r="C6069"/>
  <c r="E6069"/>
  <c r="F6069"/>
  <c r="A6070"/>
  <c r="B6070"/>
  <c r="C6070"/>
  <c r="E6070"/>
  <c r="F6070"/>
  <c r="A6071"/>
  <c r="B6071"/>
  <c r="C6071"/>
  <c r="E6071"/>
  <c r="F6071"/>
  <c r="A6072"/>
  <c r="B6072"/>
  <c r="C6072"/>
  <c r="E6072"/>
  <c r="F6072"/>
  <c r="A6073"/>
  <c r="B6073"/>
  <c r="C6073"/>
  <c r="E6073"/>
  <c r="F6073"/>
  <c r="A6074"/>
  <c r="B6074"/>
  <c r="C6074"/>
  <c r="E6074"/>
  <c r="F6074"/>
  <c r="A6075"/>
  <c r="B6075"/>
  <c r="C6075"/>
  <c r="E6075"/>
  <c r="F6075"/>
  <c r="A6076"/>
  <c r="B6076"/>
  <c r="C6076"/>
  <c r="E6076"/>
  <c r="F6076"/>
  <c r="A6077"/>
  <c r="B6077"/>
  <c r="C6077"/>
  <c r="E6077"/>
  <c r="F6077"/>
  <c r="C6078"/>
  <c r="E6078"/>
  <c r="F6078"/>
  <c r="C6079"/>
  <c r="E6079"/>
  <c r="F6079"/>
  <c r="C6080"/>
  <c r="E6080"/>
  <c r="F6080"/>
  <c r="A6081"/>
  <c r="B6081"/>
  <c r="C6081"/>
  <c r="E6081"/>
  <c r="F6081"/>
  <c r="C6082"/>
  <c r="E6082"/>
  <c r="F6082"/>
  <c r="C6083"/>
  <c r="E6083"/>
  <c r="F6083"/>
  <c r="C6084"/>
  <c r="E6084"/>
  <c r="F6084"/>
  <c r="A6085"/>
  <c r="B6085"/>
  <c r="C6085"/>
  <c r="E6085"/>
  <c r="F6085"/>
  <c r="C6086"/>
  <c r="E6086"/>
  <c r="F6086"/>
  <c r="C6087"/>
  <c r="E6087"/>
  <c r="F6087"/>
  <c r="C6088"/>
  <c r="E6088"/>
  <c r="F6088"/>
  <c r="A6089"/>
  <c r="B6089"/>
  <c r="C6089"/>
  <c r="E6089"/>
  <c r="F6089"/>
  <c r="A6090"/>
  <c r="B6090"/>
  <c r="C6090"/>
  <c r="E6090"/>
  <c r="F6090"/>
  <c r="A6091"/>
  <c r="B6091"/>
  <c r="C6091"/>
  <c r="E6091"/>
  <c r="F6091"/>
  <c r="C6092"/>
  <c r="E6092"/>
  <c r="F6092"/>
  <c r="A6093"/>
  <c r="B6093"/>
  <c r="C6093"/>
  <c r="E6093"/>
  <c r="F6093"/>
  <c r="C6094"/>
  <c r="E6094"/>
  <c r="F6094"/>
  <c r="A6095"/>
  <c r="B6095"/>
  <c r="C6095"/>
  <c r="E6095"/>
  <c r="F6095"/>
  <c r="C6096"/>
  <c r="E6096"/>
  <c r="F6096"/>
  <c r="A6097"/>
  <c r="B6097"/>
  <c r="C6097"/>
  <c r="E6097"/>
  <c r="F6097"/>
  <c r="A6098"/>
  <c r="B6098"/>
  <c r="C6098"/>
  <c r="E6098"/>
  <c r="F6098"/>
  <c r="A6099"/>
  <c r="B6099"/>
  <c r="C6099"/>
  <c r="E6099"/>
  <c r="F6099"/>
  <c r="A6100"/>
  <c r="B6100"/>
  <c r="C6100"/>
  <c r="E6100"/>
  <c r="F6100"/>
  <c r="A6101"/>
  <c r="B6101"/>
  <c r="C6101"/>
  <c r="E6101"/>
  <c r="F6101"/>
  <c r="A6102"/>
  <c r="B6102"/>
  <c r="C6102"/>
  <c r="E6102"/>
  <c r="F6102"/>
  <c r="A6103"/>
  <c r="B6103"/>
  <c r="C6103"/>
  <c r="E6103"/>
  <c r="F6103"/>
  <c r="A6104"/>
  <c r="B6104"/>
  <c r="C6104"/>
  <c r="E6104"/>
  <c r="F6104"/>
  <c r="A6105"/>
  <c r="B6105"/>
  <c r="C6105"/>
  <c r="E6105"/>
  <c r="F6105"/>
  <c r="A6106"/>
  <c r="B6106"/>
  <c r="C6106"/>
  <c r="E6106"/>
  <c r="F6106"/>
  <c r="A6107"/>
  <c r="B6107"/>
  <c r="C6107"/>
  <c r="E6107"/>
  <c r="F6107"/>
  <c r="A6108"/>
  <c r="B6108"/>
  <c r="C6108"/>
  <c r="E6108"/>
  <c r="F6108"/>
  <c r="A6109"/>
  <c r="B6109"/>
  <c r="C6109"/>
  <c r="E6109"/>
  <c r="F6109"/>
  <c r="A6110"/>
  <c r="B6110"/>
  <c r="C6110"/>
  <c r="E6110"/>
  <c r="F6110"/>
  <c r="A6111"/>
  <c r="B6111"/>
  <c r="C6111"/>
  <c r="E6111"/>
  <c r="F6111"/>
  <c r="C6112"/>
  <c r="E6112"/>
  <c r="F6112"/>
  <c r="C6113"/>
  <c r="E6113"/>
  <c r="F6113"/>
  <c r="C6114"/>
  <c r="E6114"/>
  <c r="F6114"/>
  <c r="C6115"/>
  <c r="E6115"/>
  <c r="F6115"/>
  <c r="A6116"/>
  <c r="B6116"/>
  <c r="C6116"/>
  <c r="E6116"/>
  <c r="F6116"/>
  <c r="A6117"/>
  <c r="B6117"/>
  <c r="C6117"/>
  <c r="E6117"/>
  <c r="F6117"/>
  <c r="A6118"/>
  <c r="B6118"/>
  <c r="C6118"/>
  <c r="E6118"/>
  <c r="F6118"/>
  <c r="A6119"/>
  <c r="B6119"/>
  <c r="C6119"/>
  <c r="E6119"/>
  <c r="F6119"/>
  <c r="C6120"/>
  <c r="E6120"/>
  <c r="F6120"/>
  <c r="A6121"/>
  <c r="B6121"/>
  <c r="C6121"/>
  <c r="E6121"/>
  <c r="F6121"/>
  <c r="A6122"/>
  <c r="B6122"/>
  <c r="C6122"/>
  <c r="E6122"/>
  <c r="F6122"/>
  <c r="A6123"/>
  <c r="B6123"/>
  <c r="C6123"/>
  <c r="E6123"/>
  <c r="F6123"/>
  <c r="A6124"/>
  <c r="B6124"/>
  <c r="C6124"/>
  <c r="E6124"/>
  <c r="F6124"/>
  <c r="A6125"/>
  <c r="B6125"/>
  <c r="C6125"/>
  <c r="E6125"/>
  <c r="F6125"/>
  <c r="A6126"/>
  <c r="B6126"/>
  <c r="C6126"/>
  <c r="E6126"/>
  <c r="F6126"/>
  <c r="C6127"/>
  <c r="E6127"/>
  <c r="F6127"/>
  <c r="C6128"/>
  <c r="E6128"/>
  <c r="F6128"/>
  <c r="C6129"/>
  <c r="E6129"/>
  <c r="F6129"/>
  <c r="C6130"/>
  <c r="E6130"/>
  <c r="F6130"/>
  <c r="C6131"/>
  <c r="E6131"/>
  <c r="F6131"/>
  <c r="C6132"/>
  <c r="E6132"/>
  <c r="F6132"/>
  <c r="C6133"/>
  <c r="E6133"/>
  <c r="F6133"/>
  <c r="C6134"/>
  <c r="E6134"/>
  <c r="F6134"/>
  <c r="C6135"/>
  <c r="E6135"/>
  <c r="F6135"/>
  <c r="C6136"/>
  <c r="E6136"/>
  <c r="F6136"/>
  <c r="C6137"/>
  <c r="E6137"/>
  <c r="F6137"/>
  <c r="A6138"/>
  <c r="B6138"/>
  <c r="C6138"/>
  <c r="E6138"/>
  <c r="F6138"/>
  <c r="C6139"/>
  <c r="E6139"/>
  <c r="F6139"/>
  <c r="A6140"/>
  <c r="B6140"/>
  <c r="C6140"/>
  <c r="E6140"/>
  <c r="F6140"/>
  <c r="A6141"/>
  <c r="B6141"/>
  <c r="C6141"/>
  <c r="E6141"/>
  <c r="F6141"/>
  <c r="A6142"/>
  <c r="B6142"/>
  <c r="C6142"/>
  <c r="E6142"/>
  <c r="F6142"/>
  <c r="A6143"/>
  <c r="B6143"/>
  <c r="C6143"/>
  <c r="E6143"/>
  <c r="F6143"/>
  <c r="A6144"/>
  <c r="B6144"/>
  <c r="C6144"/>
  <c r="E6144"/>
  <c r="F6144"/>
  <c r="A6145"/>
  <c r="B6145"/>
  <c r="C6145"/>
  <c r="E6145"/>
  <c r="F6145"/>
  <c r="A6146"/>
  <c r="B6146"/>
  <c r="C6146"/>
  <c r="E6146"/>
  <c r="F6146"/>
  <c r="A6147"/>
  <c r="B6147"/>
  <c r="C6147"/>
  <c r="E6147"/>
  <c r="F6147"/>
  <c r="A6148"/>
  <c r="B6148"/>
  <c r="C6148"/>
  <c r="E6148"/>
  <c r="F6148"/>
  <c r="A6149"/>
  <c r="B6149"/>
  <c r="C6149"/>
  <c r="E6149"/>
  <c r="F6149"/>
  <c r="A6150"/>
  <c r="B6150"/>
  <c r="C6150"/>
  <c r="E6150"/>
  <c r="F6150"/>
  <c r="A6151"/>
  <c r="B6151"/>
  <c r="C6151"/>
  <c r="E6151"/>
  <c r="F6151"/>
  <c r="A6152"/>
  <c r="B6152"/>
  <c r="C6152"/>
  <c r="E6152"/>
  <c r="F6152"/>
  <c r="A6153"/>
  <c r="B6153"/>
  <c r="C6153"/>
  <c r="E6153"/>
  <c r="F6153"/>
  <c r="A6154"/>
  <c r="B6154"/>
  <c r="C6154"/>
  <c r="E6154"/>
  <c r="F6154"/>
  <c r="A6155"/>
  <c r="B6155"/>
  <c r="C6155"/>
  <c r="E6155"/>
  <c r="F6155"/>
  <c r="A6156"/>
  <c r="B6156"/>
  <c r="C6156"/>
  <c r="E6156"/>
  <c r="F6156"/>
  <c r="A6157"/>
  <c r="B6157"/>
  <c r="C6157"/>
  <c r="E6157"/>
  <c r="F6157"/>
  <c r="A6158"/>
  <c r="B6158"/>
  <c r="C6158"/>
  <c r="E6158"/>
  <c r="F6158"/>
  <c r="A6159"/>
  <c r="B6159"/>
  <c r="C6159"/>
  <c r="E6159"/>
  <c r="F6159"/>
  <c r="A6160"/>
  <c r="B6160"/>
  <c r="C6160"/>
  <c r="E6160"/>
  <c r="F6160"/>
  <c r="A6161"/>
  <c r="B6161"/>
  <c r="C6161"/>
  <c r="E6161"/>
  <c r="F6161"/>
  <c r="A6162"/>
  <c r="B6162"/>
  <c r="C6162"/>
  <c r="E6162"/>
  <c r="F6162"/>
</calcChain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" fillId="0" borderId="0"/>
    <xf numFmtId="0" fontId="2" fillId="0" borderId="0"/>
    <xf numFmtId="0" fontId="2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">
    <xf numFmtId="0" fontId="0" fillId="0" borderId="0" xfId="0"/>
    <xf numFmtId="0" fontId="1" fillId="0" borderId="0" xfId="0" applyFont="1"/>
    <xf numFmtId="0" fontId="19" fillId="0" borderId="0" xfId="31" applyFont="1"/>
    <xf numFmtId="0" fontId="19" fillId="0" borderId="0" xfId="31" applyFont="1" applyAlignment="1">
      <alignment horizontal="left"/>
    </xf>
    <xf numFmtId="0" fontId="19" fillId="0" borderId="0" xfId="31" applyFont="1" applyAlignment="1">
      <alignment horizontal="right"/>
    </xf>
    <xf numFmtId="1" fontId="19" fillId="0" borderId="0" xfId="30" applyNumberFormat="1" applyFont="1" applyBorder="1" applyAlignment="1" applyProtection="1">
      <alignment horizontal="left" wrapText="1"/>
    </xf>
    <xf numFmtId="2" fontId="19" fillId="0" borderId="0" xfId="30" applyNumberFormat="1" applyFont="1" applyBorder="1" applyAlignment="1" applyProtection="1">
      <alignment horizontal="left" wrapText="1"/>
    </xf>
    <xf numFmtId="0" fontId="19" fillId="0" borderId="0" xfId="30" applyFont="1" applyBorder="1" applyAlignment="1">
      <alignment horizontal="left"/>
    </xf>
    <xf numFmtId="0" fontId="19" fillId="0" borderId="0" xfId="30" applyFont="1" applyBorder="1" applyAlignment="1">
      <alignment horizontal="right"/>
    </xf>
  </cellXfs>
  <cellStyles count="44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_Centro Est" xfId="30"/>
    <cellStyle name="Normale_Val Polcevera" xfId="31"/>
    <cellStyle name="Nota" xfId="32" builtinId="10" customBuiltin="1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36"/>
  <sheetViews>
    <sheetView topLeftCell="A1590" workbookViewId="0">
      <selection activeCell="A1624" sqref="A1624:F1636"/>
    </sheetView>
  </sheetViews>
  <sheetFormatPr defaultRowHeight="12.75"/>
  <cols>
    <col min="1" max="1" width="19.5703125" bestFit="1" customWidth="1"/>
    <col min="2" max="2" width="44.1406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"E234-1"</f>
        <v>E234-1</v>
      </c>
      <c r="B2" t="str">
        <f>"VIA JACOPO RUFFINI  3-"</f>
        <v>VIA JACOPO RUFFINI  3-</v>
      </c>
      <c r="C2" t="str">
        <f>"GEA"</f>
        <v>GEA</v>
      </c>
      <c r="D2">
        <v>99</v>
      </c>
      <c r="E2" t="str">
        <f>"79"</f>
        <v>79</v>
      </c>
      <c r="F2" t="str">
        <f>"1"</f>
        <v>1</v>
      </c>
    </row>
    <row r="3" spans="1:6">
      <c r="A3" t="str">
        <f>"E234-2"</f>
        <v>E234-2</v>
      </c>
      <c r="B3" t="str">
        <f>"VIA JACOPO RUFFINI  3A-"</f>
        <v>VIA JACOPO RUFFINI  3A-</v>
      </c>
      <c r="C3" t="str">
        <f>"GEA"</f>
        <v>GEA</v>
      </c>
      <c r="D3">
        <v>99</v>
      </c>
      <c r="E3" t="str">
        <f>"79"</f>
        <v>79</v>
      </c>
      <c r="F3" t="str">
        <f>"2"</f>
        <v>2</v>
      </c>
    </row>
    <row r="4" spans="1:6">
      <c r="A4" t="str">
        <f>"E235-4"</f>
        <v>E235-4</v>
      </c>
      <c r="B4" t="str">
        <f>"PIAZZA DELLA COMMENDA  1-"</f>
        <v>PIAZZA DELLA COMMENDA  1-</v>
      </c>
      <c r="C4" t="str">
        <f>"GEA"</f>
        <v>GEA</v>
      </c>
      <c r="D4">
        <v>79</v>
      </c>
      <c r="E4" t="str">
        <f>"110"</f>
        <v>110</v>
      </c>
      <c r="F4" t="str">
        <f>"4"</f>
        <v>4</v>
      </c>
    </row>
    <row r="5" spans="1:6">
      <c r="A5" t="str">
        <f>"E320-1"</f>
        <v>E320-1</v>
      </c>
      <c r="B5" t="str">
        <f>"MURA DELLE CAPPUCCINE VICINO AL 37-"</f>
        <v>MURA DELLE CAPPUCCINE VICINO AL 37-</v>
      </c>
      <c r="C5" t="str">
        <f>"GEB"</f>
        <v>GEB</v>
      </c>
      <c r="D5">
        <v>65</v>
      </c>
      <c r="E5" t="str">
        <f>"96"</f>
        <v>96</v>
      </c>
      <c r="F5" t="str">
        <f>"0000"</f>
        <v>0000</v>
      </c>
    </row>
    <row r="6" spans="1:6">
      <c r="C6" t="str">
        <f>"GEB"</f>
        <v>GEB</v>
      </c>
      <c r="D6">
        <v>65</v>
      </c>
      <c r="E6" t="str">
        <f>"97"</f>
        <v>97</v>
      </c>
      <c r="F6" t="str">
        <f>"2"</f>
        <v>2</v>
      </c>
    </row>
    <row r="7" spans="1:6">
      <c r="A7" t="str">
        <f>"E321-3"</f>
        <v>E321-3</v>
      </c>
      <c r="B7" t="str">
        <f>"MURA DELLE CAPPUCCINE  33-"</f>
        <v>MURA DELLE CAPPUCCINE  33-</v>
      </c>
      <c r="C7" t="str">
        <f>"GEB"</f>
        <v>GEB</v>
      </c>
      <c r="D7">
        <v>65</v>
      </c>
      <c r="E7" t="str">
        <f>"176"</f>
        <v>176</v>
      </c>
      <c r="F7" t="str">
        <f>"1"</f>
        <v>1</v>
      </c>
    </row>
    <row r="8" spans="1:6">
      <c r="A8" t="str">
        <f>"E1363-2"</f>
        <v>E1363-2</v>
      </c>
      <c r="B8" t="str">
        <f>"VIA SAN GIORGIO  7R-"</f>
        <v>VIA SAN GIORGIO  7R-</v>
      </c>
      <c r="C8" t="str">
        <f t="shared" ref="C8:C32" si="0">"GEA"</f>
        <v>GEA</v>
      </c>
      <c r="D8">
        <v>84</v>
      </c>
      <c r="E8" t="str">
        <f>"97"</f>
        <v>97</v>
      </c>
      <c r="F8" t="str">
        <f>"2"</f>
        <v>2</v>
      </c>
    </row>
    <row r="9" spans="1:6">
      <c r="A9" t="str">
        <f>"E1363-9"</f>
        <v>E1363-9</v>
      </c>
      <c r="B9" t="str">
        <f>"VIA SAN GIORGIO  1-"</f>
        <v>VIA SAN GIORGIO  1-</v>
      </c>
      <c r="C9" t="str">
        <f t="shared" si="0"/>
        <v>GEA</v>
      </c>
      <c r="D9">
        <v>84</v>
      </c>
      <c r="E9" t="str">
        <f>"97"</f>
        <v>97</v>
      </c>
      <c r="F9" t="str">
        <f>"28"</f>
        <v>28</v>
      </c>
    </row>
    <row r="10" spans="1:6">
      <c r="A10" t="str">
        <f>"E1363-10"</f>
        <v>E1363-10</v>
      </c>
      <c r="B10" t="str">
        <f>"VIA SAN GIORGIO  1-"</f>
        <v>VIA SAN GIORGIO  1-</v>
      </c>
      <c r="C10" t="str">
        <f t="shared" si="0"/>
        <v>GEA</v>
      </c>
      <c r="D10">
        <v>84</v>
      </c>
      <c r="E10" t="str">
        <f>"258"</f>
        <v>258</v>
      </c>
      <c r="F10" t="str">
        <f>"0000"</f>
        <v>0000</v>
      </c>
    </row>
    <row r="11" spans="1:6">
      <c r="C11" t="str">
        <f t="shared" si="0"/>
        <v>GEA</v>
      </c>
      <c r="D11">
        <v>84</v>
      </c>
      <c r="E11" t="str">
        <f>"97"</f>
        <v>97</v>
      </c>
      <c r="F11" t="str">
        <f>"29"</f>
        <v>29</v>
      </c>
    </row>
    <row r="12" spans="1:6">
      <c r="A12" t="str">
        <f>"E1363-11"</f>
        <v>E1363-11</v>
      </c>
      <c r="B12" t="str">
        <f>"VICO DEI CATTANEO VICINO AL 15R-"</f>
        <v>VICO DEI CATTANEO VICINO AL 15R-</v>
      </c>
      <c r="C12" t="str">
        <f t="shared" si="0"/>
        <v>GEA</v>
      </c>
      <c r="D12">
        <v>84</v>
      </c>
      <c r="E12" t="str">
        <f>"97"</f>
        <v>97</v>
      </c>
      <c r="F12" t="str">
        <f>"36"</f>
        <v>36</v>
      </c>
    </row>
    <row r="13" spans="1:6">
      <c r="A13" t="str">
        <f>"E1364-1"</f>
        <v>E1364-1</v>
      </c>
      <c r="B13" t="str">
        <f>"VIA GARIBALDI  2R-"</f>
        <v>VIA GARIBALDI  2R-</v>
      </c>
      <c r="C13" t="str">
        <f t="shared" si="0"/>
        <v>GEA</v>
      </c>
      <c r="D13">
        <v>95</v>
      </c>
      <c r="E13" t="str">
        <f t="shared" ref="E13:E19" si="1">"41"</f>
        <v>41</v>
      </c>
      <c r="F13" t="str">
        <f>"1"</f>
        <v>1</v>
      </c>
    </row>
    <row r="14" spans="1:6">
      <c r="A14" t="str">
        <f>"E1364-2"</f>
        <v>E1364-2</v>
      </c>
      <c r="B14" t="str">
        <f>"VIA GARIBALDI  6R-"</f>
        <v>VIA GARIBALDI  6R-</v>
      </c>
      <c r="C14" t="str">
        <f t="shared" si="0"/>
        <v>GEA</v>
      </c>
      <c r="D14">
        <v>95</v>
      </c>
      <c r="E14" t="str">
        <f t="shared" si="1"/>
        <v>41</v>
      </c>
      <c r="F14" t="str">
        <f>"2"</f>
        <v>2</v>
      </c>
    </row>
    <row r="15" spans="1:6">
      <c r="A15" t="str">
        <f>"E1364-3"</f>
        <v>E1364-3</v>
      </c>
      <c r="B15" t="str">
        <f>"VIA GARIBALDI  8R-"</f>
        <v>VIA GARIBALDI  8R-</v>
      </c>
      <c r="C15" t="str">
        <f t="shared" si="0"/>
        <v>GEA</v>
      </c>
      <c r="D15">
        <v>95</v>
      </c>
      <c r="E15" t="str">
        <f t="shared" si="1"/>
        <v>41</v>
      </c>
      <c r="F15" t="str">
        <f>"3"</f>
        <v>3</v>
      </c>
    </row>
    <row r="16" spans="1:6">
      <c r="A16" t="str">
        <f>"E1364-4"</f>
        <v>E1364-4</v>
      </c>
      <c r="B16" t="str">
        <f>"VIA GARIBALDI  10R-"</f>
        <v>VIA GARIBALDI  10R-</v>
      </c>
      <c r="C16" t="str">
        <f t="shared" si="0"/>
        <v>GEA</v>
      </c>
      <c r="D16">
        <v>95</v>
      </c>
      <c r="E16" t="str">
        <f t="shared" si="1"/>
        <v>41</v>
      </c>
      <c r="F16" t="str">
        <f>"4"</f>
        <v>4</v>
      </c>
    </row>
    <row r="17" spans="1:6">
      <c r="A17" t="str">
        <f>"E1364-5"</f>
        <v>E1364-5</v>
      </c>
      <c r="B17" t="str">
        <f>"VICO DEL DUCA  37R-"</f>
        <v>VICO DEL DUCA  37R-</v>
      </c>
      <c r="C17" t="str">
        <f t="shared" si="0"/>
        <v>GEA</v>
      </c>
      <c r="D17">
        <v>95</v>
      </c>
      <c r="E17" t="str">
        <f t="shared" si="1"/>
        <v>41</v>
      </c>
      <c r="F17" t="str">
        <f>"5"</f>
        <v>5</v>
      </c>
    </row>
    <row r="18" spans="1:6">
      <c r="A18" t="str">
        <f>"E1364-6"</f>
        <v>E1364-6</v>
      </c>
      <c r="B18" t="str">
        <f>"VICO DEL DUCA  41R-"</f>
        <v>VICO DEL DUCA  41R-</v>
      </c>
      <c r="C18" t="str">
        <f t="shared" si="0"/>
        <v>GEA</v>
      </c>
      <c r="D18">
        <v>95</v>
      </c>
      <c r="E18" t="str">
        <f t="shared" si="1"/>
        <v>41</v>
      </c>
      <c r="F18" t="str">
        <f>"6"</f>
        <v>6</v>
      </c>
    </row>
    <row r="19" spans="1:6">
      <c r="A19" t="str">
        <f>"E1364-8"</f>
        <v>E1364-8</v>
      </c>
      <c r="B19" t="str">
        <f>"VIA GARIBALDI  14-"</f>
        <v>VIA GARIBALDI  14-</v>
      </c>
      <c r="C19" t="str">
        <f t="shared" si="0"/>
        <v>GEA</v>
      </c>
      <c r="D19">
        <v>95</v>
      </c>
      <c r="E19" t="str">
        <f t="shared" si="1"/>
        <v>41</v>
      </c>
      <c r="F19" t="str">
        <f>"9"</f>
        <v>9</v>
      </c>
    </row>
    <row r="20" spans="1:6">
      <c r="A20" t="str">
        <f>"E1365-1"</f>
        <v>E1365-1</v>
      </c>
      <c r="B20" t="str">
        <f>"VICO SALVAGHI  32R-"</f>
        <v>VICO SALVAGHI  32R-</v>
      </c>
      <c r="C20" t="str">
        <f t="shared" si="0"/>
        <v>GEA</v>
      </c>
      <c r="D20">
        <v>95</v>
      </c>
      <c r="E20" t="str">
        <f t="shared" ref="E20:E32" si="2">"56"</f>
        <v>56</v>
      </c>
      <c r="F20" t="str">
        <f>"1"</f>
        <v>1</v>
      </c>
    </row>
    <row r="21" spans="1:6">
      <c r="A21" t="str">
        <f>"E1365-2"</f>
        <v>E1365-2</v>
      </c>
      <c r="B21" t="str">
        <f>"VICO SALVAGHI  34R-"</f>
        <v>VICO SALVAGHI  34R-</v>
      </c>
      <c r="C21" t="str">
        <f t="shared" si="0"/>
        <v>GEA</v>
      </c>
      <c r="D21">
        <v>95</v>
      </c>
      <c r="E21" t="str">
        <f t="shared" si="2"/>
        <v>56</v>
      </c>
      <c r="F21" t="str">
        <f>"2"</f>
        <v>2</v>
      </c>
    </row>
    <row r="22" spans="1:6">
      <c r="A22" t="str">
        <f>"E1365-3"</f>
        <v>E1365-3</v>
      </c>
      <c r="B22" t="str">
        <f>"VICO SALVAGHI  36R-"</f>
        <v>VICO SALVAGHI  36R-</v>
      </c>
      <c r="C22" t="str">
        <f t="shared" si="0"/>
        <v>GEA</v>
      </c>
      <c r="D22">
        <v>95</v>
      </c>
      <c r="E22" t="str">
        <f t="shared" si="2"/>
        <v>56</v>
      </c>
      <c r="F22" t="str">
        <f>"3"</f>
        <v>3</v>
      </c>
    </row>
    <row r="23" spans="1:6">
      <c r="A23" t="str">
        <f>"E1365-4"</f>
        <v>E1365-4</v>
      </c>
      <c r="B23" t="str">
        <f>"VICO DEL DUCA  33R-"</f>
        <v>VICO DEL DUCA  33R-</v>
      </c>
      <c r="C23" t="str">
        <f t="shared" si="0"/>
        <v>GEA</v>
      </c>
      <c r="D23">
        <v>95</v>
      </c>
      <c r="E23" t="str">
        <f t="shared" si="2"/>
        <v>56</v>
      </c>
      <c r="F23" t="str">
        <f>"4"</f>
        <v>4</v>
      </c>
    </row>
    <row r="24" spans="1:6">
      <c r="A24" t="str">
        <f>"E1365-5"</f>
        <v>E1365-5</v>
      </c>
      <c r="B24" t="str">
        <f>"VICO DEL DUCA  35R-"</f>
        <v>VICO DEL DUCA  35R-</v>
      </c>
      <c r="C24" t="str">
        <f t="shared" si="0"/>
        <v>GEA</v>
      </c>
      <c r="D24">
        <v>95</v>
      </c>
      <c r="E24" t="str">
        <f t="shared" si="2"/>
        <v>56</v>
      </c>
      <c r="F24" t="str">
        <f>"5"</f>
        <v>5</v>
      </c>
    </row>
    <row r="25" spans="1:6">
      <c r="A25" t="str">
        <f>"E1365-6"</f>
        <v>E1365-6</v>
      </c>
      <c r="B25" t="str">
        <f t="shared" ref="B25:B32" si="3">"VICO SALVAGHI  20-"</f>
        <v>VICO SALVAGHI  20-</v>
      </c>
      <c r="C25" t="str">
        <f t="shared" si="0"/>
        <v>GEA</v>
      </c>
      <c r="D25">
        <v>95</v>
      </c>
      <c r="E25" t="str">
        <f t="shared" si="2"/>
        <v>56</v>
      </c>
      <c r="F25" t="str">
        <f>"6"</f>
        <v>6</v>
      </c>
    </row>
    <row r="26" spans="1:6">
      <c r="A26" t="str">
        <f>"E1365-7"</f>
        <v>E1365-7</v>
      </c>
      <c r="B26" t="str">
        <f t="shared" si="3"/>
        <v>VICO SALVAGHI  20-</v>
      </c>
      <c r="C26" t="str">
        <f t="shared" si="0"/>
        <v>GEA</v>
      </c>
      <c r="D26">
        <v>95</v>
      </c>
      <c r="E26" t="str">
        <f t="shared" si="2"/>
        <v>56</v>
      </c>
      <c r="F26" t="str">
        <f>"7"</f>
        <v>7</v>
      </c>
    </row>
    <row r="27" spans="1:6">
      <c r="A27" t="str">
        <f>"E1365-8"</f>
        <v>E1365-8</v>
      </c>
      <c r="B27" t="str">
        <f t="shared" si="3"/>
        <v>VICO SALVAGHI  20-</v>
      </c>
      <c r="C27" t="str">
        <f t="shared" si="0"/>
        <v>GEA</v>
      </c>
      <c r="D27">
        <v>95</v>
      </c>
      <c r="E27" t="str">
        <f t="shared" si="2"/>
        <v>56</v>
      </c>
      <c r="F27" t="str">
        <f>"8"</f>
        <v>8</v>
      </c>
    </row>
    <row r="28" spans="1:6">
      <c r="A28" t="str">
        <f>"E1365-9"</f>
        <v>E1365-9</v>
      </c>
      <c r="B28" t="str">
        <f t="shared" si="3"/>
        <v>VICO SALVAGHI  20-</v>
      </c>
      <c r="C28" t="str">
        <f t="shared" si="0"/>
        <v>GEA</v>
      </c>
      <c r="D28">
        <v>95</v>
      </c>
      <c r="E28" t="str">
        <f t="shared" si="2"/>
        <v>56</v>
      </c>
      <c r="F28" t="str">
        <f>"9"</f>
        <v>9</v>
      </c>
    </row>
    <row r="29" spans="1:6">
      <c r="A29" t="str">
        <f>"E1365-10"</f>
        <v>E1365-10</v>
      </c>
      <c r="B29" t="str">
        <f t="shared" si="3"/>
        <v>VICO SALVAGHI  20-</v>
      </c>
      <c r="C29" t="str">
        <f t="shared" si="0"/>
        <v>GEA</v>
      </c>
      <c r="D29">
        <v>95</v>
      </c>
      <c r="E29" t="str">
        <f t="shared" si="2"/>
        <v>56</v>
      </c>
      <c r="F29" t="str">
        <f>"10"</f>
        <v>10</v>
      </c>
    </row>
    <row r="30" spans="1:6">
      <c r="A30" t="str">
        <f>"E1365-11"</f>
        <v>E1365-11</v>
      </c>
      <c r="B30" t="str">
        <f t="shared" si="3"/>
        <v>VICO SALVAGHI  20-</v>
      </c>
      <c r="C30" t="str">
        <f t="shared" si="0"/>
        <v>GEA</v>
      </c>
      <c r="D30">
        <v>95</v>
      </c>
      <c r="E30" t="str">
        <f t="shared" si="2"/>
        <v>56</v>
      </c>
      <c r="F30" t="str">
        <f>"11"</f>
        <v>11</v>
      </c>
    </row>
    <row r="31" spans="1:6">
      <c r="A31" t="str">
        <f>"E1365-12"</f>
        <v>E1365-12</v>
      </c>
      <c r="B31" t="str">
        <f t="shared" si="3"/>
        <v>VICO SALVAGHI  20-</v>
      </c>
      <c r="C31" t="str">
        <f t="shared" si="0"/>
        <v>GEA</v>
      </c>
      <c r="D31">
        <v>95</v>
      </c>
      <c r="E31" t="str">
        <f t="shared" si="2"/>
        <v>56</v>
      </c>
      <c r="F31" t="str">
        <f>"12"</f>
        <v>12</v>
      </c>
    </row>
    <row r="32" spans="1:6">
      <c r="A32" t="str">
        <f>"E1365-13"</f>
        <v>E1365-13</v>
      </c>
      <c r="B32" t="str">
        <f t="shared" si="3"/>
        <v>VICO SALVAGHI  20-</v>
      </c>
      <c r="C32" t="str">
        <f t="shared" si="0"/>
        <v>GEA</v>
      </c>
      <c r="D32">
        <v>95</v>
      </c>
      <c r="E32" t="str">
        <f t="shared" si="2"/>
        <v>56</v>
      </c>
      <c r="F32" t="str">
        <f>"0000"</f>
        <v>0000</v>
      </c>
    </row>
    <row r="33" spans="1:6">
      <c r="A33" t="str">
        <f>"E1365-14"</f>
        <v>E1365-14</v>
      </c>
      <c r="B33" t="str">
        <f>"VICO SALVAGHI VICINO AL 20-"</f>
        <v>VICO SALVAGHI VICINO AL 20-</v>
      </c>
      <c r="C33" t="str">
        <f>"1"</f>
        <v>1</v>
      </c>
      <c r="D33">
        <v>45</v>
      </c>
      <c r="E33" t="str">
        <f>"190"</f>
        <v>190</v>
      </c>
      <c r="F33" t="str">
        <f>"0000"</f>
        <v>0000</v>
      </c>
    </row>
    <row r="34" spans="1:6">
      <c r="A34" t="str">
        <f>"E1370-1"</f>
        <v>E1370-1</v>
      </c>
      <c r="B34" t="str">
        <f>"VIA DEL MOLO  13-"</f>
        <v>VIA DEL MOLO  13-</v>
      </c>
      <c r="C34" t="str">
        <f t="shared" ref="C34:C65" si="4">"GEA"</f>
        <v>GEA</v>
      </c>
      <c r="D34">
        <v>83</v>
      </c>
      <c r="E34" t="str">
        <f>"9"</f>
        <v>9</v>
      </c>
      <c r="F34" t="str">
        <f>"9"</f>
        <v>9</v>
      </c>
    </row>
    <row r="35" spans="1:6">
      <c r="C35" t="str">
        <f t="shared" si="4"/>
        <v>GEA</v>
      </c>
      <c r="D35">
        <v>84</v>
      </c>
      <c r="E35" t="str">
        <f>"9"</f>
        <v>9</v>
      </c>
      <c r="F35" t="str">
        <f>"2"</f>
        <v>2</v>
      </c>
    </row>
    <row r="36" spans="1:6">
      <c r="A36" t="str">
        <f>"E1370-2"</f>
        <v>E1370-2</v>
      </c>
      <c r="B36" t="str">
        <f>"VIA DEL MOLO VICINO AL 13-"</f>
        <v>VIA DEL MOLO VICINO AL 13-</v>
      </c>
      <c r="C36" t="str">
        <f t="shared" si="4"/>
        <v>GEA</v>
      </c>
      <c r="D36">
        <v>83</v>
      </c>
      <c r="E36" t="str">
        <f>"9"</f>
        <v>9</v>
      </c>
      <c r="F36" t="str">
        <f>"10"</f>
        <v>10</v>
      </c>
    </row>
    <row r="37" spans="1:6">
      <c r="A37" t="str">
        <f>"E1372-1"</f>
        <v>E1372-1</v>
      </c>
      <c r="B37" t="str">
        <f>"SALITA DI CARBONARA  35R-"</f>
        <v>SALITA DI CARBONARA  35R-</v>
      </c>
      <c r="C37" t="str">
        <f t="shared" si="4"/>
        <v>GEA</v>
      </c>
      <c r="D37">
        <v>92</v>
      </c>
      <c r="E37" t="str">
        <f>"38"</f>
        <v>38</v>
      </c>
      <c r="F37" t="str">
        <f>"1"</f>
        <v>1</v>
      </c>
    </row>
    <row r="38" spans="1:6">
      <c r="A38" t="str">
        <f>"E1372-2"</f>
        <v>E1372-2</v>
      </c>
      <c r="B38" t="str">
        <f>"SALITA DI CARBONARA  43R-"</f>
        <v>SALITA DI CARBONARA  43R-</v>
      </c>
      <c r="C38" t="str">
        <f t="shared" si="4"/>
        <v>GEA</v>
      </c>
      <c r="D38">
        <v>92</v>
      </c>
      <c r="E38" t="str">
        <f>"38"</f>
        <v>38</v>
      </c>
      <c r="F38" t="str">
        <f>"2"</f>
        <v>2</v>
      </c>
    </row>
    <row r="39" spans="1:6">
      <c r="A39" t="str">
        <f>"E1372-3"</f>
        <v>E1372-3</v>
      </c>
      <c r="B39" t="str">
        <f>"SALITA DI CARBONARA  65-"</f>
        <v>SALITA DI CARBONARA  65-</v>
      </c>
      <c r="C39" t="str">
        <f t="shared" si="4"/>
        <v>GEA</v>
      </c>
      <c r="D39">
        <v>92</v>
      </c>
      <c r="E39" t="str">
        <f>"38"</f>
        <v>38</v>
      </c>
      <c r="F39" t="str">
        <f>"3"</f>
        <v>3</v>
      </c>
    </row>
    <row r="40" spans="1:6">
      <c r="A40" t="str">
        <f>"E1372-4"</f>
        <v>E1372-4</v>
      </c>
      <c r="B40" t="str">
        <f>"SALITA DI CARBONARA  65-"</f>
        <v>SALITA DI CARBONARA  65-</v>
      </c>
      <c r="C40" t="str">
        <f t="shared" si="4"/>
        <v>GEA</v>
      </c>
      <c r="D40">
        <v>92</v>
      </c>
      <c r="E40" t="str">
        <f>"38"</f>
        <v>38</v>
      </c>
      <c r="F40" t="str">
        <f>"4"</f>
        <v>4</v>
      </c>
    </row>
    <row r="41" spans="1:6">
      <c r="A41" t="str">
        <f>"E1372-5"</f>
        <v>E1372-5</v>
      </c>
      <c r="B41" t="str">
        <f>"SALITA DI CARBONARA  65-"</f>
        <v>SALITA DI CARBONARA  65-</v>
      </c>
      <c r="C41" t="str">
        <f t="shared" si="4"/>
        <v>GEA</v>
      </c>
      <c r="D41">
        <v>92</v>
      </c>
      <c r="E41" t="str">
        <f>"100"</f>
        <v>100</v>
      </c>
      <c r="F41" t="str">
        <f>"0000"</f>
        <v>0000</v>
      </c>
    </row>
    <row r="42" spans="1:6">
      <c r="C42" t="str">
        <f t="shared" si="4"/>
        <v>GEA</v>
      </c>
      <c r="D42">
        <v>92</v>
      </c>
      <c r="E42" t="str">
        <f>"38"</f>
        <v>38</v>
      </c>
      <c r="F42" t="str">
        <f>"5"</f>
        <v>5</v>
      </c>
    </row>
    <row r="43" spans="1:6">
      <c r="A43" t="str">
        <f>"E1375-1"</f>
        <v>E1375-1</v>
      </c>
      <c r="B43" t="str">
        <f>"SALITA DI CARBONARA  65B-"</f>
        <v>SALITA DI CARBONARA  65B-</v>
      </c>
      <c r="C43" t="str">
        <f t="shared" si="4"/>
        <v>GEA</v>
      </c>
      <c r="D43">
        <v>92</v>
      </c>
      <c r="E43" t="str">
        <f>"194"</f>
        <v>194</v>
      </c>
      <c r="F43" t="str">
        <f>"0000"</f>
        <v>0000</v>
      </c>
    </row>
    <row r="44" spans="1:6">
      <c r="C44" t="str">
        <f t="shared" si="4"/>
        <v>GEA</v>
      </c>
      <c r="D44">
        <v>92</v>
      </c>
      <c r="E44" t="str">
        <f>"333"</f>
        <v>333</v>
      </c>
      <c r="F44" t="str">
        <f>"0000"</f>
        <v>0000</v>
      </c>
    </row>
    <row r="45" spans="1:6">
      <c r="C45" t="str">
        <f t="shared" si="4"/>
        <v>GEA</v>
      </c>
      <c r="D45">
        <v>92</v>
      </c>
      <c r="E45" t="str">
        <f>"99"</f>
        <v>99</v>
      </c>
      <c r="F45" t="str">
        <f>"1"</f>
        <v>1</v>
      </c>
    </row>
    <row r="46" spans="1:6">
      <c r="A46" t="str">
        <f>"E1380-1"</f>
        <v>E1380-1</v>
      </c>
      <c r="B46" t="str">
        <f>"VIA DI SAN BERNARDO  73R-"</f>
        <v>VIA DI SAN BERNARDO  73R-</v>
      </c>
      <c r="C46" t="str">
        <f t="shared" si="4"/>
        <v>GEA</v>
      </c>
      <c r="D46">
        <v>84</v>
      </c>
      <c r="E46" t="str">
        <f>"425"</f>
        <v>425</v>
      </c>
      <c r="F46" t="str">
        <f>"1"</f>
        <v>1</v>
      </c>
    </row>
    <row r="47" spans="1:6">
      <c r="C47" t="str">
        <f t="shared" si="4"/>
        <v>GEA</v>
      </c>
      <c r="D47">
        <v>84</v>
      </c>
      <c r="E47" t="str">
        <f>"426"</f>
        <v>426</v>
      </c>
      <c r="F47" t="str">
        <f>"0000"</f>
        <v>0000</v>
      </c>
    </row>
    <row r="48" spans="1:6">
      <c r="A48" t="str">
        <f>"E1380-2"</f>
        <v>E1380-2</v>
      </c>
      <c r="B48" t="str">
        <f>"VICO VEGETTI  2-"</f>
        <v>VICO VEGETTI  2-</v>
      </c>
      <c r="C48" t="str">
        <f t="shared" si="4"/>
        <v>GEA</v>
      </c>
      <c r="D48">
        <v>84</v>
      </c>
      <c r="E48" t="str">
        <f>"425"</f>
        <v>425</v>
      </c>
      <c r="F48" t="str">
        <f>"2"</f>
        <v>2</v>
      </c>
    </row>
    <row r="49" spans="1:6">
      <c r="A49" t="str">
        <f>"E1383-1"</f>
        <v>E1383-1</v>
      </c>
      <c r="B49" t="str">
        <f>"PIAZZA DELLA NUNZIATA  1-"</f>
        <v>PIAZZA DELLA NUNZIATA  1-</v>
      </c>
      <c r="C49" t="str">
        <f t="shared" si="4"/>
        <v>GEA</v>
      </c>
      <c r="D49">
        <v>80</v>
      </c>
      <c r="E49" t="str">
        <f>"E"</f>
        <v>E</v>
      </c>
      <c r="F49" t="str">
        <f>"0000"</f>
        <v>0000</v>
      </c>
    </row>
    <row r="50" spans="1:6">
      <c r="A50" t="str">
        <f>"E1384-1"</f>
        <v>E1384-1</v>
      </c>
      <c r="B50" t="str">
        <f>"PIAZZA DELLA NUNZIATA  4-"</f>
        <v>PIAZZA DELLA NUNZIATA  4-</v>
      </c>
      <c r="C50" t="str">
        <f t="shared" si="4"/>
        <v>GEA</v>
      </c>
      <c r="D50">
        <v>80</v>
      </c>
      <c r="E50" t="str">
        <f>"221"</f>
        <v>221</v>
      </c>
      <c r="F50" t="str">
        <f>"5"</f>
        <v>5</v>
      </c>
    </row>
    <row r="51" spans="1:6">
      <c r="C51" t="str">
        <f t="shared" si="4"/>
        <v>GEA</v>
      </c>
      <c r="D51">
        <v>80</v>
      </c>
      <c r="E51" t="str">
        <f>"225"</f>
        <v>225</v>
      </c>
      <c r="F51" t="str">
        <f>"0000"</f>
        <v>0000</v>
      </c>
    </row>
    <row r="52" spans="1:6">
      <c r="A52" t="str">
        <f>"E1384-2"</f>
        <v>E1384-2</v>
      </c>
      <c r="B52" t="str">
        <f>"VIA DINO BELLUCCI  2-"</f>
        <v>VIA DINO BELLUCCI  2-</v>
      </c>
      <c r="C52" t="str">
        <f t="shared" si="4"/>
        <v>GEA</v>
      </c>
      <c r="D52">
        <v>80</v>
      </c>
      <c r="E52" t="str">
        <f>"221"</f>
        <v>221</v>
      </c>
      <c r="F52" t="str">
        <f>"2"</f>
        <v>2</v>
      </c>
    </row>
    <row r="53" spans="1:6">
      <c r="A53" t="str">
        <f>"E1384-3"</f>
        <v>E1384-3</v>
      </c>
      <c r="B53" t="str">
        <f>"VIA DINO BELLUCCI  2-"</f>
        <v>VIA DINO BELLUCCI  2-</v>
      </c>
      <c r="C53" t="str">
        <f t="shared" si="4"/>
        <v>GEA</v>
      </c>
      <c r="D53">
        <v>80</v>
      </c>
      <c r="E53" t="str">
        <f>"221"</f>
        <v>221</v>
      </c>
      <c r="F53" t="str">
        <f>"7"</f>
        <v>7</v>
      </c>
    </row>
    <row r="54" spans="1:6">
      <c r="A54" t="str">
        <f>"E1389-1"</f>
        <v>E1389-1</v>
      </c>
      <c r="B54" t="str">
        <f>"VIA DELLA CONCEZIONE  2-"</f>
        <v>VIA DELLA CONCEZIONE  2-</v>
      </c>
      <c r="C54" t="str">
        <f t="shared" si="4"/>
        <v>GEA</v>
      </c>
      <c r="D54">
        <v>94</v>
      </c>
      <c r="E54" t="str">
        <f>"320"</f>
        <v>320</v>
      </c>
      <c r="F54" t="str">
        <f t="shared" ref="F54:F59" si="5">"0000"</f>
        <v>0000</v>
      </c>
    </row>
    <row r="55" spans="1:6">
      <c r="C55" t="str">
        <f t="shared" si="4"/>
        <v>GEA</v>
      </c>
      <c r="D55">
        <v>94</v>
      </c>
      <c r="E55" t="str">
        <f>"321"</f>
        <v>321</v>
      </c>
      <c r="F55" t="str">
        <f t="shared" si="5"/>
        <v>0000</v>
      </c>
    </row>
    <row r="56" spans="1:6">
      <c r="A56" t="str">
        <f>"E1390-1"</f>
        <v>E1390-1</v>
      </c>
      <c r="B56" t="str">
        <f>"VIA DELLA CONCEZIONE  1-"</f>
        <v>VIA DELLA CONCEZIONE  1-</v>
      </c>
      <c r="C56" t="str">
        <f t="shared" si="4"/>
        <v>GEA</v>
      </c>
      <c r="D56">
        <v>94</v>
      </c>
      <c r="E56" t="str">
        <f>"323"</f>
        <v>323</v>
      </c>
      <c r="F56" t="str">
        <f t="shared" si="5"/>
        <v>0000</v>
      </c>
    </row>
    <row r="57" spans="1:6">
      <c r="C57" t="str">
        <f t="shared" si="4"/>
        <v>GEA</v>
      </c>
      <c r="D57">
        <v>94</v>
      </c>
      <c r="E57" t="str">
        <f>"358"</f>
        <v>358</v>
      </c>
      <c r="F57" t="str">
        <f t="shared" si="5"/>
        <v>0000</v>
      </c>
    </row>
    <row r="58" spans="1:6">
      <c r="C58" t="str">
        <f t="shared" si="4"/>
        <v>GEA</v>
      </c>
      <c r="D58">
        <v>94</v>
      </c>
      <c r="E58" t="str">
        <f>"359"</f>
        <v>359</v>
      </c>
      <c r="F58" t="str">
        <f t="shared" si="5"/>
        <v>0000</v>
      </c>
    </row>
    <row r="59" spans="1:6">
      <c r="C59" t="str">
        <f t="shared" si="4"/>
        <v>GEA</v>
      </c>
      <c r="D59">
        <v>94</v>
      </c>
      <c r="E59" t="str">
        <f>"357"</f>
        <v>357</v>
      </c>
      <c r="F59" t="str">
        <f t="shared" si="5"/>
        <v>0000</v>
      </c>
    </row>
    <row r="60" spans="1:6">
      <c r="A60" t="str">
        <f>"E1391-1"</f>
        <v>E1391-1</v>
      </c>
      <c r="B60" t="str">
        <f>"VIA GARIBALDI  11R-"</f>
        <v>VIA GARIBALDI  11R-</v>
      </c>
      <c r="C60" t="str">
        <f t="shared" si="4"/>
        <v>GEA</v>
      </c>
      <c r="D60">
        <v>94</v>
      </c>
      <c r="E60" t="str">
        <f>"430"</f>
        <v>430</v>
      </c>
      <c r="F60" t="str">
        <f>"2"</f>
        <v>2</v>
      </c>
    </row>
    <row r="61" spans="1:6">
      <c r="A61" t="str">
        <f>"E1391-2"</f>
        <v>E1391-2</v>
      </c>
      <c r="B61" t="str">
        <f>"VIA GARIBALDI  15R-"</f>
        <v>VIA GARIBALDI  15R-</v>
      </c>
      <c r="C61" t="str">
        <f t="shared" si="4"/>
        <v>GEA</v>
      </c>
      <c r="D61">
        <v>94</v>
      </c>
      <c r="E61" t="str">
        <f>"430"</f>
        <v>430</v>
      </c>
      <c r="F61" t="str">
        <f>"3"</f>
        <v>3</v>
      </c>
    </row>
    <row r="62" spans="1:6">
      <c r="A62" t="str">
        <f>"E1391-3"</f>
        <v>E1391-3</v>
      </c>
      <c r="B62" t="str">
        <f>"VIA GARIBALDI  19R-"</f>
        <v>VIA GARIBALDI  19R-</v>
      </c>
      <c r="C62" t="str">
        <f t="shared" si="4"/>
        <v>GEA</v>
      </c>
      <c r="D62">
        <v>94</v>
      </c>
      <c r="E62" t="str">
        <f>"430"</f>
        <v>430</v>
      </c>
      <c r="F62" t="str">
        <f>"1"</f>
        <v>1</v>
      </c>
    </row>
    <row r="63" spans="1:6">
      <c r="A63" t="str">
        <f>"E1391-4"</f>
        <v>E1391-4</v>
      </c>
      <c r="B63" t="str">
        <f>"VIA GARIBALDI  23R-"</f>
        <v>VIA GARIBALDI  23R-</v>
      </c>
      <c r="C63" t="str">
        <f t="shared" si="4"/>
        <v>GEA</v>
      </c>
      <c r="D63">
        <v>94</v>
      </c>
      <c r="E63" t="str">
        <f>"439"</f>
        <v>439</v>
      </c>
      <c r="F63" t="str">
        <f>"2"</f>
        <v>2</v>
      </c>
    </row>
    <row r="64" spans="1:6">
      <c r="A64" t="str">
        <f>"E1391-5"</f>
        <v>E1391-5</v>
      </c>
      <c r="B64" t="str">
        <f>"VIA GARIBALDI  27R-"</f>
        <v>VIA GARIBALDI  27R-</v>
      </c>
      <c r="C64" t="str">
        <f t="shared" si="4"/>
        <v>GEA</v>
      </c>
      <c r="D64">
        <v>94</v>
      </c>
      <c r="E64" t="str">
        <f>"439"</f>
        <v>439</v>
      </c>
      <c r="F64" t="str">
        <f>"1"</f>
        <v>1</v>
      </c>
    </row>
    <row r="65" spans="1:6">
      <c r="A65" t="str">
        <f>"E1391-6"</f>
        <v>E1391-6</v>
      </c>
      <c r="B65" t="str">
        <f>"VIA GARIBALDI  11-"</f>
        <v>VIA GARIBALDI  11-</v>
      </c>
      <c r="C65" t="str">
        <f t="shared" si="4"/>
        <v>GEA</v>
      </c>
      <c r="D65">
        <v>94</v>
      </c>
      <c r="E65" t="str">
        <f>"201"</f>
        <v>201</v>
      </c>
      <c r="F65" t="str">
        <f>"0000"</f>
        <v>0000</v>
      </c>
    </row>
    <row r="66" spans="1:6">
      <c r="C66" t="str">
        <f t="shared" ref="C66:C94" si="6">"GEA"</f>
        <v>GEA</v>
      </c>
      <c r="D66">
        <v>94</v>
      </c>
      <c r="E66" t="str">
        <f>"439"</f>
        <v>439</v>
      </c>
      <c r="F66" t="str">
        <f>"3"</f>
        <v>3</v>
      </c>
    </row>
    <row r="67" spans="1:6">
      <c r="C67" t="str">
        <f t="shared" si="6"/>
        <v>GEA</v>
      </c>
      <c r="D67">
        <v>94</v>
      </c>
      <c r="E67" t="str">
        <f>"430"</f>
        <v>430</v>
      </c>
      <c r="F67" t="str">
        <f>"4"</f>
        <v>4</v>
      </c>
    </row>
    <row r="68" spans="1:6">
      <c r="A68" t="str">
        <f>"E1391-7"</f>
        <v>E1391-7</v>
      </c>
      <c r="B68" t="str">
        <f>"VIA GARIBALDI  11-"</f>
        <v>VIA GARIBALDI  11-</v>
      </c>
      <c r="C68" t="str">
        <f t="shared" si="6"/>
        <v>GEA</v>
      </c>
      <c r="D68">
        <v>94</v>
      </c>
      <c r="E68" t="str">
        <f>"439"</f>
        <v>439</v>
      </c>
      <c r="F68" t="str">
        <f>"4"</f>
        <v>4</v>
      </c>
    </row>
    <row r="69" spans="1:6">
      <c r="A69" t="str">
        <f>"E1396-1"</f>
        <v>E1396-1</v>
      </c>
      <c r="B69" t="str">
        <f>"CORSO DOGALI  18-"</f>
        <v>CORSO DOGALI  18-</v>
      </c>
      <c r="C69" t="str">
        <f t="shared" si="6"/>
        <v>GEA</v>
      </c>
      <c r="D69">
        <v>78</v>
      </c>
      <c r="E69" t="str">
        <f>"184"</f>
        <v>184</v>
      </c>
      <c r="F69" t="str">
        <f t="shared" ref="F69:F77" si="7">"0000"</f>
        <v>0000</v>
      </c>
    </row>
    <row r="70" spans="1:6">
      <c r="C70" t="str">
        <f t="shared" si="6"/>
        <v>GEA</v>
      </c>
      <c r="D70">
        <v>78</v>
      </c>
      <c r="E70" t="str">
        <f>"186"</f>
        <v>186</v>
      </c>
      <c r="F70" t="str">
        <f t="shared" si="7"/>
        <v>0000</v>
      </c>
    </row>
    <row r="71" spans="1:6">
      <c r="C71" t="str">
        <f t="shared" si="6"/>
        <v>GEA</v>
      </c>
      <c r="D71">
        <v>78</v>
      </c>
      <c r="E71" t="str">
        <f>"187"</f>
        <v>187</v>
      </c>
      <c r="F71" t="str">
        <f t="shared" si="7"/>
        <v>0000</v>
      </c>
    </row>
    <row r="72" spans="1:6">
      <c r="C72" t="str">
        <f t="shared" si="6"/>
        <v>GEA</v>
      </c>
      <c r="D72">
        <v>79</v>
      </c>
      <c r="E72" t="str">
        <f>"48"</f>
        <v>48</v>
      </c>
      <c r="F72" t="str">
        <f t="shared" si="7"/>
        <v>0000</v>
      </c>
    </row>
    <row r="73" spans="1:6">
      <c r="C73" t="str">
        <f t="shared" si="6"/>
        <v>GEA</v>
      </c>
      <c r="D73">
        <v>79</v>
      </c>
      <c r="E73" t="str">
        <f>"536"</f>
        <v>536</v>
      </c>
      <c r="F73" t="str">
        <f t="shared" si="7"/>
        <v>0000</v>
      </c>
    </row>
    <row r="74" spans="1:6">
      <c r="C74" t="str">
        <f t="shared" si="6"/>
        <v>GEA</v>
      </c>
      <c r="D74">
        <v>79</v>
      </c>
      <c r="E74" t="str">
        <f>"537"</f>
        <v>537</v>
      </c>
      <c r="F74" t="str">
        <f t="shared" si="7"/>
        <v>0000</v>
      </c>
    </row>
    <row r="75" spans="1:6">
      <c r="C75" t="str">
        <f t="shared" si="6"/>
        <v>GEA</v>
      </c>
      <c r="D75">
        <v>79</v>
      </c>
      <c r="E75" t="str">
        <f>"535"</f>
        <v>535</v>
      </c>
      <c r="F75" t="str">
        <f t="shared" si="7"/>
        <v>0000</v>
      </c>
    </row>
    <row r="76" spans="1:6">
      <c r="A76" t="str">
        <f>"E1397-1"</f>
        <v>E1397-1</v>
      </c>
      <c r="B76" t="str">
        <f>"CORSO DOGALI  18-"</f>
        <v>CORSO DOGALI  18-</v>
      </c>
      <c r="C76" t="str">
        <f t="shared" si="6"/>
        <v>GEA</v>
      </c>
      <c r="D76">
        <v>78</v>
      </c>
      <c r="E76" t="str">
        <f>"185"</f>
        <v>185</v>
      </c>
      <c r="F76" t="str">
        <f t="shared" si="7"/>
        <v>0000</v>
      </c>
    </row>
    <row r="77" spans="1:6">
      <c r="A77" t="str">
        <f>"E1398-1"</f>
        <v>E1398-1</v>
      </c>
      <c r="B77" t="str">
        <f>"PIAZZA PEDRO FERREIRA VICINO AL 1A-"</f>
        <v>PIAZZA PEDRO FERREIRA VICINO AL 1A-</v>
      </c>
      <c r="C77" t="str">
        <f t="shared" si="6"/>
        <v>GEA</v>
      </c>
      <c r="D77">
        <v>78</v>
      </c>
      <c r="E77" t="str">
        <f>"101"</f>
        <v>101</v>
      </c>
      <c r="F77" t="str">
        <f t="shared" si="7"/>
        <v>0000</v>
      </c>
    </row>
    <row r="78" spans="1:6">
      <c r="A78" t="str">
        <f>"E1403-3"</f>
        <v>E1403-3</v>
      </c>
      <c r="B78" t="str">
        <f>"VICO ANGELI VICINO AL 30R-"</f>
        <v>VICO ANGELI VICINO AL 30R-</v>
      </c>
      <c r="C78" t="str">
        <f t="shared" si="6"/>
        <v>GEA</v>
      </c>
      <c r="D78">
        <v>95</v>
      </c>
      <c r="E78" t="str">
        <f>"21"</f>
        <v>21</v>
      </c>
      <c r="F78" t="str">
        <f>"3"</f>
        <v>3</v>
      </c>
    </row>
    <row r="79" spans="1:6">
      <c r="C79" t="str">
        <f t="shared" si="6"/>
        <v>GEA</v>
      </c>
      <c r="D79">
        <v>95</v>
      </c>
      <c r="E79" t="str">
        <f>"26"</f>
        <v>26</v>
      </c>
      <c r="F79" t="str">
        <f>"2"</f>
        <v>2</v>
      </c>
    </row>
    <row r="80" spans="1:6">
      <c r="A80" t="str">
        <f>"E1403-11"</f>
        <v>E1403-11</v>
      </c>
      <c r="B80" t="str">
        <f>"VICO ANGELI  30R-"</f>
        <v>VICO ANGELI  30R-</v>
      </c>
      <c r="C80" t="str">
        <f t="shared" si="6"/>
        <v>GEA</v>
      </c>
      <c r="D80">
        <v>95</v>
      </c>
      <c r="E80" t="str">
        <f>"21"</f>
        <v>21</v>
      </c>
      <c r="F80" t="str">
        <f>"10"</f>
        <v>10</v>
      </c>
    </row>
    <row r="81" spans="1:6">
      <c r="A81" t="str">
        <f>"E1404-1"</f>
        <v>E1404-1</v>
      </c>
      <c r="B81" t="str">
        <f>"VICO SAN PASQUALE VICINO AL 1-"</f>
        <v>VICO SAN PASQUALE VICINO AL 1-</v>
      </c>
      <c r="C81" t="str">
        <f t="shared" si="6"/>
        <v>GEA</v>
      </c>
      <c r="D81">
        <v>95</v>
      </c>
      <c r="E81" t="str">
        <f t="shared" ref="E81:E94" si="8">"17"</f>
        <v>17</v>
      </c>
      <c r="F81" t="str">
        <f>"1"</f>
        <v>1</v>
      </c>
    </row>
    <row r="82" spans="1:6">
      <c r="A82" t="str">
        <f>"E1404-2"</f>
        <v>E1404-2</v>
      </c>
      <c r="B82" t="str">
        <f>"VICO SAN PASQUALE  11R-"</f>
        <v>VICO SAN PASQUALE  11R-</v>
      </c>
      <c r="C82" t="str">
        <f t="shared" si="6"/>
        <v>GEA</v>
      </c>
      <c r="D82">
        <v>95</v>
      </c>
      <c r="E82" t="str">
        <f t="shared" si="8"/>
        <v>17</v>
      </c>
      <c r="F82" t="str">
        <f>"2"</f>
        <v>2</v>
      </c>
    </row>
    <row r="83" spans="1:6">
      <c r="A83" t="str">
        <f>"E1404-3"</f>
        <v>E1404-3</v>
      </c>
      <c r="B83" t="str">
        <f>"VICO BRIGNOLE  12R-"</f>
        <v>VICO BRIGNOLE  12R-</v>
      </c>
      <c r="C83" t="str">
        <f t="shared" si="6"/>
        <v>GEA</v>
      </c>
      <c r="D83">
        <v>95</v>
      </c>
      <c r="E83" t="str">
        <f t="shared" si="8"/>
        <v>17</v>
      </c>
      <c r="F83" t="str">
        <f>"12"</f>
        <v>12</v>
      </c>
    </row>
    <row r="84" spans="1:6">
      <c r="A84" t="str">
        <f>"E1404-4"</f>
        <v>E1404-4</v>
      </c>
      <c r="B84" t="str">
        <f>"VICO SAN PASQUALE  13R-"</f>
        <v>VICO SAN PASQUALE  13R-</v>
      </c>
      <c r="C84" t="str">
        <f t="shared" si="6"/>
        <v>GEA</v>
      </c>
      <c r="D84">
        <v>95</v>
      </c>
      <c r="E84" t="str">
        <f t="shared" si="8"/>
        <v>17</v>
      </c>
      <c r="F84" t="str">
        <f>"3"</f>
        <v>3</v>
      </c>
    </row>
    <row r="85" spans="1:6">
      <c r="A85" t="str">
        <f>"E1404-5"</f>
        <v>E1404-5</v>
      </c>
      <c r="B85" t="str">
        <f>"VICO SAN PASQUALE  15R-"</f>
        <v>VICO SAN PASQUALE  15R-</v>
      </c>
      <c r="C85" t="str">
        <f t="shared" si="6"/>
        <v>GEA</v>
      </c>
      <c r="D85">
        <v>95</v>
      </c>
      <c r="E85" t="str">
        <f t="shared" si="8"/>
        <v>17</v>
      </c>
      <c r="F85" t="str">
        <f>"4"</f>
        <v>4</v>
      </c>
    </row>
    <row r="86" spans="1:6">
      <c r="A86" t="str">
        <f>"E1404-6"</f>
        <v>E1404-6</v>
      </c>
      <c r="B86" t="str">
        <f>"V QUATTRO CANTI SAN FRANC  47R-"</f>
        <v>V QUATTRO CANTI SAN FRANC  47R-</v>
      </c>
      <c r="C86" t="str">
        <f t="shared" si="6"/>
        <v>GEA</v>
      </c>
      <c r="D86">
        <v>95</v>
      </c>
      <c r="E86" t="str">
        <f t="shared" si="8"/>
        <v>17</v>
      </c>
      <c r="F86" t="str">
        <f>"5"</f>
        <v>5</v>
      </c>
    </row>
    <row r="87" spans="1:6">
      <c r="A87" t="str">
        <f>"E1404-7"</f>
        <v>E1404-7</v>
      </c>
      <c r="B87" t="str">
        <f>"V QUATTRO CANTI SAN FRANC  49R-"</f>
        <v>V QUATTRO CANTI SAN FRANC  49R-</v>
      </c>
      <c r="C87" t="str">
        <f t="shared" si="6"/>
        <v>GEA</v>
      </c>
      <c r="D87">
        <v>95</v>
      </c>
      <c r="E87" t="str">
        <f t="shared" si="8"/>
        <v>17</v>
      </c>
      <c r="F87" t="str">
        <f>"6"</f>
        <v>6</v>
      </c>
    </row>
    <row r="88" spans="1:6">
      <c r="A88" t="str">
        <f>"E1404-8"</f>
        <v>E1404-8</v>
      </c>
      <c r="B88" t="str">
        <f>"V QUATTRO CANTI SAN FRANC  53R-"</f>
        <v>V QUATTRO CANTI SAN FRANC  53R-</v>
      </c>
      <c r="C88" t="str">
        <f t="shared" si="6"/>
        <v>GEA</v>
      </c>
      <c r="D88">
        <v>95</v>
      </c>
      <c r="E88" t="str">
        <f t="shared" si="8"/>
        <v>17</v>
      </c>
      <c r="F88" t="str">
        <f>"7"</f>
        <v>7</v>
      </c>
    </row>
    <row r="89" spans="1:6">
      <c r="A89" t="str">
        <f>"E1404-9"</f>
        <v>E1404-9</v>
      </c>
      <c r="B89" t="str">
        <f>"VICO BRIGNOLE  2R-"</f>
        <v>VICO BRIGNOLE  2R-</v>
      </c>
      <c r="C89" t="str">
        <f t="shared" si="6"/>
        <v>GEA</v>
      </c>
      <c r="D89">
        <v>95</v>
      </c>
      <c r="E89" t="str">
        <f t="shared" si="8"/>
        <v>17</v>
      </c>
      <c r="F89" t="str">
        <f>"8"</f>
        <v>8</v>
      </c>
    </row>
    <row r="90" spans="1:6">
      <c r="A90" t="str">
        <f>"E1404-10"</f>
        <v>E1404-10</v>
      </c>
      <c r="B90" t="str">
        <f>"VICO BRIGNOLE  6R-"</f>
        <v>VICO BRIGNOLE  6R-</v>
      </c>
      <c r="C90" t="str">
        <f t="shared" si="6"/>
        <v>GEA</v>
      </c>
      <c r="D90">
        <v>95</v>
      </c>
      <c r="E90" t="str">
        <f t="shared" si="8"/>
        <v>17</v>
      </c>
      <c r="F90" t="str">
        <f>"9"</f>
        <v>9</v>
      </c>
    </row>
    <row r="91" spans="1:6">
      <c r="A91" t="str">
        <f>"E1404-11"</f>
        <v>E1404-11</v>
      </c>
      <c r="B91" t="str">
        <f>"VICO BRIGNOLE  8R-"</f>
        <v>VICO BRIGNOLE  8R-</v>
      </c>
      <c r="C91" t="str">
        <f t="shared" si="6"/>
        <v>GEA</v>
      </c>
      <c r="D91">
        <v>95</v>
      </c>
      <c r="E91" t="str">
        <f t="shared" si="8"/>
        <v>17</v>
      </c>
      <c r="F91" t="str">
        <f>"10"</f>
        <v>10</v>
      </c>
    </row>
    <row r="92" spans="1:6">
      <c r="A92" t="str">
        <f>"E1404-12"</f>
        <v>E1404-12</v>
      </c>
      <c r="B92" t="str">
        <f>"VICO BRIGNOLE  10R-"</f>
        <v>VICO BRIGNOLE  10R-</v>
      </c>
      <c r="C92" t="str">
        <f t="shared" si="6"/>
        <v>GEA</v>
      </c>
      <c r="D92">
        <v>95</v>
      </c>
      <c r="E92" t="str">
        <f t="shared" si="8"/>
        <v>17</v>
      </c>
      <c r="F92" t="str">
        <f>"11"</f>
        <v>11</v>
      </c>
    </row>
    <row r="93" spans="1:6">
      <c r="A93" t="str">
        <f>"E1404-13"</f>
        <v>E1404-13</v>
      </c>
      <c r="B93" t="str">
        <f>"VICO BRIGNOLE  14R-"</f>
        <v>VICO BRIGNOLE  14R-</v>
      </c>
      <c r="C93" t="str">
        <f t="shared" si="6"/>
        <v>GEA</v>
      </c>
      <c r="D93">
        <v>95</v>
      </c>
      <c r="E93" t="str">
        <f t="shared" si="8"/>
        <v>17</v>
      </c>
      <c r="F93" t="str">
        <f>"13"</f>
        <v>13</v>
      </c>
    </row>
    <row r="94" spans="1:6">
      <c r="A94" t="str">
        <f>"E1404-14"</f>
        <v>E1404-14</v>
      </c>
      <c r="B94" t="str">
        <f>"VICO SAN PASQUALE  1-"</f>
        <v>VICO SAN PASQUALE  1-</v>
      </c>
      <c r="C94" t="str">
        <f t="shared" si="6"/>
        <v>GEA</v>
      </c>
      <c r="D94">
        <v>95</v>
      </c>
      <c r="E94" t="str">
        <f t="shared" si="8"/>
        <v>17</v>
      </c>
      <c r="F94" t="str">
        <f>"14"</f>
        <v>14</v>
      </c>
    </row>
    <row r="95" spans="1:6">
      <c r="A95" t="str">
        <f>"E1404-15"</f>
        <v>E1404-15</v>
      </c>
      <c r="B95" t="str">
        <f t="shared" ref="B95:B101" si="9">"VICO SAN PASQUALE  3-"</f>
        <v>VICO SAN PASQUALE  3-</v>
      </c>
      <c r="C95" t="str">
        <f>"1"</f>
        <v>1</v>
      </c>
      <c r="D95">
        <v>45</v>
      </c>
      <c r="E95" t="str">
        <f>"184"</f>
        <v>184</v>
      </c>
      <c r="F95" t="str">
        <f>"0000"</f>
        <v>0000</v>
      </c>
    </row>
    <row r="96" spans="1:6">
      <c r="A96" t="str">
        <f>"E1404-19"</f>
        <v>E1404-19</v>
      </c>
      <c r="B96" t="str">
        <f t="shared" si="9"/>
        <v>VICO SAN PASQUALE  3-</v>
      </c>
      <c r="C96" t="str">
        <f>"GEA"</f>
        <v>GEA</v>
      </c>
      <c r="D96">
        <v>95</v>
      </c>
      <c r="E96" t="str">
        <f>"17"</f>
        <v>17</v>
      </c>
      <c r="F96" t="str">
        <f>"18"</f>
        <v>18</v>
      </c>
    </row>
    <row r="97" spans="1:6">
      <c r="A97" t="str">
        <f>"E1404-20"</f>
        <v>E1404-20</v>
      </c>
      <c r="B97" t="str">
        <f t="shared" si="9"/>
        <v>VICO SAN PASQUALE  3-</v>
      </c>
      <c r="C97" t="str">
        <f>"1"</f>
        <v>1</v>
      </c>
      <c r="D97">
        <v>45</v>
      </c>
      <c r="E97" t="str">
        <f>"184"</f>
        <v>184</v>
      </c>
      <c r="F97" t="str">
        <f>"0000"</f>
        <v>0000</v>
      </c>
    </row>
    <row r="98" spans="1:6">
      <c r="A98" t="str">
        <f>"E1404-21"</f>
        <v>E1404-21</v>
      </c>
      <c r="B98" t="str">
        <f t="shared" si="9"/>
        <v>VICO SAN PASQUALE  3-</v>
      </c>
      <c r="C98" t="str">
        <f t="shared" ref="C98:C106" si="10">"GEA"</f>
        <v>GEA</v>
      </c>
      <c r="D98">
        <v>95</v>
      </c>
      <c r="E98" t="str">
        <f t="shared" ref="E98:E106" si="11">"17"</f>
        <v>17</v>
      </c>
      <c r="F98" t="str">
        <f>"19"</f>
        <v>19</v>
      </c>
    </row>
    <row r="99" spans="1:6">
      <c r="A99" t="str">
        <f>"E1404-22"</f>
        <v>E1404-22</v>
      </c>
      <c r="B99" t="str">
        <f t="shared" si="9"/>
        <v>VICO SAN PASQUALE  3-</v>
      </c>
      <c r="C99" t="str">
        <f t="shared" si="10"/>
        <v>GEA</v>
      </c>
      <c r="D99">
        <v>95</v>
      </c>
      <c r="E99" t="str">
        <f t="shared" si="11"/>
        <v>17</v>
      </c>
      <c r="F99" t="str">
        <f>"20"</f>
        <v>20</v>
      </c>
    </row>
    <row r="100" spans="1:6">
      <c r="A100" t="str">
        <f>"E1404-23"</f>
        <v>E1404-23</v>
      </c>
      <c r="B100" t="str">
        <f t="shared" si="9"/>
        <v>VICO SAN PASQUALE  3-</v>
      </c>
      <c r="C100" t="str">
        <f t="shared" si="10"/>
        <v>GEA</v>
      </c>
      <c r="D100">
        <v>95</v>
      </c>
      <c r="E100" t="str">
        <f t="shared" si="11"/>
        <v>17</v>
      </c>
      <c r="F100" t="str">
        <f>"21"</f>
        <v>21</v>
      </c>
    </row>
    <row r="101" spans="1:6">
      <c r="A101" t="str">
        <f>"E1404-24"</f>
        <v>E1404-24</v>
      </c>
      <c r="B101" t="str">
        <f t="shared" si="9"/>
        <v>VICO SAN PASQUALE  3-</v>
      </c>
      <c r="C101" t="str">
        <f t="shared" si="10"/>
        <v>GEA</v>
      </c>
      <c r="D101">
        <v>95</v>
      </c>
      <c r="E101" t="str">
        <f t="shared" si="11"/>
        <v>17</v>
      </c>
      <c r="F101" t="str">
        <f>"33"</f>
        <v>33</v>
      </c>
    </row>
    <row r="102" spans="1:6">
      <c r="A102" t="str">
        <f>"E1404-25"</f>
        <v>E1404-25</v>
      </c>
      <c r="B102" t="str">
        <f>"VICO BRIGNOLE  2-"</f>
        <v>VICO BRIGNOLE  2-</v>
      </c>
      <c r="C102" t="str">
        <f t="shared" si="10"/>
        <v>GEA</v>
      </c>
      <c r="D102">
        <v>95</v>
      </c>
      <c r="E102" t="str">
        <f t="shared" si="11"/>
        <v>17</v>
      </c>
      <c r="F102" t="str">
        <f>"22"</f>
        <v>22</v>
      </c>
    </row>
    <row r="103" spans="1:6">
      <c r="A103" t="str">
        <f>"E1404-26"</f>
        <v>E1404-26</v>
      </c>
      <c r="B103" t="str">
        <f>"VICO BRIGNOLE  2-"</f>
        <v>VICO BRIGNOLE  2-</v>
      </c>
      <c r="C103" t="str">
        <f t="shared" si="10"/>
        <v>GEA</v>
      </c>
      <c r="D103">
        <v>95</v>
      </c>
      <c r="E103" t="str">
        <f t="shared" si="11"/>
        <v>17</v>
      </c>
      <c r="F103" t="str">
        <f>"23"</f>
        <v>23</v>
      </c>
    </row>
    <row r="104" spans="1:6">
      <c r="A104" t="str">
        <f>"E1404-27"</f>
        <v>E1404-27</v>
      </c>
      <c r="B104" t="str">
        <f>"VICO BRIGNOLE  2-"</f>
        <v>VICO BRIGNOLE  2-</v>
      </c>
      <c r="C104" t="str">
        <f t="shared" si="10"/>
        <v>GEA</v>
      </c>
      <c r="D104">
        <v>95</v>
      </c>
      <c r="E104" t="str">
        <f t="shared" si="11"/>
        <v>17</v>
      </c>
      <c r="F104" t="str">
        <f>"24"</f>
        <v>24</v>
      </c>
    </row>
    <row r="105" spans="1:6">
      <c r="A105" t="str">
        <f>"E1404-28"</f>
        <v>E1404-28</v>
      </c>
      <c r="B105" t="str">
        <f>"VICO BRIGNOLE  2-"</f>
        <v>VICO BRIGNOLE  2-</v>
      </c>
      <c r="C105" t="str">
        <f t="shared" si="10"/>
        <v>GEA</v>
      </c>
      <c r="D105">
        <v>95</v>
      </c>
      <c r="E105" t="str">
        <f t="shared" si="11"/>
        <v>17</v>
      </c>
      <c r="F105" t="str">
        <f>"25"</f>
        <v>25</v>
      </c>
    </row>
    <row r="106" spans="1:6">
      <c r="A106" t="str">
        <f>"E1404-29"</f>
        <v>E1404-29</v>
      </c>
      <c r="B106" t="str">
        <f>"VICO BRIGNOLE  2-"</f>
        <v>VICO BRIGNOLE  2-</v>
      </c>
      <c r="C106" t="str">
        <f t="shared" si="10"/>
        <v>GEA</v>
      </c>
      <c r="D106">
        <v>95</v>
      </c>
      <c r="E106" t="str">
        <f t="shared" si="11"/>
        <v>17</v>
      </c>
      <c r="F106" t="str">
        <f>"26"</f>
        <v>26</v>
      </c>
    </row>
    <row r="107" spans="1:6">
      <c r="A107" t="str">
        <f>"E1404-35"</f>
        <v>E1404-35</v>
      </c>
      <c r="B107" t="str">
        <f>"VICO SAN PASQUALE  3-"</f>
        <v>VICO SAN PASQUALE  3-</v>
      </c>
      <c r="C107" t="str">
        <f>"1"</f>
        <v>1</v>
      </c>
      <c r="D107">
        <v>45</v>
      </c>
      <c r="E107" t="str">
        <f>"184"</f>
        <v>184</v>
      </c>
      <c r="F107" t="str">
        <f>"0000"</f>
        <v>0000</v>
      </c>
    </row>
    <row r="108" spans="1:6">
      <c r="A108" t="str">
        <f>"E1404-37"</f>
        <v>E1404-37</v>
      </c>
      <c r="B108" t="str">
        <f>"VIA GARIBALDI  18-"</f>
        <v>VIA GARIBALDI  18-</v>
      </c>
      <c r="C108" t="str">
        <f>"1"</f>
        <v>1</v>
      </c>
      <c r="D108">
        <v>45</v>
      </c>
      <c r="E108" t="str">
        <f>"184"</f>
        <v>184</v>
      </c>
      <c r="F108" t="str">
        <f>"0000"</f>
        <v>0000</v>
      </c>
    </row>
    <row r="109" spans="1:6">
      <c r="A109" t="str">
        <f>"E1404-38"</f>
        <v>E1404-38</v>
      </c>
      <c r="B109" t="str">
        <f>"VICO SAN PASQUALE  3-"</f>
        <v>VICO SAN PASQUALE  3-</v>
      </c>
      <c r="C109" t="str">
        <f t="shared" ref="C109:C125" si="12">"GEA"</f>
        <v>GEA</v>
      </c>
      <c r="D109">
        <v>95</v>
      </c>
      <c r="E109" t="str">
        <f>"17"</f>
        <v>17</v>
      </c>
      <c r="F109" t="str">
        <f>"17"</f>
        <v>17</v>
      </c>
    </row>
    <row r="110" spans="1:6">
      <c r="A110" t="str">
        <f>"E1405-1"</f>
        <v>E1405-1</v>
      </c>
      <c r="B110" t="str">
        <f>"VIA GARIBALDI  14R-"</f>
        <v>VIA GARIBALDI  14R-</v>
      </c>
      <c r="C110" t="str">
        <f t="shared" si="12"/>
        <v>GEA</v>
      </c>
      <c r="D110">
        <v>94</v>
      </c>
      <c r="E110" t="str">
        <f t="shared" ref="E110:E125" si="13">"427"</f>
        <v>427</v>
      </c>
      <c r="F110" t="str">
        <f>"1"</f>
        <v>1</v>
      </c>
    </row>
    <row r="111" spans="1:6">
      <c r="A111" t="str">
        <f>"E1405-2"</f>
        <v>E1405-2</v>
      </c>
      <c r="B111" t="str">
        <f>"VIA GARIBALDI  16R-"</f>
        <v>VIA GARIBALDI  16R-</v>
      </c>
      <c r="C111" t="str">
        <f t="shared" si="12"/>
        <v>GEA</v>
      </c>
      <c r="D111">
        <v>94</v>
      </c>
      <c r="E111" t="str">
        <f t="shared" si="13"/>
        <v>427</v>
      </c>
      <c r="F111" t="str">
        <f>"2"</f>
        <v>2</v>
      </c>
    </row>
    <row r="112" spans="1:6">
      <c r="A112" t="str">
        <f>"E1405-3"</f>
        <v>E1405-3</v>
      </c>
      <c r="B112" t="str">
        <f>"VIA GARIBALDI  18R-"</f>
        <v>VIA GARIBALDI  18R-</v>
      </c>
      <c r="C112" t="str">
        <f t="shared" si="12"/>
        <v>GEA</v>
      </c>
      <c r="D112">
        <v>94</v>
      </c>
      <c r="E112" t="str">
        <f t="shared" si="13"/>
        <v>427</v>
      </c>
      <c r="F112" t="str">
        <f>"3"</f>
        <v>3</v>
      </c>
    </row>
    <row r="113" spans="1:6">
      <c r="A113" t="str">
        <f>"E1405-4"</f>
        <v>E1405-4</v>
      </c>
      <c r="B113" t="str">
        <f>"VIA GARIBALDI  20R-"</f>
        <v>VIA GARIBALDI  20R-</v>
      </c>
      <c r="C113" t="str">
        <f t="shared" si="12"/>
        <v>GEA</v>
      </c>
      <c r="D113">
        <v>94</v>
      </c>
      <c r="E113" t="str">
        <f t="shared" si="13"/>
        <v>427</v>
      </c>
      <c r="F113" t="str">
        <f>"4"</f>
        <v>4</v>
      </c>
    </row>
    <row r="114" spans="1:6">
      <c r="A114" t="str">
        <f>"E1405-5"</f>
        <v>E1405-5</v>
      </c>
      <c r="B114" t="str">
        <f>"VIA GARIBALDI  22R-"</f>
        <v>VIA GARIBALDI  22R-</v>
      </c>
      <c r="C114" t="str">
        <f t="shared" si="12"/>
        <v>GEA</v>
      </c>
      <c r="D114">
        <v>94</v>
      </c>
      <c r="E114" t="str">
        <f t="shared" si="13"/>
        <v>427</v>
      </c>
      <c r="F114" t="str">
        <f>"5"</f>
        <v>5</v>
      </c>
    </row>
    <row r="115" spans="1:6">
      <c r="A115" t="str">
        <f>"E1405-6"</f>
        <v>E1405-6</v>
      </c>
      <c r="B115" t="str">
        <f>"VIA GARIBALDI  24R-"</f>
        <v>VIA GARIBALDI  24R-</v>
      </c>
      <c r="C115" t="str">
        <f t="shared" si="12"/>
        <v>GEA</v>
      </c>
      <c r="D115">
        <v>94</v>
      </c>
      <c r="E115" t="str">
        <f t="shared" si="13"/>
        <v>427</v>
      </c>
      <c r="F115" t="str">
        <f>"6"</f>
        <v>6</v>
      </c>
    </row>
    <row r="116" spans="1:6">
      <c r="A116" t="str">
        <f>"E1405-7"</f>
        <v>E1405-7</v>
      </c>
      <c r="B116" t="str">
        <f>"V QUATTRO CANTI SAN FRANC  57R-"</f>
        <v>V QUATTRO CANTI SAN FRANC  57R-</v>
      </c>
      <c r="C116" t="str">
        <f t="shared" si="12"/>
        <v>GEA</v>
      </c>
      <c r="D116">
        <v>94</v>
      </c>
      <c r="E116" t="str">
        <f t="shared" si="13"/>
        <v>427</v>
      </c>
      <c r="F116" t="str">
        <f>"7"</f>
        <v>7</v>
      </c>
    </row>
    <row r="117" spans="1:6">
      <c r="A117" t="str">
        <f>"E1405-8"</f>
        <v>E1405-8</v>
      </c>
      <c r="B117" t="str">
        <f>"V QUATTRO CANTI SAN FRANC VICINO AL 57R-"</f>
        <v>V QUATTRO CANTI SAN FRANC VICINO AL 57R-</v>
      </c>
      <c r="C117" t="str">
        <f t="shared" si="12"/>
        <v>GEA</v>
      </c>
      <c r="D117">
        <v>94</v>
      </c>
      <c r="E117" t="str">
        <f t="shared" si="13"/>
        <v>427</v>
      </c>
      <c r="F117" t="str">
        <f>"8"</f>
        <v>8</v>
      </c>
    </row>
    <row r="118" spans="1:6">
      <c r="A118" t="str">
        <f>"E1405-9"</f>
        <v>E1405-9</v>
      </c>
      <c r="B118" t="str">
        <f>"VICO BRIGNOLE  13R-"</f>
        <v>VICO BRIGNOLE  13R-</v>
      </c>
      <c r="C118" t="str">
        <f t="shared" si="12"/>
        <v>GEA</v>
      </c>
      <c r="D118">
        <v>94</v>
      </c>
      <c r="E118" t="str">
        <f t="shared" si="13"/>
        <v>427</v>
      </c>
      <c r="F118" t="str">
        <f>"20"</f>
        <v>20</v>
      </c>
    </row>
    <row r="119" spans="1:6">
      <c r="A119" t="str">
        <f>"E1405-10"</f>
        <v>E1405-10</v>
      </c>
      <c r="B119" t="str">
        <f>"VICO BRIGNOLE  11R-"</f>
        <v>VICO BRIGNOLE  11R-</v>
      </c>
      <c r="C119" t="str">
        <f t="shared" si="12"/>
        <v>GEA</v>
      </c>
      <c r="D119">
        <v>94</v>
      </c>
      <c r="E119" t="str">
        <f t="shared" si="13"/>
        <v>427</v>
      </c>
      <c r="F119" t="str">
        <f>"18"</f>
        <v>18</v>
      </c>
    </row>
    <row r="120" spans="1:6">
      <c r="A120" t="str">
        <f>"E1405-11"</f>
        <v>E1405-11</v>
      </c>
      <c r="B120" t="str">
        <f>"VICO BRIGNOLE  9R-"</f>
        <v>VICO BRIGNOLE  9R-</v>
      </c>
      <c r="C120" t="str">
        <f t="shared" si="12"/>
        <v>GEA</v>
      </c>
      <c r="D120">
        <v>94</v>
      </c>
      <c r="E120" t="str">
        <f t="shared" si="13"/>
        <v>427</v>
      </c>
      <c r="F120" t="str">
        <f>"19"</f>
        <v>19</v>
      </c>
    </row>
    <row r="121" spans="1:6">
      <c r="A121" t="str">
        <f>"E1405-12"</f>
        <v>E1405-12</v>
      </c>
      <c r="B121" t="str">
        <f>"VICO BRIGNOLE  7R-"</f>
        <v>VICO BRIGNOLE  7R-</v>
      </c>
      <c r="C121" t="str">
        <f t="shared" si="12"/>
        <v>GEA</v>
      </c>
      <c r="D121">
        <v>94</v>
      </c>
      <c r="E121" t="str">
        <f t="shared" si="13"/>
        <v>427</v>
      </c>
      <c r="F121" t="str">
        <f>"12"</f>
        <v>12</v>
      </c>
    </row>
    <row r="122" spans="1:6">
      <c r="A122" t="str">
        <f>"E1405-13"</f>
        <v>E1405-13</v>
      </c>
      <c r="B122" t="str">
        <f>"VICO BRIGNOLE  5R-"</f>
        <v>VICO BRIGNOLE  5R-</v>
      </c>
      <c r="C122" t="str">
        <f t="shared" si="12"/>
        <v>GEA</v>
      </c>
      <c r="D122">
        <v>94</v>
      </c>
      <c r="E122" t="str">
        <f t="shared" si="13"/>
        <v>427</v>
      </c>
      <c r="F122" t="str">
        <f>"13"</f>
        <v>13</v>
      </c>
    </row>
    <row r="123" spans="1:6">
      <c r="A123" t="str">
        <f>"E1405-14"</f>
        <v>E1405-14</v>
      </c>
      <c r="B123" t="str">
        <f>"VICO BRIGNOLE  3R-"</f>
        <v>VICO BRIGNOLE  3R-</v>
      </c>
      <c r="C123" t="str">
        <f t="shared" si="12"/>
        <v>GEA</v>
      </c>
      <c r="D123">
        <v>94</v>
      </c>
      <c r="E123" t="str">
        <f t="shared" si="13"/>
        <v>427</v>
      </c>
      <c r="F123" t="str">
        <f>"14"</f>
        <v>14</v>
      </c>
    </row>
    <row r="124" spans="1:6">
      <c r="A124" t="str">
        <f>"E1405-15"</f>
        <v>E1405-15</v>
      </c>
      <c r="B124" t="str">
        <f>"VICO BRIGNOLE  1R-"</f>
        <v>VICO BRIGNOLE  1R-</v>
      </c>
      <c r="C124" t="str">
        <f t="shared" si="12"/>
        <v>GEA</v>
      </c>
      <c r="D124">
        <v>94</v>
      </c>
      <c r="E124" t="str">
        <f t="shared" si="13"/>
        <v>427</v>
      </c>
      <c r="F124" t="str">
        <f>"15"</f>
        <v>15</v>
      </c>
    </row>
    <row r="125" spans="1:6">
      <c r="A125" t="str">
        <f>"E1405-16"</f>
        <v>E1405-16</v>
      </c>
      <c r="B125" t="str">
        <f>"VIA GARIBALDI  20-"</f>
        <v>VIA GARIBALDI  20-</v>
      </c>
      <c r="C125" t="str">
        <f t="shared" si="12"/>
        <v>GEA</v>
      </c>
      <c r="D125">
        <v>94</v>
      </c>
      <c r="E125" t="str">
        <f t="shared" si="13"/>
        <v>427</v>
      </c>
      <c r="F125" t="str">
        <f>"16"</f>
        <v>16</v>
      </c>
    </row>
    <row r="126" spans="1:6">
      <c r="A126" t="str">
        <f>"E1405-17"</f>
        <v>E1405-17</v>
      </c>
      <c r="B126" t="str">
        <f>"VIA GARIBALDI  20-"</f>
        <v>VIA GARIBALDI  20-</v>
      </c>
      <c r="C126" t="str">
        <f>"1"</f>
        <v>1</v>
      </c>
      <c r="D126">
        <v>45</v>
      </c>
      <c r="E126" t="str">
        <f>"183"</f>
        <v>183</v>
      </c>
      <c r="F126" t="str">
        <f>"0000"</f>
        <v>0000</v>
      </c>
    </row>
    <row r="127" spans="1:6">
      <c r="A127" t="str">
        <f>"E1405-18"</f>
        <v>E1405-18</v>
      </c>
      <c r="B127" t="str">
        <f>"VIA GARIBALDI  20-"</f>
        <v>VIA GARIBALDI  20-</v>
      </c>
      <c r="C127" t="str">
        <f>"1"</f>
        <v>1</v>
      </c>
      <c r="D127">
        <v>45</v>
      </c>
      <c r="E127" t="str">
        <f>"183"</f>
        <v>183</v>
      </c>
      <c r="F127" t="str">
        <f>"0000"</f>
        <v>0000</v>
      </c>
    </row>
    <row r="128" spans="1:6">
      <c r="A128" t="str">
        <f>"E1405-19"</f>
        <v>E1405-19</v>
      </c>
      <c r="B128" t="str">
        <f>"VIA GARIBALDI  20-"</f>
        <v>VIA GARIBALDI  20-</v>
      </c>
      <c r="C128" t="str">
        <f>"GEA"</f>
        <v>GEA</v>
      </c>
      <c r="D128">
        <v>94</v>
      </c>
      <c r="E128" t="str">
        <f>"427"</f>
        <v>427</v>
      </c>
      <c r="F128" t="str">
        <f>"17"</f>
        <v>17</v>
      </c>
    </row>
    <row r="129" spans="1:6">
      <c r="A129" t="str">
        <f>"E1405-20"</f>
        <v>E1405-20</v>
      </c>
      <c r="B129" t="str">
        <f>"VIA GARIBALDI  20-"</f>
        <v>VIA GARIBALDI  20-</v>
      </c>
      <c r="C129" t="str">
        <f>"1"</f>
        <v>1</v>
      </c>
      <c r="D129">
        <v>45</v>
      </c>
      <c r="E129" t="str">
        <f>"183"</f>
        <v>183</v>
      </c>
      <c r="F129" t="str">
        <f>"0000"</f>
        <v>0000</v>
      </c>
    </row>
    <row r="130" spans="1:6">
      <c r="A130" t="str">
        <f>"E1413-1"</f>
        <v>E1413-1</v>
      </c>
      <c r="B130" t="str">
        <f>"VIA LOMELLINI VICINO AL 40R-"</f>
        <v>VIA LOMELLINI VICINO AL 40R-</v>
      </c>
      <c r="C130" t="str">
        <f t="shared" ref="C130:C156" si="14">"GEA"</f>
        <v>GEA</v>
      </c>
      <c r="D130">
        <v>81</v>
      </c>
      <c r="E130" t="str">
        <f>"98"</f>
        <v>98</v>
      </c>
      <c r="F130" t="str">
        <f>"1"</f>
        <v>1</v>
      </c>
    </row>
    <row r="131" spans="1:6">
      <c r="C131" t="str">
        <f t="shared" si="14"/>
        <v>GEA</v>
      </c>
      <c r="D131">
        <v>81</v>
      </c>
      <c r="E131" t="str">
        <f>"B"</f>
        <v>B</v>
      </c>
      <c r="F131" t="str">
        <f>"0000"</f>
        <v>0000</v>
      </c>
    </row>
    <row r="132" spans="1:6">
      <c r="A132" t="str">
        <f>"E1414-1"</f>
        <v>E1414-1</v>
      </c>
      <c r="B132" t="str">
        <f>"VIA LOMELLINI  10-"</f>
        <v>VIA LOMELLINI  10-</v>
      </c>
      <c r="C132" t="str">
        <f t="shared" si="14"/>
        <v>GEA</v>
      </c>
      <c r="D132">
        <v>81</v>
      </c>
      <c r="E132" t="str">
        <f>"C"</f>
        <v>C</v>
      </c>
      <c r="F132" t="str">
        <f>"0000"</f>
        <v>0000</v>
      </c>
    </row>
    <row r="133" spans="1:6">
      <c r="A133" t="str">
        <f>"E1415-1"</f>
        <v>E1415-1</v>
      </c>
      <c r="B133" t="str">
        <f>"VICO DI SAN FILIPPO  23R-"</f>
        <v>VICO DI SAN FILIPPO  23R-</v>
      </c>
      <c r="C133" t="str">
        <f t="shared" si="14"/>
        <v>GEA</v>
      </c>
      <c r="D133">
        <v>81</v>
      </c>
      <c r="E133" t="str">
        <f>"94"</f>
        <v>94</v>
      </c>
      <c r="F133" t="str">
        <f>"1"</f>
        <v>1</v>
      </c>
    </row>
    <row r="134" spans="1:6">
      <c r="A134" t="str">
        <f>"E1415-2"</f>
        <v>E1415-2</v>
      </c>
      <c r="B134" t="str">
        <f>"VICO DI SAN FILIPPO  5-"</f>
        <v>VICO DI SAN FILIPPO  5-</v>
      </c>
      <c r="C134" t="str">
        <f t="shared" si="14"/>
        <v>GEA</v>
      </c>
      <c r="D134">
        <v>81</v>
      </c>
      <c r="E134" t="str">
        <f>"94"</f>
        <v>94</v>
      </c>
      <c r="F134" t="str">
        <f>"16"</f>
        <v>16</v>
      </c>
    </row>
    <row r="135" spans="1:6">
      <c r="C135" t="str">
        <f t="shared" si="14"/>
        <v>GEA</v>
      </c>
      <c r="D135">
        <v>81</v>
      </c>
      <c r="E135" t="str">
        <f>"95"</f>
        <v>95</v>
      </c>
      <c r="F135" t="str">
        <f>"26"</f>
        <v>26</v>
      </c>
    </row>
    <row r="136" spans="1:6">
      <c r="A136" t="str">
        <f>"E1415-3"</f>
        <v>E1415-3</v>
      </c>
      <c r="B136" t="str">
        <f>"VIA PAOLO EMILIO BENSA  40R-"</f>
        <v>VIA PAOLO EMILIO BENSA  40R-</v>
      </c>
      <c r="C136" t="str">
        <f t="shared" si="14"/>
        <v>GEA</v>
      </c>
      <c r="D136">
        <v>81</v>
      </c>
      <c r="E136" t="str">
        <f>"95"</f>
        <v>95</v>
      </c>
      <c r="F136" t="str">
        <f>"30"</f>
        <v>30</v>
      </c>
    </row>
    <row r="137" spans="1:6">
      <c r="A137" t="str">
        <f>"E1416-1"</f>
        <v>E1416-1</v>
      </c>
      <c r="B137" t="str">
        <f>"VIA LOMELLINI  40R-"</f>
        <v>VIA LOMELLINI  40R-</v>
      </c>
      <c r="C137" t="str">
        <f t="shared" si="14"/>
        <v>GEA</v>
      </c>
      <c r="D137">
        <v>81</v>
      </c>
      <c r="E137" t="str">
        <f>"8"</f>
        <v>8</v>
      </c>
      <c r="F137" t="str">
        <f>"3"</f>
        <v>3</v>
      </c>
    </row>
    <row r="138" spans="1:6">
      <c r="C138" t="str">
        <f t="shared" si="14"/>
        <v>GEA</v>
      </c>
      <c r="D138">
        <v>81</v>
      </c>
      <c r="E138" t="str">
        <f>"97"</f>
        <v>97</v>
      </c>
      <c r="F138" t="str">
        <f>"5"</f>
        <v>5</v>
      </c>
    </row>
    <row r="139" spans="1:6">
      <c r="C139" t="str">
        <f t="shared" si="14"/>
        <v>GEA</v>
      </c>
      <c r="D139">
        <v>81</v>
      </c>
      <c r="E139" t="str">
        <f>"99"</f>
        <v>99</v>
      </c>
      <c r="F139" t="str">
        <f>"2"</f>
        <v>2</v>
      </c>
    </row>
    <row r="140" spans="1:6">
      <c r="C140" t="str">
        <f t="shared" si="14"/>
        <v>GEA</v>
      </c>
      <c r="D140">
        <v>81</v>
      </c>
      <c r="E140" t="str">
        <f>"98"</f>
        <v>98</v>
      </c>
      <c r="F140" t="str">
        <f>"2"</f>
        <v>2</v>
      </c>
    </row>
    <row r="141" spans="1:6">
      <c r="C141" t="str">
        <f t="shared" si="14"/>
        <v>GEA</v>
      </c>
      <c r="D141">
        <v>81</v>
      </c>
      <c r="E141" t="str">
        <f>"95"</f>
        <v>95</v>
      </c>
      <c r="F141" t="str">
        <f>"25"</f>
        <v>25</v>
      </c>
    </row>
    <row r="142" spans="1:6">
      <c r="C142" t="str">
        <f t="shared" si="14"/>
        <v>GEA</v>
      </c>
      <c r="D142">
        <v>81</v>
      </c>
      <c r="E142" t="str">
        <f>"94"</f>
        <v>94</v>
      </c>
      <c r="F142" t="str">
        <f>"20"</f>
        <v>20</v>
      </c>
    </row>
    <row r="143" spans="1:6">
      <c r="A143" t="str">
        <f>"E1424-1"</f>
        <v>E1424-1</v>
      </c>
      <c r="B143" t="str">
        <f>"PIAZZA DI SANTA FEDE  6-"</f>
        <v>PIAZZA DI SANTA FEDE  6-</v>
      </c>
      <c r="C143" t="str">
        <f t="shared" si="14"/>
        <v>GEA</v>
      </c>
      <c r="D143">
        <v>80</v>
      </c>
      <c r="E143" t="str">
        <f>"180"</f>
        <v>180</v>
      </c>
      <c r="F143" t="str">
        <f>"1"</f>
        <v>1</v>
      </c>
    </row>
    <row r="144" spans="1:6">
      <c r="C144" t="str">
        <f t="shared" si="14"/>
        <v>GEA</v>
      </c>
      <c r="D144">
        <v>80</v>
      </c>
      <c r="E144" t="str">
        <f>"181"</f>
        <v>181</v>
      </c>
      <c r="F144" t="str">
        <f>"1"</f>
        <v>1</v>
      </c>
    </row>
    <row r="145" spans="1:6">
      <c r="C145" t="str">
        <f t="shared" si="14"/>
        <v>GEA</v>
      </c>
      <c r="D145">
        <v>80</v>
      </c>
      <c r="E145" t="str">
        <f>"47"</f>
        <v>47</v>
      </c>
      <c r="F145" t="str">
        <f>"0000"</f>
        <v>0000</v>
      </c>
    </row>
    <row r="146" spans="1:6">
      <c r="A146" t="str">
        <f>"E1424-2"</f>
        <v>E1424-2</v>
      </c>
      <c r="B146" t="str">
        <f>"PIAZZA DI METELINO  3R-"</f>
        <v>PIAZZA DI METELINO  3R-</v>
      </c>
      <c r="C146" t="str">
        <f t="shared" si="14"/>
        <v>GEA</v>
      </c>
      <c r="D146">
        <v>80</v>
      </c>
      <c r="E146" t="str">
        <f>"183"</f>
        <v>183</v>
      </c>
      <c r="F146" t="str">
        <f>"1"</f>
        <v>1</v>
      </c>
    </row>
    <row r="147" spans="1:6">
      <c r="A147" t="str">
        <f>"E1424-7"</f>
        <v>E1424-7</v>
      </c>
      <c r="B147" t="str">
        <f t="shared" ref="B147:B162" si="15">"PIAZZA DI SANTA FEDE  6-"</f>
        <v>PIAZZA DI SANTA FEDE  6-</v>
      </c>
      <c r="C147" t="str">
        <f t="shared" si="14"/>
        <v>GEA</v>
      </c>
      <c r="D147">
        <v>80</v>
      </c>
      <c r="E147" t="str">
        <f>"180"</f>
        <v>180</v>
      </c>
      <c r="F147" t="str">
        <f>"9"</f>
        <v>9</v>
      </c>
    </row>
    <row r="148" spans="1:6">
      <c r="C148" t="str">
        <f t="shared" si="14"/>
        <v>GEA</v>
      </c>
      <c r="D148">
        <v>80</v>
      </c>
      <c r="E148" t="str">
        <f>"183"</f>
        <v>183</v>
      </c>
      <c r="F148" t="str">
        <f>"2"</f>
        <v>2</v>
      </c>
    </row>
    <row r="149" spans="1:6">
      <c r="A149" t="str">
        <f>"E1424-8"</f>
        <v>E1424-8</v>
      </c>
      <c r="B149" t="str">
        <f t="shared" si="15"/>
        <v>PIAZZA DI SANTA FEDE  6-</v>
      </c>
      <c r="C149" t="str">
        <f t="shared" si="14"/>
        <v>GEA</v>
      </c>
      <c r="D149">
        <v>80</v>
      </c>
      <c r="E149" t="str">
        <f>"181"</f>
        <v>181</v>
      </c>
      <c r="F149" t="str">
        <f>"2"</f>
        <v>2</v>
      </c>
    </row>
    <row r="150" spans="1:6">
      <c r="C150" t="str">
        <f t="shared" si="14"/>
        <v>GEA</v>
      </c>
      <c r="D150">
        <v>80</v>
      </c>
      <c r="E150" t="str">
        <f>"183"</f>
        <v>183</v>
      </c>
      <c r="F150" t="str">
        <f>"3"</f>
        <v>3</v>
      </c>
    </row>
    <row r="151" spans="1:6">
      <c r="A151" t="str">
        <f>"E1424-9"</f>
        <v>E1424-9</v>
      </c>
      <c r="B151" t="str">
        <f t="shared" si="15"/>
        <v>PIAZZA DI SANTA FEDE  6-</v>
      </c>
      <c r="C151" t="str">
        <f t="shared" si="14"/>
        <v>GEA</v>
      </c>
      <c r="D151">
        <v>80</v>
      </c>
      <c r="E151" t="str">
        <f>"180"</f>
        <v>180</v>
      </c>
      <c r="F151" t="str">
        <f>"7"</f>
        <v>7</v>
      </c>
    </row>
    <row r="152" spans="1:6">
      <c r="A152" t="str">
        <f>"E1424-10"</f>
        <v>E1424-10</v>
      </c>
      <c r="B152" t="str">
        <f t="shared" si="15"/>
        <v>PIAZZA DI SANTA FEDE  6-</v>
      </c>
      <c r="C152" t="str">
        <f t="shared" si="14"/>
        <v>GEA</v>
      </c>
      <c r="D152">
        <v>80</v>
      </c>
      <c r="E152" t="str">
        <f>"181"</f>
        <v>181</v>
      </c>
      <c r="F152" t="str">
        <f>"3"</f>
        <v>3</v>
      </c>
    </row>
    <row r="153" spans="1:6">
      <c r="C153" t="str">
        <f t="shared" si="14"/>
        <v>GEA</v>
      </c>
      <c r="D153">
        <v>80</v>
      </c>
      <c r="E153" t="str">
        <f>"183"</f>
        <v>183</v>
      </c>
      <c r="F153" t="str">
        <f>"4"</f>
        <v>4</v>
      </c>
    </row>
    <row r="154" spans="1:6">
      <c r="A154" t="str">
        <f>"E1424-11"</f>
        <v>E1424-11</v>
      </c>
      <c r="B154" t="str">
        <f t="shared" si="15"/>
        <v>PIAZZA DI SANTA FEDE  6-</v>
      </c>
      <c r="C154" t="str">
        <f t="shared" si="14"/>
        <v>GEA</v>
      </c>
      <c r="D154">
        <v>80</v>
      </c>
      <c r="E154" t="str">
        <f>"181"</f>
        <v>181</v>
      </c>
      <c r="F154" t="str">
        <f>"4"</f>
        <v>4</v>
      </c>
    </row>
    <row r="155" spans="1:6">
      <c r="C155" t="str">
        <f t="shared" si="14"/>
        <v>GEA</v>
      </c>
      <c r="D155">
        <v>80</v>
      </c>
      <c r="E155" t="str">
        <f>"183"</f>
        <v>183</v>
      </c>
      <c r="F155" t="str">
        <f>"5"</f>
        <v>5</v>
      </c>
    </row>
    <row r="156" spans="1:6">
      <c r="A156" t="str">
        <f>"E1424-12"</f>
        <v>E1424-12</v>
      </c>
      <c r="B156" t="str">
        <f t="shared" si="15"/>
        <v>PIAZZA DI SANTA FEDE  6-</v>
      </c>
      <c r="C156" t="str">
        <f t="shared" si="14"/>
        <v>GEA</v>
      </c>
      <c r="D156">
        <v>80</v>
      </c>
      <c r="E156" t="str">
        <f>"180"</f>
        <v>180</v>
      </c>
      <c r="F156" t="str">
        <f>"13"</f>
        <v>13</v>
      </c>
    </row>
    <row r="157" spans="1:6">
      <c r="A157" t="str">
        <f>"E1424-13"</f>
        <v>E1424-13</v>
      </c>
      <c r="B157" t="str">
        <f t="shared" si="15"/>
        <v>PIAZZA DI SANTA FEDE  6-</v>
      </c>
      <c r="C157" t="str">
        <f>"1"</f>
        <v>1</v>
      </c>
      <c r="D157">
        <v>33</v>
      </c>
      <c r="E157" t="str">
        <f>"734"</f>
        <v>734</v>
      </c>
      <c r="F157" t="str">
        <f>"0000"</f>
        <v>0000</v>
      </c>
    </row>
    <row r="158" spans="1:6">
      <c r="A158" t="str">
        <f>"E1424-14"</f>
        <v>E1424-14</v>
      </c>
      <c r="B158" t="str">
        <f t="shared" si="15"/>
        <v>PIAZZA DI SANTA FEDE  6-</v>
      </c>
      <c r="C158" t="str">
        <f>"1"</f>
        <v>1</v>
      </c>
      <c r="D158">
        <v>33</v>
      </c>
      <c r="E158" t="str">
        <f>"734"</f>
        <v>734</v>
      </c>
      <c r="F158" t="str">
        <f>"0000"</f>
        <v>0000</v>
      </c>
    </row>
    <row r="159" spans="1:6">
      <c r="A159" t="str">
        <f>"E1424-15"</f>
        <v>E1424-15</v>
      </c>
      <c r="B159" t="str">
        <f t="shared" si="15"/>
        <v>PIAZZA DI SANTA FEDE  6-</v>
      </c>
      <c r="C159" t="str">
        <f>"GEA"</f>
        <v>GEA</v>
      </c>
      <c r="D159">
        <v>80</v>
      </c>
      <c r="E159" t="str">
        <f>"180"</f>
        <v>180</v>
      </c>
      <c r="F159" t="str">
        <f>"25"</f>
        <v>25</v>
      </c>
    </row>
    <row r="160" spans="1:6">
      <c r="A160" t="str">
        <f>"E1424-16"</f>
        <v>E1424-16</v>
      </c>
      <c r="B160" t="str">
        <f t="shared" si="15"/>
        <v>PIAZZA DI SANTA FEDE  6-</v>
      </c>
      <c r="C160" t="str">
        <f>"1"</f>
        <v>1</v>
      </c>
      <c r="D160">
        <v>33</v>
      </c>
      <c r="E160" t="str">
        <f>"734"</f>
        <v>734</v>
      </c>
      <c r="F160" t="str">
        <f>"0000"</f>
        <v>0000</v>
      </c>
    </row>
    <row r="161" spans="1:6">
      <c r="A161" t="str">
        <f>"E1424-17"</f>
        <v>E1424-17</v>
      </c>
      <c r="B161" t="str">
        <f t="shared" si="15"/>
        <v>PIAZZA DI SANTA FEDE  6-</v>
      </c>
      <c r="C161" t="str">
        <f>"GEA"</f>
        <v>GEA</v>
      </c>
      <c r="D161">
        <v>80</v>
      </c>
      <c r="E161" t="str">
        <f>"180"</f>
        <v>180</v>
      </c>
      <c r="F161" t="str">
        <f>"27"</f>
        <v>27</v>
      </c>
    </row>
    <row r="162" spans="1:6">
      <c r="A162" t="str">
        <f>"E1424-18"</f>
        <v>E1424-18</v>
      </c>
      <c r="B162" t="str">
        <f t="shared" si="15"/>
        <v>PIAZZA DI SANTA FEDE  6-</v>
      </c>
      <c r="C162" t="str">
        <f>"1"</f>
        <v>1</v>
      </c>
      <c r="D162">
        <v>33</v>
      </c>
      <c r="E162" t="str">
        <f>"734"</f>
        <v>734</v>
      </c>
      <c r="F162" t="str">
        <f>"0000"</f>
        <v>0000</v>
      </c>
    </row>
    <row r="163" spans="1:6">
      <c r="A163" t="str">
        <f>"E1425-1"</f>
        <v>E1425-1</v>
      </c>
      <c r="B163" t="str">
        <f>"VIA DELLE FONTANE  36AR-"</f>
        <v>VIA DELLE FONTANE  36AR-</v>
      </c>
      <c r="C163" t="str">
        <f t="shared" ref="C163:C194" si="16">"GEA"</f>
        <v>GEA</v>
      </c>
      <c r="D163">
        <v>80</v>
      </c>
      <c r="E163" t="str">
        <f>"185"</f>
        <v>185</v>
      </c>
      <c r="F163" t="str">
        <f>"0000"</f>
        <v>0000</v>
      </c>
    </row>
    <row r="164" spans="1:6">
      <c r="C164" t="str">
        <f t="shared" si="16"/>
        <v>GEA</v>
      </c>
      <c r="D164">
        <v>80</v>
      </c>
      <c r="E164" t="str">
        <f>"186"</f>
        <v>186</v>
      </c>
      <c r="F164" t="str">
        <f>"1"</f>
        <v>1</v>
      </c>
    </row>
    <row r="165" spans="1:6">
      <c r="C165" t="str">
        <f t="shared" si="16"/>
        <v>GEA</v>
      </c>
      <c r="D165">
        <v>80</v>
      </c>
      <c r="E165" t="str">
        <f>"271"</f>
        <v>271</v>
      </c>
      <c r="F165" t="str">
        <f>"0000"</f>
        <v>0000</v>
      </c>
    </row>
    <row r="166" spans="1:6">
      <c r="C166" t="str">
        <f t="shared" si="16"/>
        <v>GEA</v>
      </c>
      <c r="D166">
        <v>80</v>
      </c>
      <c r="E166" t="str">
        <f>"188"</f>
        <v>188</v>
      </c>
      <c r="F166" t="str">
        <f>"0000"</f>
        <v>0000</v>
      </c>
    </row>
    <row r="167" spans="1:6">
      <c r="A167" t="str">
        <f>"E1427-3"</f>
        <v>E1427-3</v>
      </c>
      <c r="B167" t="str">
        <f>"PIAZZA CAVOUR  14-"</f>
        <v>PIAZZA CAVOUR  14-</v>
      </c>
      <c r="C167" t="str">
        <f t="shared" si="16"/>
        <v>GEA</v>
      </c>
      <c r="D167">
        <v>84</v>
      </c>
      <c r="E167" t="str">
        <f>"162"</f>
        <v>162</v>
      </c>
      <c r="F167" t="str">
        <f>"3"</f>
        <v>3</v>
      </c>
    </row>
    <row r="168" spans="1:6">
      <c r="A168" t="str">
        <f>"E1427-4"</f>
        <v>E1427-4</v>
      </c>
      <c r="B168" t="str">
        <f>"PIAZZA CAVOUR  14-"</f>
        <v>PIAZZA CAVOUR  14-</v>
      </c>
      <c r="C168" t="str">
        <f t="shared" si="16"/>
        <v>GEA</v>
      </c>
      <c r="D168">
        <v>84</v>
      </c>
      <c r="E168" t="str">
        <f>"162"</f>
        <v>162</v>
      </c>
      <c r="F168" t="str">
        <f>"4"</f>
        <v>4</v>
      </c>
    </row>
    <row r="169" spans="1:6">
      <c r="A169" t="str">
        <f>"E1428-1"</f>
        <v>E1428-1</v>
      </c>
      <c r="B169" t="str">
        <f>"VICO DEGLI INDORATORI  51R-"</f>
        <v>VICO DEGLI INDORATORI  51R-</v>
      </c>
      <c r="C169" t="str">
        <f t="shared" si="16"/>
        <v>GEA</v>
      </c>
      <c r="D169">
        <v>96</v>
      </c>
      <c r="E169" t="str">
        <f>"9"</f>
        <v>9</v>
      </c>
      <c r="F169" t="str">
        <f>"2"</f>
        <v>2</v>
      </c>
    </row>
    <row r="170" spans="1:6">
      <c r="A170" t="str">
        <f>"E1428-2"</f>
        <v>E1428-2</v>
      </c>
      <c r="B170" t="str">
        <f t="shared" ref="B170:B178" si="17">"VICO DEGLI INDORATORI  13-"</f>
        <v>VICO DEGLI INDORATORI  13-</v>
      </c>
      <c r="C170" t="str">
        <f t="shared" si="16"/>
        <v>GEA</v>
      </c>
      <c r="D170">
        <v>96</v>
      </c>
      <c r="E170" t="str">
        <f>"16"</f>
        <v>16</v>
      </c>
      <c r="F170" t="str">
        <f>"47"</f>
        <v>47</v>
      </c>
    </row>
    <row r="171" spans="1:6">
      <c r="C171" t="str">
        <f t="shared" si="16"/>
        <v>GEA</v>
      </c>
      <c r="D171">
        <v>96</v>
      </c>
      <c r="E171" t="str">
        <f>"9"</f>
        <v>9</v>
      </c>
      <c r="F171" t="str">
        <f>"3"</f>
        <v>3</v>
      </c>
    </row>
    <row r="172" spans="1:6">
      <c r="A172" t="str">
        <f>"E1428-3"</f>
        <v>E1428-3</v>
      </c>
      <c r="B172" t="str">
        <f t="shared" si="17"/>
        <v>VICO DEGLI INDORATORI  13-</v>
      </c>
      <c r="C172" t="str">
        <f t="shared" si="16"/>
        <v>GEA</v>
      </c>
      <c r="D172">
        <v>96</v>
      </c>
      <c r="E172" t="str">
        <f>"9"</f>
        <v>9</v>
      </c>
      <c r="F172" t="str">
        <f>"4"</f>
        <v>4</v>
      </c>
    </row>
    <row r="173" spans="1:6">
      <c r="A173" t="str">
        <f>"E1428-4"</f>
        <v>E1428-4</v>
      </c>
      <c r="B173" t="str">
        <f t="shared" si="17"/>
        <v>VICO DEGLI INDORATORI  13-</v>
      </c>
      <c r="C173" t="str">
        <f t="shared" si="16"/>
        <v>GEA</v>
      </c>
      <c r="D173">
        <v>96</v>
      </c>
      <c r="E173" t="str">
        <f>"16"</f>
        <v>16</v>
      </c>
      <c r="F173" t="str">
        <f>"48"</f>
        <v>48</v>
      </c>
    </row>
    <row r="174" spans="1:6">
      <c r="C174" t="str">
        <f t="shared" si="16"/>
        <v>GEA</v>
      </c>
      <c r="D174">
        <v>96</v>
      </c>
      <c r="E174" t="str">
        <f>"9"</f>
        <v>9</v>
      </c>
      <c r="F174" t="str">
        <f>"5"</f>
        <v>5</v>
      </c>
    </row>
    <row r="175" spans="1:6">
      <c r="A175" t="str">
        <f>"E1428-5"</f>
        <v>E1428-5</v>
      </c>
      <c r="B175" t="str">
        <f t="shared" si="17"/>
        <v>VICO DEGLI INDORATORI  13-</v>
      </c>
      <c r="C175" t="str">
        <f t="shared" si="16"/>
        <v>GEA</v>
      </c>
      <c r="D175">
        <v>96</v>
      </c>
      <c r="E175" t="str">
        <f>"9"</f>
        <v>9</v>
      </c>
      <c r="F175" t="str">
        <f>"6"</f>
        <v>6</v>
      </c>
    </row>
    <row r="176" spans="1:6">
      <c r="A176" t="str">
        <f>"E1428-6"</f>
        <v>E1428-6</v>
      </c>
      <c r="B176" t="str">
        <f t="shared" si="17"/>
        <v>VICO DEGLI INDORATORI  13-</v>
      </c>
      <c r="C176" t="str">
        <f t="shared" si="16"/>
        <v>GEA</v>
      </c>
      <c r="D176">
        <v>96</v>
      </c>
      <c r="E176" t="str">
        <f>"16"</f>
        <v>16</v>
      </c>
      <c r="F176" t="str">
        <f>"49"</f>
        <v>49</v>
      </c>
    </row>
    <row r="177" spans="1:6">
      <c r="C177" t="str">
        <f t="shared" si="16"/>
        <v>GEA</v>
      </c>
      <c r="D177">
        <v>96</v>
      </c>
      <c r="E177" t="str">
        <f>"9"</f>
        <v>9</v>
      </c>
      <c r="F177" t="str">
        <f>"7"</f>
        <v>7</v>
      </c>
    </row>
    <row r="178" spans="1:6">
      <c r="A178" t="str">
        <f>"E1428-7"</f>
        <v>E1428-7</v>
      </c>
      <c r="B178" t="str">
        <f t="shared" si="17"/>
        <v>VICO DEGLI INDORATORI  13-</v>
      </c>
      <c r="C178" t="str">
        <f t="shared" si="16"/>
        <v>GEA</v>
      </c>
      <c r="D178">
        <v>96</v>
      </c>
      <c r="E178" t="str">
        <f>"9"</f>
        <v>9</v>
      </c>
      <c r="F178" t="str">
        <f>"8"</f>
        <v>8</v>
      </c>
    </row>
    <row r="179" spans="1:6">
      <c r="A179" t="str">
        <f>"E1428-8"</f>
        <v>E1428-8</v>
      </c>
      <c r="B179" t="str">
        <f>"VICO DEGLI INDORATORI  65R-"</f>
        <v>VICO DEGLI INDORATORI  65R-</v>
      </c>
      <c r="C179" t="str">
        <f t="shared" si="16"/>
        <v>GEA</v>
      </c>
      <c r="D179">
        <v>96</v>
      </c>
      <c r="E179" t="str">
        <f>"16"</f>
        <v>16</v>
      </c>
      <c r="F179" t="str">
        <f>"12"</f>
        <v>12</v>
      </c>
    </row>
    <row r="180" spans="1:6">
      <c r="C180" t="str">
        <f t="shared" si="16"/>
        <v>GEA</v>
      </c>
      <c r="D180">
        <v>96</v>
      </c>
      <c r="E180" t="str">
        <f>"16"</f>
        <v>16</v>
      </c>
      <c r="F180" t="str">
        <f>"13"</f>
        <v>13</v>
      </c>
    </row>
    <row r="181" spans="1:6">
      <c r="A181" t="str">
        <f>"E1428-9"</f>
        <v>E1428-9</v>
      </c>
      <c r="B181" t="str">
        <f t="shared" ref="B181:B187" si="18">"VICO DEGLI INDORATORI  15-"</f>
        <v>VICO DEGLI INDORATORI  15-</v>
      </c>
      <c r="C181" t="str">
        <f t="shared" si="16"/>
        <v>GEA</v>
      </c>
      <c r="D181">
        <v>96</v>
      </c>
      <c r="E181" t="str">
        <f>"16"</f>
        <v>16</v>
      </c>
      <c r="F181" t="str">
        <f>"50"</f>
        <v>50</v>
      </c>
    </row>
    <row r="182" spans="1:6">
      <c r="C182" t="str">
        <f t="shared" si="16"/>
        <v>GEA</v>
      </c>
      <c r="D182">
        <v>96</v>
      </c>
      <c r="E182" t="str">
        <f>"262"</f>
        <v>262</v>
      </c>
      <c r="F182" t="str">
        <f>"2"</f>
        <v>2</v>
      </c>
    </row>
    <row r="183" spans="1:6">
      <c r="A183" t="str">
        <f>"E1428-10"</f>
        <v>E1428-10</v>
      </c>
      <c r="B183" t="str">
        <f t="shared" si="18"/>
        <v>VICO DEGLI INDORATORI  15-</v>
      </c>
      <c r="C183" t="str">
        <f t="shared" si="16"/>
        <v>GEA</v>
      </c>
      <c r="D183">
        <v>96</v>
      </c>
      <c r="E183" t="str">
        <f>"16"</f>
        <v>16</v>
      </c>
      <c r="F183" t="str">
        <f>"52"</f>
        <v>52</v>
      </c>
    </row>
    <row r="184" spans="1:6">
      <c r="C184" t="str">
        <f t="shared" si="16"/>
        <v>GEA</v>
      </c>
      <c r="D184">
        <v>96</v>
      </c>
      <c r="E184" t="str">
        <f>"262"</f>
        <v>262</v>
      </c>
      <c r="F184" t="str">
        <f>"3"</f>
        <v>3</v>
      </c>
    </row>
    <row r="185" spans="1:6">
      <c r="A185" t="str">
        <f>"E1428-11"</f>
        <v>E1428-11</v>
      </c>
      <c r="B185" t="str">
        <f t="shared" si="18"/>
        <v>VICO DEGLI INDORATORI  15-</v>
      </c>
      <c r="C185" t="str">
        <f t="shared" si="16"/>
        <v>GEA</v>
      </c>
      <c r="D185">
        <v>96</v>
      </c>
      <c r="E185" t="str">
        <f>"16"</f>
        <v>16</v>
      </c>
      <c r="F185" t="str">
        <f>"53"</f>
        <v>53</v>
      </c>
    </row>
    <row r="186" spans="1:6">
      <c r="A186" t="str">
        <f>"E1428-12"</f>
        <v>E1428-12</v>
      </c>
      <c r="B186" t="str">
        <f t="shared" si="18"/>
        <v>VICO DEGLI INDORATORI  15-</v>
      </c>
      <c r="C186" t="str">
        <f t="shared" si="16"/>
        <v>GEA</v>
      </c>
      <c r="D186">
        <v>96</v>
      </c>
      <c r="E186" t="str">
        <f>"16"</f>
        <v>16</v>
      </c>
      <c r="F186" t="str">
        <f>"54"</f>
        <v>54</v>
      </c>
    </row>
    <row r="187" spans="1:6">
      <c r="A187" t="str">
        <f>"E1428-13"</f>
        <v>E1428-13</v>
      </c>
      <c r="B187" t="str">
        <f t="shared" si="18"/>
        <v>VICO DEGLI INDORATORI  15-</v>
      </c>
      <c r="C187" t="str">
        <f t="shared" si="16"/>
        <v>GEA</v>
      </c>
      <c r="D187">
        <v>96</v>
      </c>
      <c r="E187" t="str">
        <f>"16"</f>
        <v>16</v>
      </c>
      <c r="F187" t="str">
        <f>"55"</f>
        <v>55</v>
      </c>
    </row>
    <row r="188" spans="1:6">
      <c r="A188" t="str">
        <f>"E1431-1"</f>
        <v>E1431-1</v>
      </c>
      <c r="B188" t="str">
        <f>"VIA LOMELLINI  11-"</f>
        <v>VIA LOMELLINI  11-</v>
      </c>
      <c r="C188" t="str">
        <f t="shared" si="16"/>
        <v>GEA</v>
      </c>
      <c r="D188">
        <v>94</v>
      </c>
      <c r="E188" t="str">
        <f>"186"</f>
        <v>186</v>
      </c>
      <c r="F188" t="str">
        <f>"5"</f>
        <v>5</v>
      </c>
    </row>
    <row r="189" spans="1:6">
      <c r="C189" t="str">
        <f t="shared" si="16"/>
        <v>GEA</v>
      </c>
      <c r="D189">
        <v>94</v>
      </c>
      <c r="E189" t="str">
        <f>"190"</f>
        <v>190</v>
      </c>
      <c r="F189" t="str">
        <f>"2"</f>
        <v>2</v>
      </c>
    </row>
    <row r="190" spans="1:6">
      <c r="C190" t="str">
        <f t="shared" si="16"/>
        <v>GEA</v>
      </c>
      <c r="D190">
        <v>94</v>
      </c>
      <c r="E190" t="str">
        <f>"188"</f>
        <v>188</v>
      </c>
      <c r="F190" t="str">
        <f>"11"</f>
        <v>11</v>
      </c>
    </row>
    <row r="191" spans="1:6">
      <c r="C191" t="str">
        <f t="shared" si="16"/>
        <v>GEA</v>
      </c>
      <c r="D191">
        <v>94</v>
      </c>
      <c r="E191" t="str">
        <f>"187"</f>
        <v>187</v>
      </c>
      <c r="F191" t="str">
        <f>"3"</f>
        <v>3</v>
      </c>
    </row>
    <row r="192" spans="1:6">
      <c r="A192" t="str">
        <f>"E1431-2"</f>
        <v>E1431-2</v>
      </c>
      <c r="B192" t="str">
        <f>"VICO ALLA CASA DI MAZZINI  7-"</f>
        <v>VICO ALLA CASA DI MAZZINI  7-</v>
      </c>
      <c r="C192" t="str">
        <f t="shared" si="16"/>
        <v>GEA</v>
      </c>
      <c r="D192">
        <v>94</v>
      </c>
      <c r="E192" t="str">
        <f>"186"</f>
        <v>186</v>
      </c>
      <c r="F192" t="str">
        <f>"1"</f>
        <v>1</v>
      </c>
    </row>
    <row r="193" spans="1:6">
      <c r="A193" t="str">
        <f>"E1433-1"</f>
        <v>E1433-1</v>
      </c>
      <c r="B193" t="str">
        <f>"PIAZZALE GIUSEPPE MAZZINI  5-"</f>
        <v>PIAZZALE GIUSEPPE MAZZINI  5-</v>
      </c>
      <c r="C193" t="str">
        <f t="shared" si="16"/>
        <v>GEA</v>
      </c>
      <c r="D193">
        <v>102</v>
      </c>
      <c r="E193" t="str">
        <f>"15"</f>
        <v>15</v>
      </c>
      <c r="F193" t="str">
        <f>"1"</f>
        <v>1</v>
      </c>
    </row>
    <row r="194" spans="1:6">
      <c r="A194" t="str">
        <f>"E1433-2"</f>
        <v>E1433-2</v>
      </c>
      <c r="B194" t="str">
        <f>"PIAZZALE GIUSEPPE MAZZINI  5-"</f>
        <v>PIAZZALE GIUSEPPE MAZZINI  5-</v>
      </c>
      <c r="C194" t="str">
        <f t="shared" si="16"/>
        <v>GEA</v>
      </c>
      <c r="D194">
        <v>102</v>
      </c>
      <c r="E194" t="str">
        <f>"15"</f>
        <v>15</v>
      </c>
      <c r="F194" t="str">
        <f>"2"</f>
        <v>2</v>
      </c>
    </row>
    <row r="195" spans="1:6">
      <c r="A195" t="str">
        <f>"E1434-1"</f>
        <v>E1434-1</v>
      </c>
      <c r="B195" t="str">
        <f>"PIAZZALE GIUSEPPE MAZZINI  4-"</f>
        <v>PIAZZALE GIUSEPPE MAZZINI  4-</v>
      </c>
      <c r="C195" t="str">
        <f>"1"</f>
        <v>1</v>
      </c>
      <c r="D195">
        <v>46</v>
      </c>
      <c r="E195" t="str">
        <f>"420"</f>
        <v>420</v>
      </c>
      <c r="F195" t="str">
        <f>"0000"</f>
        <v>0000</v>
      </c>
    </row>
    <row r="196" spans="1:6">
      <c r="A196" t="str">
        <f>"E1435-1"</f>
        <v>E1435-1</v>
      </c>
      <c r="B196" t="str">
        <f>"PIAZZALE GIUSEPPE MAZZINI  3-"</f>
        <v>PIAZZALE GIUSEPPE MAZZINI  3-</v>
      </c>
      <c r="C196" t="str">
        <f t="shared" ref="C196:C210" si="19">"GEA"</f>
        <v>GEA</v>
      </c>
      <c r="D196">
        <v>95</v>
      </c>
      <c r="E196" t="str">
        <f>"273"</f>
        <v>273</v>
      </c>
      <c r="F196" t="str">
        <f>"0000"</f>
        <v>0000</v>
      </c>
    </row>
    <row r="197" spans="1:6">
      <c r="C197" t="str">
        <f t="shared" si="19"/>
        <v>GEA</v>
      </c>
      <c r="D197">
        <v>95</v>
      </c>
      <c r="E197" t="str">
        <f>"274"</f>
        <v>274</v>
      </c>
      <c r="F197" t="str">
        <f>"1"</f>
        <v>1</v>
      </c>
    </row>
    <row r="198" spans="1:6">
      <c r="A198" t="str">
        <f>"E1435-2"</f>
        <v>E1435-2</v>
      </c>
      <c r="B198" t="str">
        <f>"PIAZZALE GIUSEPPE MAZZINI  3-"</f>
        <v>PIAZZALE GIUSEPPE MAZZINI  3-</v>
      </c>
      <c r="C198" t="str">
        <f t="shared" si="19"/>
        <v>GEA</v>
      </c>
      <c r="D198">
        <v>95</v>
      </c>
      <c r="E198" t="str">
        <f>"274"</f>
        <v>274</v>
      </c>
      <c r="F198" t="str">
        <f>"2"</f>
        <v>2</v>
      </c>
    </row>
    <row r="199" spans="1:6">
      <c r="A199" t="str">
        <f>"E1436-1"</f>
        <v>E1436-1</v>
      </c>
      <c r="B199" t="str">
        <f>"VIA DEL MOLO  65AR-"</f>
        <v>VIA DEL MOLO  65AR-</v>
      </c>
      <c r="C199" t="str">
        <f t="shared" si="19"/>
        <v>GEA</v>
      </c>
      <c r="D199">
        <v>84</v>
      </c>
      <c r="E199" t="str">
        <f>"36"</f>
        <v>36</v>
      </c>
      <c r="F199" t="str">
        <f>"2"</f>
        <v>2</v>
      </c>
    </row>
    <row r="200" spans="1:6">
      <c r="C200" t="str">
        <f t="shared" si="19"/>
        <v>GEA</v>
      </c>
      <c r="D200">
        <v>84</v>
      </c>
      <c r="E200" t="str">
        <f>"37"</f>
        <v>37</v>
      </c>
      <c r="F200" t="str">
        <f>"2"</f>
        <v>2</v>
      </c>
    </row>
    <row r="201" spans="1:6">
      <c r="C201" t="str">
        <f t="shared" si="19"/>
        <v>GEA</v>
      </c>
      <c r="D201">
        <v>84</v>
      </c>
      <c r="E201" t="str">
        <f>"45"</f>
        <v>45</v>
      </c>
      <c r="F201" t="str">
        <f>"2"</f>
        <v>2</v>
      </c>
    </row>
    <row r="202" spans="1:6">
      <c r="A202" t="str">
        <f>"E1437-1"</f>
        <v>E1437-1</v>
      </c>
      <c r="B202" t="str">
        <f>"PIAZZA DEL CARMINE VICINO AL 1-"</f>
        <v>PIAZZA DEL CARMINE VICINO AL 1-</v>
      </c>
      <c r="C202" t="str">
        <f t="shared" si="19"/>
        <v>GEA</v>
      </c>
      <c r="D202">
        <v>92</v>
      </c>
      <c r="E202" t="str">
        <f>"97"</f>
        <v>97</v>
      </c>
      <c r="F202" t="str">
        <f>"0000"</f>
        <v>0000</v>
      </c>
    </row>
    <row r="203" spans="1:6">
      <c r="A203" t="str">
        <f>"E1438-1"</f>
        <v>E1438-1</v>
      </c>
      <c r="B203" t="str">
        <f>"PIAZZA CAVOUR  20R-"</f>
        <v>PIAZZA CAVOUR  20R-</v>
      </c>
      <c r="C203" t="str">
        <f t="shared" si="19"/>
        <v>GEA</v>
      </c>
      <c r="D203">
        <v>84</v>
      </c>
      <c r="E203" t="str">
        <f t="shared" ref="E203:E208" si="20">"306"</f>
        <v>306</v>
      </c>
      <c r="F203" t="str">
        <f>"1"</f>
        <v>1</v>
      </c>
    </row>
    <row r="204" spans="1:6">
      <c r="A204" t="str">
        <f>"E1438-2"</f>
        <v>E1438-2</v>
      </c>
      <c r="B204" t="str">
        <f>"CORSO MAURIZIO QUADRIO  1-"</f>
        <v>CORSO MAURIZIO QUADRIO  1-</v>
      </c>
      <c r="C204" t="str">
        <f t="shared" si="19"/>
        <v>GEA</v>
      </c>
      <c r="D204">
        <v>84</v>
      </c>
      <c r="E204" t="str">
        <f t="shared" si="20"/>
        <v>306</v>
      </c>
      <c r="F204" t="str">
        <f>"2"</f>
        <v>2</v>
      </c>
    </row>
    <row r="205" spans="1:6">
      <c r="A205" t="str">
        <f>"E1438-3"</f>
        <v>E1438-3</v>
      </c>
      <c r="B205" t="str">
        <f>"PIAZZA CAVOUR  24R-"</f>
        <v>PIAZZA CAVOUR  24R-</v>
      </c>
      <c r="C205" t="str">
        <f t="shared" si="19"/>
        <v>GEA</v>
      </c>
      <c r="D205">
        <v>84</v>
      </c>
      <c r="E205" t="str">
        <f t="shared" si="20"/>
        <v>306</v>
      </c>
      <c r="F205" t="str">
        <f>"3"</f>
        <v>3</v>
      </c>
    </row>
    <row r="206" spans="1:6">
      <c r="A206" t="str">
        <f>"E1438-4"</f>
        <v>E1438-4</v>
      </c>
      <c r="B206" t="str">
        <f>"PIAZZA CAVOUR  26R-"</f>
        <v>PIAZZA CAVOUR  26R-</v>
      </c>
      <c r="C206" t="str">
        <f t="shared" si="19"/>
        <v>GEA</v>
      </c>
      <c r="D206">
        <v>84</v>
      </c>
      <c r="E206" t="str">
        <f t="shared" si="20"/>
        <v>306</v>
      </c>
      <c r="F206" t="str">
        <f>"4"</f>
        <v>4</v>
      </c>
    </row>
    <row r="207" spans="1:6">
      <c r="A207" t="str">
        <f>"E1438-5"</f>
        <v>E1438-5</v>
      </c>
      <c r="B207" t="str">
        <f>"PIAZZA CAVOUR  22R-"</f>
        <v>PIAZZA CAVOUR  22R-</v>
      </c>
      <c r="C207" t="str">
        <f t="shared" si="19"/>
        <v>GEA</v>
      </c>
      <c r="D207">
        <v>84</v>
      </c>
      <c r="E207" t="str">
        <f t="shared" si="20"/>
        <v>306</v>
      </c>
      <c r="F207" t="str">
        <f>"5"</f>
        <v>5</v>
      </c>
    </row>
    <row r="208" spans="1:6">
      <c r="A208" t="str">
        <f>"E1438-6"</f>
        <v>E1438-6</v>
      </c>
      <c r="B208" t="str">
        <f>"CORSO MAURIZIO QUADRIO  1-"</f>
        <v>CORSO MAURIZIO QUADRIO  1-</v>
      </c>
      <c r="C208" t="str">
        <f t="shared" si="19"/>
        <v>GEA</v>
      </c>
      <c r="D208">
        <v>84</v>
      </c>
      <c r="E208" t="str">
        <f t="shared" si="20"/>
        <v>306</v>
      </c>
      <c r="F208" t="str">
        <f>"6"</f>
        <v>6</v>
      </c>
    </row>
    <row r="209" spans="1:6">
      <c r="A209" t="str">
        <f>"E1439-1"</f>
        <v>E1439-1</v>
      </c>
      <c r="B209" t="str">
        <f>"VICO DEL DUCA  18-"</f>
        <v>VICO DEL DUCA  18-</v>
      </c>
      <c r="C209" t="str">
        <f t="shared" si="19"/>
        <v>GEA</v>
      </c>
      <c r="D209">
        <v>95</v>
      </c>
      <c r="E209" t="str">
        <f>"40"</f>
        <v>40</v>
      </c>
      <c r="F209" t="str">
        <f>"5"</f>
        <v>5</v>
      </c>
    </row>
    <row r="210" spans="1:6">
      <c r="A210" t="str">
        <f>"E1440-1"</f>
        <v>E1440-1</v>
      </c>
      <c r="B210" t="str">
        <f>"CORSO MAURIZIO QUADRIO  2R-"</f>
        <v>CORSO MAURIZIO QUADRIO  2R-</v>
      </c>
      <c r="C210" t="str">
        <f t="shared" si="19"/>
        <v>GEA</v>
      </c>
      <c r="D210">
        <v>84</v>
      </c>
      <c r="E210" t="str">
        <f>"308"</f>
        <v>308</v>
      </c>
      <c r="F210" t="str">
        <f t="shared" ref="F210:F215" si="21">"0000"</f>
        <v>0000</v>
      </c>
    </row>
    <row r="211" spans="1:6">
      <c r="A211" t="str">
        <f>"E1442-1"</f>
        <v>E1442-1</v>
      </c>
      <c r="B211" t="str">
        <f>"CORSO MAURIZIO QUADRIO  12R-"</f>
        <v>CORSO MAURIZIO QUADRIO  12R-</v>
      </c>
      <c r="C211" t="str">
        <f>"1"</f>
        <v>1</v>
      </c>
      <c r="D211">
        <v>67</v>
      </c>
      <c r="E211" t="str">
        <f>"99999"</f>
        <v>99999</v>
      </c>
      <c r="F211" t="str">
        <f t="shared" si="21"/>
        <v>0000</v>
      </c>
    </row>
    <row r="212" spans="1:6">
      <c r="A212" t="str">
        <f>"E1443-1"</f>
        <v>E1443-1</v>
      </c>
      <c r="B212" t="str">
        <f>"VICO AL MONTE DI PIETA  9R-"</f>
        <v>VICO AL MONTE DI PIETA  9R-</v>
      </c>
      <c r="C212" t="str">
        <f t="shared" ref="C212:C221" si="22">"GEA"</f>
        <v>GEA</v>
      </c>
      <c r="D212">
        <v>96</v>
      </c>
      <c r="E212" t="str">
        <f>"270"</f>
        <v>270</v>
      </c>
      <c r="F212" t="str">
        <f t="shared" si="21"/>
        <v>0000</v>
      </c>
    </row>
    <row r="213" spans="1:6">
      <c r="A213" t="str">
        <f>"E1444-1"</f>
        <v>E1444-1</v>
      </c>
      <c r="B213" t="str">
        <f>"VICO DEI GARIBALDI  55R-"</f>
        <v>VICO DEI GARIBALDI  55R-</v>
      </c>
      <c r="C213" t="str">
        <f t="shared" si="22"/>
        <v>GEA</v>
      </c>
      <c r="D213">
        <v>96</v>
      </c>
      <c r="E213" t="str">
        <f>"271"</f>
        <v>271</v>
      </c>
      <c r="F213" t="str">
        <f t="shared" si="21"/>
        <v>0000</v>
      </c>
    </row>
    <row r="214" spans="1:6">
      <c r="A214" t="str">
        <f>"E1444-2"</f>
        <v>E1444-2</v>
      </c>
      <c r="B214" t="str">
        <f>"VICO DEI GARIBALDI  57R-"</f>
        <v>VICO DEI GARIBALDI  57R-</v>
      </c>
      <c r="C214" t="str">
        <f t="shared" si="22"/>
        <v>GEA</v>
      </c>
      <c r="D214">
        <v>96</v>
      </c>
      <c r="E214" t="str">
        <f>"272"</f>
        <v>272</v>
      </c>
      <c r="F214" t="str">
        <f t="shared" si="21"/>
        <v>0000</v>
      </c>
    </row>
    <row r="215" spans="1:6">
      <c r="A215" t="str">
        <f>"E1449-1"</f>
        <v>E1449-1</v>
      </c>
      <c r="B215" t="str">
        <f>"PIAZZA CAVOUR  47CR-"</f>
        <v>PIAZZA CAVOUR  47CR-</v>
      </c>
      <c r="C215" t="str">
        <f t="shared" si="22"/>
        <v>GEA</v>
      </c>
      <c r="D215">
        <v>84</v>
      </c>
      <c r="E215" t="str">
        <f>"114"</f>
        <v>114</v>
      </c>
      <c r="F215" t="str">
        <f t="shared" si="21"/>
        <v>0000</v>
      </c>
    </row>
    <row r="216" spans="1:6">
      <c r="A216" t="str">
        <f>"E1451-1"</f>
        <v>E1451-1</v>
      </c>
      <c r="B216" t="str">
        <f>"PIAZZA DELLO STATUTO  15-"</f>
        <v>PIAZZA DELLO STATUTO  15-</v>
      </c>
      <c r="C216" t="str">
        <f t="shared" si="22"/>
        <v>GEA</v>
      </c>
      <c r="D216">
        <v>80</v>
      </c>
      <c r="E216" t="str">
        <f>"102"</f>
        <v>102</v>
      </c>
      <c r="F216" t="str">
        <f>"1"</f>
        <v>1</v>
      </c>
    </row>
    <row r="217" spans="1:6">
      <c r="A217" t="str">
        <f>"E1452-1"</f>
        <v>E1452-1</v>
      </c>
      <c r="B217" t="str">
        <f>"SALITA ANTONIO GIUSTI  4-"</f>
        <v>SALITA ANTONIO GIUSTI  4-</v>
      </c>
      <c r="C217" t="str">
        <f t="shared" si="22"/>
        <v>GEA</v>
      </c>
      <c r="D217">
        <v>92</v>
      </c>
      <c r="E217" t="str">
        <f>"306"</f>
        <v>306</v>
      </c>
      <c r="F217" t="str">
        <f>"1"</f>
        <v>1</v>
      </c>
    </row>
    <row r="218" spans="1:6">
      <c r="C218" t="str">
        <f t="shared" si="22"/>
        <v>GEA</v>
      </c>
      <c r="D218">
        <v>92</v>
      </c>
      <c r="E218" t="str">
        <f>"9"</f>
        <v>9</v>
      </c>
      <c r="F218" t="str">
        <f>"0000"</f>
        <v>0000</v>
      </c>
    </row>
    <row r="219" spans="1:6">
      <c r="C219" t="str">
        <f t="shared" si="22"/>
        <v>GEA</v>
      </c>
      <c r="D219">
        <v>92</v>
      </c>
      <c r="E219" t="str">
        <f>"8"</f>
        <v>8</v>
      </c>
      <c r="F219" t="str">
        <f>"1"</f>
        <v>1</v>
      </c>
    </row>
    <row r="220" spans="1:6">
      <c r="C220" t="str">
        <f t="shared" si="22"/>
        <v>GEA</v>
      </c>
      <c r="D220">
        <v>92</v>
      </c>
      <c r="E220" t="str">
        <f>"7"</f>
        <v>7</v>
      </c>
      <c r="F220" t="str">
        <f>"1"</f>
        <v>1</v>
      </c>
    </row>
    <row r="221" spans="1:6">
      <c r="A221" t="str">
        <f>"E1454-1"</f>
        <v>E1454-1</v>
      </c>
      <c r="B221" t="str">
        <f>"PIAZZA DELLA MERIDIANA  1R-"</f>
        <v>PIAZZA DELLA MERIDIANA  1R-</v>
      </c>
      <c r="C221" t="str">
        <f t="shared" si="22"/>
        <v>GEA</v>
      </c>
      <c r="D221">
        <v>94</v>
      </c>
      <c r="E221" t="str">
        <f>"365"</f>
        <v>365</v>
      </c>
      <c r="F221" t="str">
        <f>"0000"</f>
        <v>0000</v>
      </c>
    </row>
    <row r="222" spans="1:6">
      <c r="A222" t="str">
        <f>"E1464-1"</f>
        <v>E1464-1</v>
      </c>
      <c r="B222" t="str">
        <f>"VIA TOMASO REGGIO  19-"</f>
        <v>VIA TOMASO REGGIO  19-</v>
      </c>
      <c r="C222" t="str">
        <f>"1"</f>
        <v>1</v>
      </c>
      <c r="D222">
        <v>45</v>
      </c>
      <c r="E222" t="str">
        <f>"586"</f>
        <v>586</v>
      </c>
      <c r="F222" t="str">
        <f>"0000"</f>
        <v>0000</v>
      </c>
    </row>
    <row r="223" spans="1:6">
      <c r="A223" t="str">
        <f>"E1465-1"</f>
        <v>E1465-1</v>
      </c>
      <c r="B223" t="str">
        <f>"SOTTOPASSAGGIO PORTELLO  23R-"</f>
        <v>SOTTOPASSAGGIO PORTELLO  23R-</v>
      </c>
      <c r="C223" t="str">
        <f t="shared" ref="C223:C228" si="23">"GEA"</f>
        <v>GEA</v>
      </c>
      <c r="D223">
        <v>96</v>
      </c>
      <c r="E223" t="str">
        <f t="shared" ref="E223:E228" si="24">"433"</f>
        <v>433</v>
      </c>
      <c r="F223" t="str">
        <f>"1"</f>
        <v>1</v>
      </c>
    </row>
    <row r="224" spans="1:6">
      <c r="A224" t="str">
        <f>"E1465-2"</f>
        <v>E1465-2</v>
      </c>
      <c r="B224" t="str">
        <f>"SOTTOPASSAGGIO PORTELLO  24R-"</f>
        <v>SOTTOPASSAGGIO PORTELLO  24R-</v>
      </c>
      <c r="C224" t="str">
        <f t="shared" si="23"/>
        <v>GEA</v>
      </c>
      <c r="D224">
        <v>95</v>
      </c>
      <c r="E224" t="str">
        <f t="shared" si="24"/>
        <v>433</v>
      </c>
      <c r="F224" t="str">
        <f>"2"</f>
        <v>2</v>
      </c>
    </row>
    <row r="225" spans="1:6">
      <c r="A225" t="str">
        <f>"E1465-3"</f>
        <v>E1465-3</v>
      </c>
      <c r="B225" t="str">
        <f>"SOTTOPASSAGGIO PORTELLO  25R-"</f>
        <v>SOTTOPASSAGGIO PORTELLO  25R-</v>
      </c>
      <c r="C225" t="str">
        <f t="shared" si="23"/>
        <v>GEA</v>
      </c>
      <c r="D225">
        <v>95</v>
      </c>
      <c r="E225" t="str">
        <f t="shared" si="24"/>
        <v>433</v>
      </c>
      <c r="F225" t="str">
        <f>"3"</f>
        <v>3</v>
      </c>
    </row>
    <row r="226" spans="1:6">
      <c r="A226" t="str">
        <f>"E1465-4"</f>
        <v>E1465-4</v>
      </c>
      <c r="B226" t="str">
        <f>"SOTTOPASSAGGIO PORTELLO  26R-"</f>
        <v>SOTTOPASSAGGIO PORTELLO  26R-</v>
      </c>
      <c r="C226" t="str">
        <f t="shared" si="23"/>
        <v>GEA</v>
      </c>
      <c r="D226">
        <v>95</v>
      </c>
      <c r="E226" t="str">
        <f t="shared" si="24"/>
        <v>433</v>
      </c>
      <c r="F226" t="str">
        <f>"4"</f>
        <v>4</v>
      </c>
    </row>
    <row r="227" spans="1:6">
      <c r="A227" t="str">
        <f>"E1465-5"</f>
        <v>E1465-5</v>
      </c>
      <c r="B227" t="str">
        <f>"SOTTOPASSAGGIO PORTELLO  27R-"</f>
        <v>SOTTOPASSAGGIO PORTELLO  27R-</v>
      </c>
      <c r="C227" t="str">
        <f t="shared" si="23"/>
        <v>GEA</v>
      </c>
      <c r="D227">
        <v>95</v>
      </c>
      <c r="E227" t="str">
        <f t="shared" si="24"/>
        <v>433</v>
      </c>
      <c r="F227" t="str">
        <f>"5"</f>
        <v>5</v>
      </c>
    </row>
    <row r="228" spans="1:6">
      <c r="A228" t="str">
        <f>"E1465-6"</f>
        <v>E1465-6</v>
      </c>
      <c r="B228" t="str">
        <f>"SOTTOPASSAGGIO PORTELLO VICINO AL 28R-"</f>
        <v>SOTTOPASSAGGIO PORTELLO VICINO AL 28R-</v>
      </c>
      <c r="C228" t="str">
        <f t="shared" si="23"/>
        <v>GEA</v>
      </c>
      <c r="D228">
        <v>95</v>
      </c>
      <c r="E228" t="str">
        <f t="shared" si="24"/>
        <v>433</v>
      </c>
      <c r="F228" t="str">
        <f>"6"</f>
        <v>6</v>
      </c>
    </row>
    <row r="229" spans="1:6">
      <c r="A229" t="str">
        <f>"E1484-1"</f>
        <v>E1484-1</v>
      </c>
      <c r="B229" t="str">
        <f>"VIA DEL LAGACCIO VICINO AL 25-"</f>
        <v>VIA DEL LAGACCIO VICINO AL 25-</v>
      </c>
      <c r="C229" t="str">
        <f>"GEC"</f>
        <v>GEC</v>
      </c>
      <c r="D229">
        <v>11</v>
      </c>
      <c r="E229" t="str">
        <f>"428"</f>
        <v>428</v>
      </c>
      <c r="F229" t="str">
        <f>"1"</f>
        <v>1</v>
      </c>
    </row>
    <row r="230" spans="1:6">
      <c r="A230" t="str">
        <f>"E1484-3"</f>
        <v>E1484-3</v>
      </c>
      <c r="B230" t="str">
        <f>"VIA DEL LAGACCIO VICINO AL 25-"</f>
        <v>VIA DEL LAGACCIO VICINO AL 25-</v>
      </c>
      <c r="C230" t="str">
        <f>"GEC"</f>
        <v>GEC</v>
      </c>
      <c r="D230">
        <v>11</v>
      </c>
      <c r="E230" t="str">
        <f>"428"</f>
        <v>428</v>
      </c>
      <c r="F230" t="str">
        <f>"3"</f>
        <v>3</v>
      </c>
    </row>
    <row r="231" spans="1:6">
      <c r="A231" t="str">
        <f>"E1486-1"</f>
        <v>E1486-1</v>
      </c>
      <c r="B231" t="str">
        <f>"VIA GOFFREDO MAMELI VICINO AL 1-"</f>
        <v>VIA GOFFREDO MAMELI VICINO AL 1-</v>
      </c>
      <c r="C231" t="str">
        <f>"1"</f>
        <v>1</v>
      </c>
      <c r="D231">
        <v>47</v>
      </c>
      <c r="E231" t="str">
        <f>"99999"</f>
        <v>99999</v>
      </c>
      <c r="F231" t="str">
        <f t="shared" ref="F231:F258" si="25">"0000"</f>
        <v>0000</v>
      </c>
    </row>
    <row r="232" spans="1:6">
      <c r="A232" t="str">
        <f>"E1487-1"</f>
        <v>E1487-1</v>
      </c>
      <c r="B232" t="str">
        <f>"SALITA DELLA PROVVIDENZA VICINO AL 2-"</f>
        <v>SALITA DELLA PROVVIDENZA VICINO AL 2-</v>
      </c>
      <c r="C232" t="str">
        <f>"GEA"</f>
        <v>GEA</v>
      </c>
      <c r="D232">
        <v>78</v>
      </c>
      <c r="E232" t="str">
        <f>"212"</f>
        <v>212</v>
      </c>
      <c r="F232" t="str">
        <f t="shared" si="25"/>
        <v>0000</v>
      </c>
    </row>
    <row r="233" spans="1:6">
      <c r="A233" t="str">
        <f>"E1488-1"</f>
        <v>E1488-1</v>
      </c>
      <c r="B233" t="str">
        <f>"SALITA DI SAN PAOLO VICINO AL 1-"</f>
        <v>SALITA DI SAN PAOLO VICINO AL 1-</v>
      </c>
      <c r="C233" t="str">
        <f>"GEA"</f>
        <v>GEA</v>
      </c>
      <c r="D233">
        <v>79</v>
      </c>
      <c r="E233" t="str">
        <f>"554"</f>
        <v>554</v>
      </c>
      <c r="F233" t="str">
        <f t="shared" si="25"/>
        <v>0000</v>
      </c>
    </row>
    <row r="234" spans="1:6">
      <c r="A234" t="str">
        <f>"E1492-1"</f>
        <v>E1492-1</v>
      </c>
      <c r="B234" t="str">
        <f>"VICO DEI BOTTAI  2R-"</f>
        <v>VICO DEI BOTTAI  2R-</v>
      </c>
      <c r="C234" t="str">
        <f t="shared" ref="C234:C247" si="26">"1"</f>
        <v>1</v>
      </c>
      <c r="D234">
        <v>66</v>
      </c>
      <c r="E234" t="str">
        <f t="shared" ref="E234:E239" si="27">"99999"</f>
        <v>99999</v>
      </c>
      <c r="F234" t="str">
        <f t="shared" si="25"/>
        <v>0000</v>
      </c>
    </row>
    <row r="235" spans="1:6">
      <c r="A235" t="str">
        <f>"E1493-1"</f>
        <v>E1493-1</v>
      </c>
      <c r="B235" t="str">
        <f>"SALITA DELLA TORRETTA VICINO AL 2R-"</f>
        <v>SALITA DELLA TORRETTA VICINO AL 2R-</v>
      </c>
      <c r="C235" t="str">
        <f t="shared" si="26"/>
        <v>1</v>
      </c>
      <c r="D235">
        <v>34</v>
      </c>
      <c r="E235" t="str">
        <f t="shared" si="27"/>
        <v>99999</v>
      </c>
      <c r="F235" t="str">
        <f t="shared" si="25"/>
        <v>0000</v>
      </c>
    </row>
    <row r="236" spans="1:6">
      <c r="A236" t="str">
        <f>"E1493-2"</f>
        <v>E1493-2</v>
      </c>
      <c r="B236" t="str">
        <f>"SALITA DELLA TORRETTA VICINO AL 2R-"</f>
        <v>SALITA DELLA TORRETTA VICINO AL 2R-</v>
      </c>
      <c r="C236" t="str">
        <f t="shared" si="26"/>
        <v>1</v>
      </c>
      <c r="D236">
        <v>34</v>
      </c>
      <c r="E236" t="str">
        <f t="shared" si="27"/>
        <v>99999</v>
      </c>
      <c r="F236" t="str">
        <f t="shared" si="25"/>
        <v>0000</v>
      </c>
    </row>
    <row r="237" spans="1:6">
      <c r="A237" t="str">
        <f>"E1495-1"</f>
        <v>E1495-1</v>
      </c>
      <c r="B237" t="str">
        <f>"CORSO FIRENZE VICINO AL 1-"</f>
        <v>CORSO FIRENZE VICINO AL 1-</v>
      </c>
      <c r="C237" t="str">
        <f t="shared" si="26"/>
        <v>1</v>
      </c>
      <c r="D237">
        <v>35</v>
      </c>
      <c r="E237" t="str">
        <f t="shared" si="27"/>
        <v>99999</v>
      </c>
      <c r="F237" t="str">
        <f t="shared" si="25"/>
        <v>0000</v>
      </c>
    </row>
    <row r="238" spans="1:6">
      <c r="A238" t="str">
        <f>"E1495-2"</f>
        <v>E1495-2</v>
      </c>
      <c r="B238" t="str">
        <f>"CORSO FIRENZE VICINO AL 1-"</f>
        <v>CORSO FIRENZE VICINO AL 1-</v>
      </c>
      <c r="C238" t="str">
        <f t="shared" si="26"/>
        <v>1</v>
      </c>
      <c r="D238">
        <v>35</v>
      </c>
      <c r="E238" t="str">
        <f t="shared" si="27"/>
        <v>99999</v>
      </c>
      <c r="F238" t="str">
        <f t="shared" si="25"/>
        <v>0000</v>
      </c>
    </row>
    <row r="239" spans="1:6">
      <c r="A239" t="str">
        <f>"E1495-3"</f>
        <v>E1495-3</v>
      </c>
      <c r="B239" t="str">
        <f>"CORSO FIRENZE VICINO AL 1-"</f>
        <v>CORSO FIRENZE VICINO AL 1-</v>
      </c>
      <c r="C239" t="str">
        <f t="shared" si="26"/>
        <v>1</v>
      </c>
      <c r="D239">
        <v>35</v>
      </c>
      <c r="E239" t="str">
        <f t="shared" si="27"/>
        <v>99999</v>
      </c>
      <c r="F239" t="str">
        <f t="shared" si="25"/>
        <v>0000</v>
      </c>
    </row>
    <row r="240" spans="1:6">
      <c r="A240" t="str">
        <f>"E1496-1"</f>
        <v>E1496-1</v>
      </c>
      <c r="B240" t="str">
        <f>"VIA CAFFARO  124R-"</f>
        <v>VIA CAFFARO  124R-</v>
      </c>
      <c r="C240" t="str">
        <f t="shared" si="26"/>
        <v>1</v>
      </c>
      <c r="D240">
        <v>35</v>
      </c>
      <c r="E240" t="str">
        <f>"711"</f>
        <v>711</v>
      </c>
      <c r="F240" t="str">
        <f t="shared" si="25"/>
        <v>0000</v>
      </c>
    </row>
    <row r="241" spans="1:6">
      <c r="C241" t="str">
        <f t="shared" si="26"/>
        <v>1</v>
      </c>
      <c r="D241">
        <v>35</v>
      </c>
      <c r="E241" t="str">
        <f>"755"</f>
        <v>755</v>
      </c>
      <c r="F241" t="str">
        <f t="shared" si="25"/>
        <v>0000</v>
      </c>
    </row>
    <row r="242" spans="1:6">
      <c r="A242" t="str">
        <f>"E1496-2"</f>
        <v>E1496-2</v>
      </c>
      <c r="B242" t="str">
        <f>"VIA CAFFARO  131R-"</f>
        <v>VIA CAFFARO  131R-</v>
      </c>
      <c r="C242" t="str">
        <f t="shared" si="26"/>
        <v>1</v>
      </c>
      <c r="D242">
        <v>35</v>
      </c>
      <c r="E242" t="str">
        <f>"711"</f>
        <v>711</v>
      </c>
      <c r="F242" t="str">
        <f t="shared" si="25"/>
        <v>0000</v>
      </c>
    </row>
    <row r="243" spans="1:6">
      <c r="C243" t="str">
        <f t="shared" si="26"/>
        <v>1</v>
      </c>
      <c r="D243">
        <v>35</v>
      </c>
      <c r="E243" t="str">
        <f>"755"</f>
        <v>755</v>
      </c>
      <c r="F243" t="str">
        <f t="shared" si="25"/>
        <v>0000</v>
      </c>
    </row>
    <row r="244" spans="1:6">
      <c r="A244" t="str">
        <f>"E1496-3"</f>
        <v>E1496-3</v>
      </c>
      <c r="B244" t="str">
        <f>"P.SO CAPORALE PIETRO BARS  19R-"</f>
        <v>P.SO CAPORALE PIETRO BARS  19R-</v>
      </c>
      <c r="C244" t="str">
        <f t="shared" si="26"/>
        <v>1</v>
      </c>
      <c r="D244">
        <v>35</v>
      </c>
      <c r="E244" t="str">
        <f>"711"</f>
        <v>711</v>
      </c>
      <c r="F244" t="str">
        <f t="shared" si="25"/>
        <v>0000</v>
      </c>
    </row>
    <row r="245" spans="1:6">
      <c r="C245" t="str">
        <f t="shared" si="26"/>
        <v>1</v>
      </c>
      <c r="D245">
        <v>35</v>
      </c>
      <c r="E245" t="str">
        <f>"755"</f>
        <v>755</v>
      </c>
      <c r="F245" t="str">
        <f t="shared" si="25"/>
        <v>0000</v>
      </c>
    </row>
    <row r="246" spans="1:6">
      <c r="A246" t="str">
        <f>"E1496-4"</f>
        <v>E1496-4</v>
      </c>
      <c r="B246" t="str">
        <f>"P.SO CAPORALE PIETRO BARS  19R-"</f>
        <v>P.SO CAPORALE PIETRO BARS  19R-</v>
      </c>
      <c r="C246" t="str">
        <f t="shared" si="26"/>
        <v>1</v>
      </c>
      <c r="D246">
        <v>35</v>
      </c>
      <c r="E246" t="str">
        <f>"711"</f>
        <v>711</v>
      </c>
      <c r="F246" t="str">
        <f t="shared" si="25"/>
        <v>0000</v>
      </c>
    </row>
    <row r="247" spans="1:6">
      <c r="C247" t="str">
        <f t="shared" si="26"/>
        <v>1</v>
      </c>
      <c r="D247">
        <v>35</v>
      </c>
      <c r="E247" t="str">
        <f>"755"</f>
        <v>755</v>
      </c>
      <c r="F247" t="str">
        <f t="shared" si="25"/>
        <v>0000</v>
      </c>
    </row>
    <row r="248" spans="1:6">
      <c r="A248" t="str">
        <f>"E1497-1"</f>
        <v>E1497-1</v>
      </c>
      <c r="B248" t="str">
        <f>"VIA ANTONIO GRAMSCI  19-"</f>
        <v>VIA ANTONIO GRAMSCI  19-</v>
      </c>
      <c r="C248" t="str">
        <f>"GEA"</f>
        <v>GEA</v>
      </c>
      <c r="D248">
        <v>80</v>
      </c>
      <c r="E248" t="str">
        <f>"101"</f>
        <v>101</v>
      </c>
      <c r="F248" t="str">
        <f t="shared" si="25"/>
        <v>0000</v>
      </c>
    </row>
    <row r="249" spans="1:6">
      <c r="A249" t="str">
        <f>"E1498-1"</f>
        <v>E1498-1</v>
      </c>
      <c r="B249" t="str">
        <f>"VIA PERTINACE VICINO AL 30R-"</f>
        <v>VIA PERTINACE VICINO AL 30R-</v>
      </c>
      <c r="C249" t="str">
        <f>"GEA"</f>
        <v>GEA</v>
      </c>
      <c r="D249">
        <v>91</v>
      </c>
      <c r="E249" t="str">
        <f>"3"</f>
        <v>3</v>
      </c>
      <c r="F249" t="str">
        <f t="shared" si="25"/>
        <v>0000</v>
      </c>
    </row>
    <row r="250" spans="1:6">
      <c r="A250" t="str">
        <f>"E1498-2"</f>
        <v>E1498-2</v>
      </c>
      <c r="B250" t="str">
        <f>"VIA PERTINACE  19R-"</f>
        <v>VIA PERTINACE  19R-</v>
      </c>
      <c r="C250" t="str">
        <f>"GEA"</f>
        <v>GEA</v>
      </c>
      <c r="D250">
        <v>91</v>
      </c>
      <c r="E250" t="str">
        <f>"10"</f>
        <v>10</v>
      </c>
      <c r="F250" t="str">
        <f t="shared" si="25"/>
        <v>0000</v>
      </c>
    </row>
    <row r="251" spans="1:6">
      <c r="A251" t="str">
        <f>"E1499-1"</f>
        <v>E1499-1</v>
      </c>
      <c r="B251" t="str">
        <f>"VIA PALESTRO  60R-"</f>
        <v>VIA PALESTRO  60R-</v>
      </c>
      <c r="C251" t="str">
        <f>"GEA"</f>
        <v>GEA</v>
      </c>
      <c r="D251">
        <v>101</v>
      </c>
      <c r="E251" t="str">
        <f>"67"</f>
        <v>67</v>
      </c>
      <c r="F251" t="str">
        <f t="shared" si="25"/>
        <v>0000</v>
      </c>
    </row>
    <row r="252" spans="1:6">
      <c r="A252" t="str">
        <f>"E1499-2"</f>
        <v>E1499-2</v>
      </c>
      <c r="B252" t="str">
        <f>"VIA PALESTRO  73R-"</f>
        <v>VIA PALESTRO  73R-</v>
      </c>
      <c r="C252" t="str">
        <f>"GEA"</f>
        <v>GEA</v>
      </c>
      <c r="D252">
        <v>101</v>
      </c>
      <c r="E252" t="str">
        <f>"68"</f>
        <v>68</v>
      </c>
      <c r="F252" t="str">
        <f t="shared" si="25"/>
        <v>0000</v>
      </c>
    </row>
    <row r="253" spans="1:6">
      <c r="A253" t="str">
        <f>"E1501-3"</f>
        <v>E1501-3</v>
      </c>
      <c r="B253" t="str">
        <f>"PIAZZA ACQUAVERDE  1-"</f>
        <v>PIAZZA ACQUAVERDE  1-</v>
      </c>
      <c r="C253" t="str">
        <f>"1"</f>
        <v>1</v>
      </c>
      <c r="D253">
        <v>44</v>
      </c>
      <c r="E253" t="str">
        <f>"99999"</f>
        <v>99999</v>
      </c>
      <c r="F253" t="str">
        <f t="shared" si="25"/>
        <v>0000</v>
      </c>
    </row>
    <row r="254" spans="1:6">
      <c r="A254" t="str">
        <f>"E1502-1"</f>
        <v>E1502-1</v>
      </c>
      <c r="B254" t="str">
        <f>"VIA GAETANO COLOMBO  20A-"</f>
        <v>VIA GAETANO COLOMBO  20A-</v>
      </c>
      <c r="C254" t="str">
        <f>"GEA"</f>
        <v>GEA</v>
      </c>
      <c r="D254">
        <v>94</v>
      </c>
      <c r="E254" t="str">
        <f>"171"</f>
        <v>171</v>
      </c>
      <c r="F254" t="str">
        <f t="shared" si="25"/>
        <v>0000</v>
      </c>
    </row>
    <row r="255" spans="1:6">
      <c r="A255" t="str">
        <f>"E1504-1"</f>
        <v>E1504-1</v>
      </c>
      <c r="B255" t="str">
        <f>"SCALETTA CARMAGNOLA  5-"</f>
        <v>SCALETTA CARMAGNOLA  5-</v>
      </c>
      <c r="C255" t="str">
        <f>"GEA"</f>
        <v>GEA</v>
      </c>
      <c r="D255">
        <v>95</v>
      </c>
      <c r="E255" t="str">
        <f>"418"</f>
        <v>418</v>
      </c>
      <c r="F255" t="str">
        <f t="shared" si="25"/>
        <v>0000</v>
      </c>
    </row>
    <row r="256" spans="1:6">
      <c r="A256" t="str">
        <f>"E1505-1"</f>
        <v>E1505-1</v>
      </c>
      <c r="B256" t="str">
        <f>"LARGO DELLA ZECCA VICINO AL 8-"</f>
        <v>LARGO DELLA ZECCA VICINO AL 8-</v>
      </c>
      <c r="C256" t="str">
        <f>"1"</f>
        <v>1</v>
      </c>
      <c r="D256">
        <v>34</v>
      </c>
      <c r="E256" t="str">
        <f>"677"</f>
        <v>677</v>
      </c>
      <c r="F256" t="str">
        <f t="shared" si="25"/>
        <v>0000</v>
      </c>
    </row>
    <row r="257" spans="1:6">
      <c r="A257" t="str">
        <f>"E1508-1"</f>
        <v>E1508-1</v>
      </c>
      <c r="B257" t="str">
        <f>"PIAZZA SENAREGA  2-"</f>
        <v>PIAZZA SENAREGA  2-</v>
      </c>
      <c r="C257" t="str">
        <f t="shared" ref="C257:C264" si="28">"GEA"</f>
        <v>GEA</v>
      </c>
      <c r="D257">
        <v>83</v>
      </c>
      <c r="E257" t="str">
        <f>"122"</f>
        <v>122</v>
      </c>
      <c r="F257" t="str">
        <f t="shared" si="25"/>
        <v>0000</v>
      </c>
    </row>
    <row r="258" spans="1:6">
      <c r="A258" t="str">
        <f>"E1509-1"</f>
        <v>E1509-1</v>
      </c>
      <c r="B258" t="str">
        <f>"VIA DINO BELLUCCI  22R-"</f>
        <v>VIA DINO BELLUCCI  22R-</v>
      </c>
      <c r="C258" t="str">
        <f t="shared" si="28"/>
        <v>GEA</v>
      </c>
      <c r="D258">
        <v>92</v>
      </c>
      <c r="E258" t="str">
        <f>"367"</f>
        <v>367</v>
      </c>
      <c r="F258" t="str">
        <f t="shared" si="25"/>
        <v>0000</v>
      </c>
    </row>
    <row r="259" spans="1:6">
      <c r="A259" t="str">
        <f>"E1510-2"</f>
        <v>E1510-2</v>
      </c>
      <c r="B259" t="str">
        <f>"VIA DEL MOLO  91R-"</f>
        <v>VIA DEL MOLO  91R-</v>
      </c>
      <c r="C259" t="str">
        <f t="shared" si="28"/>
        <v>GEA</v>
      </c>
      <c r="D259">
        <v>84</v>
      </c>
      <c r="E259" t="str">
        <f>"64"</f>
        <v>64</v>
      </c>
      <c r="F259" t="str">
        <f>"6"</f>
        <v>6</v>
      </c>
    </row>
    <row r="260" spans="1:6">
      <c r="A260" t="str">
        <f>"E1511-1"</f>
        <v>E1511-1</v>
      </c>
      <c r="B260" t="str">
        <f>"SALITA DI SAN GEROLAMO  2AR-"</f>
        <v>SALITA DI SAN GEROLAMO  2AR-</v>
      </c>
      <c r="C260" t="str">
        <f t="shared" si="28"/>
        <v>GEA</v>
      </c>
      <c r="D260">
        <v>94</v>
      </c>
      <c r="E260" t="str">
        <f>"199"</f>
        <v>199</v>
      </c>
      <c r="F260" t="str">
        <f>"0000"</f>
        <v>0000</v>
      </c>
    </row>
    <row r="261" spans="1:6">
      <c r="A261" t="str">
        <f>"E1511-2"</f>
        <v>E1511-2</v>
      </c>
      <c r="B261" t="str">
        <f>"SALITA DI SAN GEROLAMO  4R-"</f>
        <v>SALITA DI SAN GEROLAMO  4R-</v>
      </c>
      <c r="C261" t="str">
        <f t="shared" si="28"/>
        <v>GEA</v>
      </c>
      <c r="D261">
        <v>94</v>
      </c>
      <c r="E261" t="str">
        <f>"253"</f>
        <v>253</v>
      </c>
      <c r="F261" t="str">
        <f>"1"</f>
        <v>1</v>
      </c>
    </row>
    <row r="262" spans="1:6">
      <c r="A262" t="str">
        <f>"E1511-3"</f>
        <v>E1511-3</v>
      </c>
      <c r="B262" t="str">
        <f>"SALITA DI SAN GEROLAMO  6R-"</f>
        <v>SALITA DI SAN GEROLAMO  6R-</v>
      </c>
      <c r="C262" t="str">
        <f t="shared" si="28"/>
        <v>GEA</v>
      </c>
      <c r="D262">
        <v>94</v>
      </c>
      <c r="E262" t="str">
        <f>"253"</f>
        <v>253</v>
      </c>
      <c r="F262" t="str">
        <f>"2"</f>
        <v>2</v>
      </c>
    </row>
    <row r="263" spans="1:6">
      <c r="A263" t="str">
        <f>"E1511-4"</f>
        <v>E1511-4</v>
      </c>
      <c r="B263" t="str">
        <f>"SALITA DI SAN GEROLAMO  8R-"</f>
        <v>SALITA DI SAN GEROLAMO  8R-</v>
      </c>
      <c r="C263" t="str">
        <f t="shared" si="28"/>
        <v>GEA</v>
      </c>
      <c r="D263">
        <v>94</v>
      </c>
      <c r="E263" t="str">
        <f>"253"</f>
        <v>253</v>
      </c>
      <c r="F263" t="str">
        <f>"3"</f>
        <v>3</v>
      </c>
    </row>
    <row r="264" spans="1:6">
      <c r="A264" t="str">
        <f>"E1511-5"</f>
        <v>E1511-5</v>
      </c>
      <c r="B264" t="str">
        <f>"SALITA DELLA TORRETTA  2R-"</f>
        <v>SALITA DELLA TORRETTA  2R-</v>
      </c>
      <c r="C264" t="str">
        <f t="shared" si="28"/>
        <v>GEA</v>
      </c>
      <c r="D264">
        <v>94</v>
      </c>
      <c r="E264" t="str">
        <f>"253"</f>
        <v>253</v>
      </c>
      <c r="F264" t="str">
        <f>"4"</f>
        <v>4</v>
      </c>
    </row>
    <row r="265" spans="1:6">
      <c r="A265" t="str">
        <f>"E1512-1"</f>
        <v>E1512-1</v>
      </c>
      <c r="B265" t="str">
        <f>"PIAZZA BANCHI  2-"</f>
        <v>PIAZZA BANCHI  2-</v>
      </c>
      <c r="C265" t="str">
        <f>"1"</f>
        <v>1</v>
      </c>
      <c r="D265">
        <v>45</v>
      </c>
      <c r="E265" t="str">
        <f>"438"</f>
        <v>438</v>
      </c>
      <c r="F265" t="str">
        <f>"0000"</f>
        <v>0000</v>
      </c>
    </row>
    <row r="266" spans="1:6">
      <c r="C266" t="str">
        <f>"1"</f>
        <v>1</v>
      </c>
      <c r="D266">
        <v>45</v>
      </c>
      <c r="E266" t="str">
        <f>"439"</f>
        <v>439</v>
      </c>
      <c r="F266" t="str">
        <f>"0000"</f>
        <v>0000</v>
      </c>
    </row>
    <row r="267" spans="1:6">
      <c r="A267" t="str">
        <f>"E1515-4"</f>
        <v>E1515-4</v>
      </c>
      <c r="B267" t="str">
        <f>"VIA UGO FOSCOLO  3-"</f>
        <v>VIA UGO FOSCOLO  3-</v>
      </c>
      <c r="C267" t="str">
        <f>"GEA"</f>
        <v>GEA</v>
      </c>
      <c r="D267">
        <v>106</v>
      </c>
      <c r="E267" t="str">
        <f>"86"</f>
        <v>86</v>
      </c>
      <c r="F267" t="str">
        <f>"7"</f>
        <v>7</v>
      </c>
    </row>
    <row r="268" spans="1:6">
      <c r="A268" t="str">
        <f>"E1515-5"</f>
        <v>E1515-5</v>
      </c>
      <c r="B268" t="str">
        <f>"VIA SAN VINCENZO  197R-"</f>
        <v>VIA SAN VINCENZO  197R-</v>
      </c>
      <c r="C268" t="str">
        <f>"GEA"</f>
        <v>GEA</v>
      </c>
      <c r="D268">
        <v>106</v>
      </c>
      <c r="E268" t="str">
        <f>"84"</f>
        <v>84</v>
      </c>
      <c r="F268" t="str">
        <f>"8"</f>
        <v>8</v>
      </c>
    </row>
    <row r="269" spans="1:6">
      <c r="A269" t="str">
        <f>"E1516-1"</f>
        <v>E1516-1</v>
      </c>
      <c r="B269" t="str">
        <f>"VIA DELLA CONSOLAZIONE VICINO AL 5R-"</f>
        <v>VIA DELLA CONSOLAZIONE VICINO AL 5R-</v>
      </c>
      <c r="C269" t="str">
        <f>"GEA"</f>
        <v>GEA</v>
      </c>
      <c r="D269">
        <v>106</v>
      </c>
      <c r="E269" t="str">
        <f>"C"</f>
        <v>C</v>
      </c>
      <c r="F269" t="str">
        <f>"8"</f>
        <v>8</v>
      </c>
    </row>
    <row r="270" spans="1:6">
      <c r="A270" t="str">
        <f>"E1519-1"</f>
        <v>E1519-1</v>
      </c>
      <c r="B270" t="str">
        <f>"SAL MONTAGNOLA DEI SERVI VICINO AL 23-"</f>
        <v>SAL MONTAGNOLA DEI SERVI VICINO AL 23-</v>
      </c>
      <c r="C270" t="str">
        <f>"1"</f>
        <v>1</v>
      </c>
      <c r="D270">
        <v>83</v>
      </c>
      <c r="E270" t="str">
        <f>"99999"</f>
        <v>99999</v>
      </c>
      <c r="F270" t="str">
        <f t="shared" ref="F270:F287" si="29">"0000"</f>
        <v>0000</v>
      </c>
    </row>
    <row r="271" spans="1:6">
      <c r="A271" t="str">
        <f>"E1525-1"</f>
        <v>E1525-1</v>
      </c>
      <c r="B271" t="str">
        <f>"SALITA DELLA TOSSE  11R-"</f>
        <v>SALITA DELLA TOSSE  11R-</v>
      </c>
      <c r="C271" t="str">
        <f>"GEA"</f>
        <v>GEA</v>
      </c>
      <c r="D271">
        <v>106</v>
      </c>
      <c r="E271" t="str">
        <f>"52"</f>
        <v>52</v>
      </c>
      <c r="F271" t="str">
        <f t="shared" si="29"/>
        <v>0000</v>
      </c>
    </row>
    <row r="272" spans="1:6">
      <c r="A272" t="str">
        <f>"E1527-1"</f>
        <v>E1527-1</v>
      </c>
      <c r="B272" t="str">
        <f>"PASSO FRUGONI VICINO AL 4-"</f>
        <v>PASSO FRUGONI VICINO AL 4-</v>
      </c>
      <c r="C272" t="str">
        <f>"GEA"</f>
        <v>GEA</v>
      </c>
      <c r="D272">
        <v>98</v>
      </c>
      <c r="E272" t="str">
        <f>"256"</f>
        <v>256</v>
      </c>
      <c r="F272" t="str">
        <f t="shared" si="29"/>
        <v>0000</v>
      </c>
    </row>
    <row r="273" spans="1:6">
      <c r="A273" t="str">
        <f>"E1528-1"</f>
        <v>E1528-1</v>
      </c>
      <c r="B273" t="str">
        <f>"VIALE VILLA GLORI VICINO AL 3-"</f>
        <v>VIALE VILLA GLORI VICINO AL 3-</v>
      </c>
      <c r="C273" t="str">
        <f>"1"</f>
        <v>1</v>
      </c>
      <c r="D273">
        <v>84</v>
      </c>
      <c r="E273" t="str">
        <f>"99999"</f>
        <v>99999</v>
      </c>
      <c r="F273" t="str">
        <f t="shared" si="29"/>
        <v>0000</v>
      </c>
    </row>
    <row r="274" spans="1:6">
      <c r="A274" t="str">
        <f>"E1529-1"</f>
        <v>E1529-1</v>
      </c>
      <c r="B274" t="str">
        <f>"VIA GARIBALDI  9-"</f>
        <v>VIA GARIBALDI  9-</v>
      </c>
      <c r="C274" t="str">
        <f>"GEA"</f>
        <v>GEA</v>
      </c>
      <c r="D274">
        <v>95</v>
      </c>
      <c r="E274" t="str">
        <f>"78"</f>
        <v>78</v>
      </c>
      <c r="F274" t="str">
        <f t="shared" si="29"/>
        <v>0000</v>
      </c>
    </row>
    <row r="275" spans="1:6">
      <c r="A275" t="str">
        <f>"E1531-1"</f>
        <v>E1531-1</v>
      </c>
      <c r="B275" t="str">
        <f>"PIAZZA DI PORTORIA  1-"</f>
        <v>PIAZZA DI PORTORIA  1-</v>
      </c>
      <c r="C275" t="str">
        <f>"1"</f>
        <v>1</v>
      </c>
      <c r="D275">
        <v>68</v>
      </c>
      <c r="E275" t="str">
        <f>"292"</f>
        <v>292</v>
      </c>
      <c r="F275" t="str">
        <f t="shared" si="29"/>
        <v>0000</v>
      </c>
    </row>
    <row r="276" spans="1:6">
      <c r="A276" t="str">
        <f>"E1531-2"</f>
        <v>E1531-2</v>
      </c>
      <c r="B276" t="str">
        <f>"VIA DELLE CASACCIE  5-"</f>
        <v>VIA DELLE CASACCIE  5-</v>
      </c>
      <c r="C276" t="str">
        <f>"1"</f>
        <v>1</v>
      </c>
      <c r="D276">
        <v>68</v>
      </c>
      <c r="E276" t="str">
        <f>"292"</f>
        <v>292</v>
      </c>
      <c r="F276" t="str">
        <f t="shared" si="29"/>
        <v>0000</v>
      </c>
    </row>
    <row r="277" spans="1:6">
      <c r="A277" t="str">
        <f>"E1531-3"</f>
        <v>E1531-3</v>
      </c>
      <c r="B277" t="str">
        <f>"VIA DELLE CASACCIE  5-"</f>
        <v>VIA DELLE CASACCIE  5-</v>
      </c>
      <c r="C277" t="str">
        <f>"1"</f>
        <v>1</v>
      </c>
      <c r="D277">
        <v>68</v>
      </c>
      <c r="E277" t="str">
        <f>"292"</f>
        <v>292</v>
      </c>
      <c r="F277" t="str">
        <f t="shared" si="29"/>
        <v>0000</v>
      </c>
    </row>
    <row r="278" spans="1:6">
      <c r="A278" t="str">
        <f>"E1533-1"</f>
        <v>E1533-1</v>
      </c>
      <c r="B278" t="str">
        <f>"PIAZZA PICCAPIETRA  58A-"</f>
        <v>PIAZZA PICCAPIETRA  58A-</v>
      </c>
      <c r="C278" t="str">
        <f>"GEA"</f>
        <v>GEA</v>
      </c>
      <c r="D278">
        <v>96</v>
      </c>
      <c r="E278" t="str">
        <f>"1069"</f>
        <v>1069</v>
      </c>
      <c r="F278" t="str">
        <f t="shared" si="29"/>
        <v>0000</v>
      </c>
    </row>
    <row r="279" spans="1:6">
      <c r="C279" t="str">
        <f>"GEA"</f>
        <v>GEA</v>
      </c>
      <c r="D279">
        <v>96</v>
      </c>
      <c r="E279" t="str">
        <f>"1070"</f>
        <v>1070</v>
      </c>
      <c r="F279" t="str">
        <f t="shared" si="29"/>
        <v>0000</v>
      </c>
    </row>
    <row r="280" spans="1:6">
      <c r="A280" t="str">
        <f>"E1534-1"</f>
        <v>E1534-1</v>
      </c>
      <c r="B280" t="str">
        <f>"VIA EUGENIA RAVASCO VICINO AL 13-"</f>
        <v>VIA EUGENIA RAVASCO VICINO AL 13-</v>
      </c>
      <c r="C280" t="str">
        <f t="shared" ref="C280:C285" si="30">"1"</f>
        <v>1</v>
      </c>
      <c r="D280">
        <v>67</v>
      </c>
      <c r="E280" t="str">
        <f>"1071"</f>
        <v>1071</v>
      </c>
      <c r="F280" t="str">
        <f t="shared" si="29"/>
        <v>0000</v>
      </c>
    </row>
    <row r="281" spans="1:6">
      <c r="C281" t="str">
        <f t="shared" si="30"/>
        <v>1</v>
      </c>
      <c r="D281">
        <v>67</v>
      </c>
      <c r="E281" t="str">
        <f>"1073"</f>
        <v>1073</v>
      </c>
      <c r="F281" t="str">
        <f t="shared" si="29"/>
        <v>0000</v>
      </c>
    </row>
    <row r="282" spans="1:6">
      <c r="C282" t="str">
        <f t="shared" si="30"/>
        <v>1</v>
      </c>
      <c r="D282">
        <v>67</v>
      </c>
      <c r="E282" t="str">
        <f>"99999"</f>
        <v>99999</v>
      </c>
      <c r="F282" t="str">
        <f t="shared" si="29"/>
        <v>0000</v>
      </c>
    </row>
    <row r="283" spans="1:6">
      <c r="C283" t="str">
        <f t="shared" si="30"/>
        <v>1</v>
      </c>
      <c r="D283">
        <v>67</v>
      </c>
      <c r="E283" t="str">
        <f>"743"</f>
        <v>743</v>
      </c>
      <c r="F283" t="str">
        <f t="shared" si="29"/>
        <v>0000</v>
      </c>
    </row>
    <row r="284" spans="1:6">
      <c r="C284" t="str">
        <f t="shared" si="30"/>
        <v>1</v>
      </c>
      <c r="D284">
        <v>67</v>
      </c>
      <c r="E284" t="str">
        <f>"1072"</f>
        <v>1072</v>
      </c>
      <c r="F284" t="str">
        <f t="shared" si="29"/>
        <v>0000</v>
      </c>
    </row>
    <row r="285" spans="1:6">
      <c r="A285" t="str">
        <f>"E1535-1"</f>
        <v>E1535-1</v>
      </c>
      <c r="B285" t="str">
        <f>"P.ZA RAFFAELE DE FERRARI VICINO AL 1-"</f>
        <v>P.ZA RAFFAELE DE FERRARI VICINO AL 1-</v>
      </c>
      <c r="C285" t="str">
        <f t="shared" si="30"/>
        <v>1</v>
      </c>
      <c r="D285">
        <v>68</v>
      </c>
      <c r="E285" t="str">
        <f>"99999"</f>
        <v>99999</v>
      </c>
      <c r="F285" t="str">
        <f t="shared" si="29"/>
        <v>0000</v>
      </c>
    </row>
    <row r="286" spans="1:6">
      <c r="A286" t="str">
        <f>"E1536-1"</f>
        <v>E1536-1</v>
      </c>
      <c r="B286" t="str">
        <f>"SALITA SALVATORE VIALE  14AR-"</f>
        <v>SALITA SALVATORE VIALE  14AR-</v>
      </c>
      <c r="C286" t="str">
        <f>"GEA"</f>
        <v>GEA</v>
      </c>
      <c r="D286">
        <v>97</v>
      </c>
      <c r="E286" t="str">
        <f>"215"</f>
        <v>215</v>
      </c>
      <c r="F286" t="str">
        <f t="shared" si="29"/>
        <v>0000</v>
      </c>
    </row>
    <row r="287" spans="1:6">
      <c r="A287" t="str">
        <f>"E1536-2"</f>
        <v>E1536-2</v>
      </c>
      <c r="B287" t="str">
        <f>"SALITA SALVATORE VIALE  14AR-"</f>
        <v>SALITA SALVATORE VIALE  14AR-</v>
      </c>
      <c r="C287" t="str">
        <f>"GEA"</f>
        <v>GEA</v>
      </c>
      <c r="D287">
        <v>97</v>
      </c>
      <c r="E287" t="str">
        <f>"357"</f>
        <v>357</v>
      </c>
      <c r="F287" t="str">
        <f t="shared" si="29"/>
        <v>0000</v>
      </c>
    </row>
    <row r="288" spans="1:6">
      <c r="C288" t="str">
        <f>"GEA"</f>
        <v>GEA</v>
      </c>
      <c r="D288">
        <v>97</v>
      </c>
      <c r="E288" t="str">
        <f>"418"</f>
        <v>418</v>
      </c>
      <c r="F288" t="str">
        <f>"4"</f>
        <v>4</v>
      </c>
    </row>
    <row r="289" spans="1:6">
      <c r="A289" t="str">
        <f>"E1538-1"</f>
        <v>E1538-1</v>
      </c>
      <c r="B289" t="str">
        <f>"VIA GARIBALDI  9-"</f>
        <v>VIA GARIBALDI  9-</v>
      </c>
      <c r="C289" t="str">
        <f>"1"</f>
        <v>1</v>
      </c>
      <c r="D289">
        <v>46</v>
      </c>
      <c r="E289" t="str">
        <f>"249"</f>
        <v>249</v>
      </c>
      <c r="F289" t="str">
        <f>"0000"</f>
        <v>0000</v>
      </c>
    </row>
    <row r="290" spans="1:6">
      <c r="C290" t="str">
        <f>"1"</f>
        <v>1</v>
      </c>
      <c r="D290">
        <v>46</v>
      </c>
      <c r="E290" t="str">
        <f>"322"</f>
        <v>322</v>
      </c>
      <c r="F290" t="str">
        <f>"0000"</f>
        <v>0000</v>
      </c>
    </row>
    <row r="291" spans="1:6">
      <c r="C291" t="str">
        <f>"1"</f>
        <v>1</v>
      </c>
      <c r="D291">
        <v>46</v>
      </c>
      <c r="E291" t="str">
        <f>"283"</f>
        <v>283</v>
      </c>
      <c r="F291" t="str">
        <f>"0000"</f>
        <v>0000</v>
      </c>
    </row>
    <row r="292" spans="1:6">
      <c r="A292" t="str">
        <f>"E1541-1"</f>
        <v>E1541-1</v>
      </c>
      <c r="B292" t="str">
        <f>"VIA DELLA CONSOLAZIONE  5-"</f>
        <v>VIA DELLA CONSOLAZIONE  5-</v>
      </c>
      <c r="C292" t="str">
        <f>"GEA"</f>
        <v>GEA</v>
      </c>
      <c r="D292">
        <v>106</v>
      </c>
      <c r="E292" t="str">
        <f>"312"</f>
        <v>312</v>
      </c>
      <c r="F292" t="str">
        <f>"19"</f>
        <v>19</v>
      </c>
    </row>
    <row r="293" spans="1:6">
      <c r="A293" t="str">
        <f>"E1545-1"</f>
        <v>E1545-1</v>
      </c>
      <c r="B293" t="str">
        <f>"VIA GIOVANNI CARBONE  29R-"</f>
        <v>VIA GIOVANNI CARBONE  29R-</v>
      </c>
      <c r="C293" t="str">
        <f>"GEC"</f>
        <v>GEC</v>
      </c>
      <c r="D293">
        <v>6</v>
      </c>
      <c r="E293" t="str">
        <f>"649"</f>
        <v>649</v>
      </c>
      <c r="F293" t="str">
        <f>"5"</f>
        <v>5</v>
      </c>
    </row>
    <row r="294" spans="1:6">
      <c r="A294" t="str">
        <f>"E1546-1"</f>
        <v>E1546-1</v>
      </c>
      <c r="B294" t="str">
        <f>"SOTTOPASSAGGIO DE FERRARI  3R-"</f>
        <v>SOTTOPASSAGGIO DE FERRARI  3R-</v>
      </c>
      <c r="C294" t="str">
        <f>"1"</f>
        <v>1</v>
      </c>
      <c r="D294">
        <v>68</v>
      </c>
      <c r="E294" t="str">
        <f>"301"</f>
        <v>301</v>
      </c>
      <c r="F294" t="str">
        <f>"0000"</f>
        <v>0000</v>
      </c>
    </row>
    <row r="295" spans="1:6">
      <c r="A295" t="str">
        <f>"E1547-36"</f>
        <v>E1547-36</v>
      </c>
      <c r="B295" t="str">
        <f>"PIAZZA GIACOMO MATTEOTTI  9-"</f>
        <v>PIAZZA GIACOMO MATTEOTTI  9-</v>
      </c>
      <c r="C295" t="str">
        <f t="shared" ref="C295:C305" si="31">"GEA"</f>
        <v>GEA</v>
      </c>
      <c r="D295">
        <v>96</v>
      </c>
      <c r="E295" t="str">
        <f t="shared" ref="E295:E305" si="32">"61"</f>
        <v>61</v>
      </c>
      <c r="F295" t="str">
        <f>"47"</f>
        <v>47</v>
      </c>
    </row>
    <row r="296" spans="1:6">
      <c r="A296" t="str">
        <f>"E1547-47"</f>
        <v>E1547-47</v>
      </c>
      <c r="B296" t="str">
        <f>"PIAZZA GIACOMO MATTEOTTI  8R-"</f>
        <v>PIAZZA GIACOMO MATTEOTTI  8R-</v>
      </c>
      <c r="C296" t="str">
        <f t="shared" si="31"/>
        <v>GEA</v>
      </c>
      <c r="D296">
        <v>96</v>
      </c>
      <c r="E296" t="str">
        <f t="shared" si="32"/>
        <v>61</v>
      </c>
      <c r="F296" t="str">
        <f>"68"</f>
        <v>68</v>
      </c>
    </row>
    <row r="297" spans="1:6">
      <c r="A297" t="str">
        <f>"E1547-48"</f>
        <v>E1547-48</v>
      </c>
      <c r="B297" t="str">
        <f>"PIAZZA GIACOMO MATTEOTTI  84R-"</f>
        <v>PIAZZA GIACOMO MATTEOTTI  84R-</v>
      </c>
      <c r="C297" t="str">
        <f t="shared" si="31"/>
        <v>GEA</v>
      </c>
      <c r="D297">
        <v>96</v>
      </c>
      <c r="E297" t="str">
        <f t="shared" si="32"/>
        <v>61</v>
      </c>
      <c r="F297" t="str">
        <f>"51"</f>
        <v>51</v>
      </c>
    </row>
    <row r="298" spans="1:6">
      <c r="A298" t="str">
        <f>"E1547-49"</f>
        <v>E1547-49</v>
      </c>
      <c r="B298" t="str">
        <f>"PIAZZA GIACOMO MATTEOTTI  82R-"</f>
        <v>PIAZZA GIACOMO MATTEOTTI  82R-</v>
      </c>
      <c r="C298" t="str">
        <f t="shared" si="31"/>
        <v>GEA</v>
      </c>
      <c r="D298">
        <v>96</v>
      </c>
      <c r="E298" t="str">
        <f t="shared" si="32"/>
        <v>61</v>
      </c>
      <c r="F298" t="str">
        <f>"52"</f>
        <v>52</v>
      </c>
    </row>
    <row r="299" spans="1:6">
      <c r="A299" t="str">
        <f>"E1547-50"</f>
        <v>E1547-50</v>
      </c>
      <c r="B299" t="str">
        <f>"PIAZZA GIACOMO MATTEOTTI  80R-"</f>
        <v>PIAZZA GIACOMO MATTEOTTI  80R-</v>
      </c>
      <c r="C299" t="str">
        <f t="shared" si="31"/>
        <v>GEA</v>
      </c>
      <c r="D299">
        <v>96</v>
      </c>
      <c r="E299" t="str">
        <f t="shared" si="32"/>
        <v>61</v>
      </c>
      <c r="F299" t="str">
        <f>"52"</f>
        <v>52</v>
      </c>
    </row>
    <row r="300" spans="1:6">
      <c r="A300" t="str">
        <f>"E1547-51"</f>
        <v>E1547-51</v>
      </c>
      <c r="B300" t="str">
        <f>"PIAZZA GIACOMO MATTEOTTI  78R-"</f>
        <v>PIAZZA GIACOMO MATTEOTTI  78R-</v>
      </c>
      <c r="C300" t="str">
        <f t="shared" si="31"/>
        <v>GEA</v>
      </c>
      <c r="D300">
        <v>96</v>
      </c>
      <c r="E300" t="str">
        <f t="shared" si="32"/>
        <v>61</v>
      </c>
      <c r="F300" t="str">
        <f>"53"</f>
        <v>53</v>
      </c>
    </row>
    <row r="301" spans="1:6">
      <c r="A301" t="str">
        <f>"E1547-52"</f>
        <v>E1547-52</v>
      </c>
      <c r="B301" t="str">
        <f>"PIAZZA GIACOMO MATTEOTTI  76R-"</f>
        <v>PIAZZA GIACOMO MATTEOTTI  76R-</v>
      </c>
      <c r="C301" t="str">
        <f t="shared" si="31"/>
        <v>GEA</v>
      </c>
      <c r="D301">
        <v>96</v>
      </c>
      <c r="E301" t="str">
        <f t="shared" si="32"/>
        <v>61</v>
      </c>
      <c r="F301" t="str">
        <f>"54"</f>
        <v>54</v>
      </c>
    </row>
    <row r="302" spans="1:6">
      <c r="A302" t="str">
        <f>"E1547-53"</f>
        <v>E1547-53</v>
      </c>
      <c r="B302" t="str">
        <f>"PIAZZA GIACOMO MATTEOTTI  72R-"</f>
        <v>PIAZZA GIACOMO MATTEOTTI  72R-</v>
      </c>
      <c r="C302" t="str">
        <f t="shared" si="31"/>
        <v>GEA</v>
      </c>
      <c r="D302">
        <v>96</v>
      </c>
      <c r="E302" t="str">
        <f t="shared" si="32"/>
        <v>61</v>
      </c>
      <c r="F302" t="str">
        <f>"55"</f>
        <v>55</v>
      </c>
    </row>
    <row r="303" spans="1:6">
      <c r="A303" t="str">
        <f>"E1547-54"</f>
        <v>E1547-54</v>
      </c>
      <c r="B303" t="str">
        <f>"PIAZZA GIACOMO MATTEOTTI  10R-"</f>
        <v>PIAZZA GIACOMO MATTEOTTI  10R-</v>
      </c>
      <c r="C303" t="str">
        <f t="shared" si="31"/>
        <v>GEA</v>
      </c>
      <c r="D303">
        <v>96</v>
      </c>
      <c r="E303" t="str">
        <f t="shared" si="32"/>
        <v>61</v>
      </c>
      <c r="F303" t="str">
        <f>"69"</f>
        <v>69</v>
      </c>
    </row>
    <row r="304" spans="1:6">
      <c r="A304" t="str">
        <f>"E1547-55"</f>
        <v>E1547-55</v>
      </c>
      <c r="B304" t="str">
        <f>"PIAZZA GIACOMO MATTEOTTI  26R-"</f>
        <v>PIAZZA GIACOMO MATTEOTTI  26R-</v>
      </c>
      <c r="C304" t="str">
        <f t="shared" si="31"/>
        <v>GEA</v>
      </c>
      <c r="D304">
        <v>96</v>
      </c>
      <c r="E304" t="str">
        <f t="shared" si="32"/>
        <v>61</v>
      </c>
      <c r="F304" t="str">
        <f>"64"</f>
        <v>64</v>
      </c>
    </row>
    <row r="305" spans="1:6">
      <c r="A305" t="str">
        <f>"E1547-56"</f>
        <v>E1547-56</v>
      </c>
      <c r="B305" t="str">
        <f>"PIAZZA GIACOMO MATTEOTTI  28R-"</f>
        <v>PIAZZA GIACOMO MATTEOTTI  28R-</v>
      </c>
      <c r="C305" t="str">
        <f t="shared" si="31"/>
        <v>GEA</v>
      </c>
      <c r="D305">
        <v>96</v>
      </c>
      <c r="E305" t="str">
        <f t="shared" si="32"/>
        <v>61</v>
      </c>
      <c r="F305" t="str">
        <f>"63"</f>
        <v>63</v>
      </c>
    </row>
    <row r="306" spans="1:6">
      <c r="A306" t="str">
        <f>"E1547-57"</f>
        <v>E1547-57</v>
      </c>
      <c r="B306" t="str">
        <f>"PIAZZA GIACOMO MATTEOTTI  30R-"</f>
        <v>PIAZZA GIACOMO MATTEOTTI  30R-</v>
      </c>
      <c r="C306" t="str">
        <f>"1"</f>
        <v>1</v>
      </c>
      <c r="D306">
        <v>45</v>
      </c>
      <c r="E306" t="str">
        <f>"589"</f>
        <v>589</v>
      </c>
      <c r="F306" t="str">
        <f>"0000"</f>
        <v>0000</v>
      </c>
    </row>
    <row r="307" spans="1:6">
      <c r="C307" t="str">
        <f>"1"</f>
        <v>1</v>
      </c>
      <c r="D307">
        <v>45</v>
      </c>
      <c r="E307" t="str">
        <f>"598"</f>
        <v>598</v>
      </c>
      <c r="F307" t="str">
        <f>"0000"</f>
        <v>0000</v>
      </c>
    </row>
    <row r="308" spans="1:6">
      <c r="A308" t="str">
        <f>"E1547-58"</f>
        <v>E1547-58</v>
      </c>
      <c r="B308" t="str">
        <f>"PIAZZA GIACOMO MATTEOTTI  32R-"</f>
        <v>PIAZZA GIACOMO MATTEOTTI  32R-</v>
      </c>
      <c r="C308" t="str">
        <f>"GEA"</f>
        <v>GEA</v>
      </c>
      <c r="D308">
        <v>96</v>
      </c>
      <c r="E308" t="str">
        <f>"61"</f>
        <v>61</v>
      </c>
      <c r="F308" t="str">
        <f>"62"</f>
        <v>62</v>
      </c>
    </row>
    <row r="309" spans="1:6">
      <c r="A309" t="str">
        <f>"E1547-59"</f>
        <v>E1547-59</v>
      </c>
      <c r="B309" t="str">
        <f>"PIAZZA GIACOMO MATTEOTTI  38R-"</f>
        <v>PIAZZA GIACOMO MATTEOTTI  38R-</v>
      </c>
      <c r="C309" t="str">
        <f>"GEA"</f>
        <v>GEA</v>
      </c>
      <c r="D309">
        <v>96</v>
      </c>
      <c r="E309" t="str">
        <f>"61"</f>
        <v>61</v>
      </c>
      <c r="F309" t="str">
        <f>"62"</f>
        <v>62</v>
      </c>
    </row>
    <row r="310" spans="1:6">
      <c r="A310" t="str">
        <f>"E1547-60"</f>
        <v>E1547-60</v>
      </c>
      <c r="B310" t="str">
        <f>"PIAZZA GIACOMO MATTEOTTI  42R-"</f>
        <v>PIAZZA GIACOMO MATTEOTTI  42R-</v>
      </c>
      <c r="C310" t="str">
        <f>"GEA"</f>
        <v>GEA</v>
      </c>
      <c r="D310">
        <v>96</v>
      </c>
      <c r="E310" t="str">
        <f>"61"</f>
        <v>61</v>
      </c>
      <c r="F310" t="str">
        <f>"61"</f>
        <v>61</v>
      </c>
    </row>
    <row r="311" spans="1:6">
      <c r="A311" t="str">
        <f>"E1547-61"</f>
        <v>E1547-61</v>
      </c>
      <c r="B311" t="str">
        <f>"PIAZZA GIACOMO MATTEOTTI  44R-"</f>
        <v>PIAZZA GIACOMO MATTEOTTI  44R-</v>
      </c>
      <c r="C311" t="str">
        <f>"GEA"</f>
        <v>GEA</v>
      </c>
      <c r="D311">
        <v>96</v>
      </c>
      <c r="E311" t="str">
        <f>"61"</f>
        <v>61</v>
      </c>
      <c r="F311" t="str">
        <f>"60"</f>
        <v>60</v>
      </c>
    </row>
    <row r="312" spans="1:6">
      <c r="A312" t="str">
        <f>"E1547-62"</f>
        <v>E1547-62</v>
      </c>
      <c r="B312" t="str">
        <f>"PIAZZA GIACOMO MATTEOTTI  48R-"</f>
        <v>PIAZZA GIACOMO MATTEOTTI  48R-</v>
      </c>
      <c r="C312" t="str">
        <f>"GEA"</f>
        <v>GEA</v>
      </c>
      <c r="D312">
        <v>96</v>
      </c>
      <c r="E312" t="str">
        <f>"61"</f>
        <v>61</v>
      </c>
      <c r="F312" t="str">
        <f>"59"</f>
        <v>59</v>
      </c>
    </row>
    <row r="313" spans="1:6">
      <c r="A313" t="str">
        <f>"E1547-63"</f>
        <v>E1547-63</v>
      </c>
      <c r="B313" t="str">
        <f>"PIAZZA GIACOMO MATTEOTTI  36R-"</f>
        <v>PIAZZA GIACOMO MATTEOTTI  36R-</v>
      </c>
      <c r="C313" t="str">
        <f>"1"</f>
        <v>1</v>
      </c>
      <c r="D313">
        <v>45</v>
      </c>
      <c r="E313" t="str">
        <f>"589"</f>
        <v>589</v>
      </c>
      <c r="F313" t="str">
        <f>"0000"</f>
        <v>0000</v>
      </c>
    </row>
    <row r="314" spans="1:6">
      <c r="C314" t="str">
        <f>"1"</f>
        <v>1</v>
      </c>
      <c r="D314">
        <v>45</v>
      </c>
      <c r="E314" t="str">
        <f>"598"</f>
        <v>598</v>
      </c>
      <c r="F314" t="str">
        <f>"0000"</f>
        <v>0000</v>
      </c>
    </row>
    <row r="315" spans="1:6">
      <c r="A315" t="str">
        <f>"E1547-64"</f>
        <v>E1547-64</v>
      </c>
      <c r="B315" t="str">
        <f>"VIA TOMASO REGGIO  30R-"</f>
        <v>VIA TOMASO REGGIO  30R-</v>
      </c>
      <c r="C315" t="str">
        <f>"1"</f>
        <v>1</v>
      </c>
      <c r="D315">
        <v>45</v>
      </c>
      <c r="E315" t="str">
        <f>"589"</f>
        <v>589</v>
      </c>
      <c r="F315" t="str">
        <f>"0000"</f>
        <v>0000</v>
      </c>
    </row>
    <row r="316" spans="1:6">
      <c r="C316" t="str">
        <f>"1"</f>
        <v>1</v>
      </c>
      <c r="D316">
        <v>45</v>
      </c>
      <c r="E316" t="str">
        <f>"598"</f>
        <v>598</v>
      </c>
      <c r="F316" t="str">
        <f>"0000"</f>
        <v>0000</v>
      </c>
    </row>
    <row r="317" spans="1:6">
      <c r="A317" t="str">
        <f>"E1547-65"</f>
        <v>E1547-65</v>
      </c>
      <c r="B317" t="str">
        <f>"VIA TOMASO REGGIO  34R-"</f>
        <v>VIA TOMASO REGGIO  34R-</v>
      </c>
      <c r="C317" t="str">
        <f>"GEA"</f>
        <v>GEA</v>
      </c>
      <c r="D317">
        <v>96</v>
      </c>
      <c r="E317" t="str">
        <f>"61"</f>
        <v>61</v>
      </c>
      <c r="F317" t="str">
        <f>"49"</f>
        <v>49</v>
      </c>
    </row>
    <row r="318" spans="1:6">
      <c r="A318" t="str">
        <f>"E1548-1"</f>
        <v>E1548-1</v>
      </c>
      <c r="B318" t="str">
        <f>"CORSO FIRENZE  129R-"</f>
        <v>CORSO FIRENZE  129R-</v>
      </c>
      <c r="C318" t="str">
        <f>"GEC"</f>
        <v>GEC</v>
      </c>
      <c r="D318">
        <v>6</v>
      </c>
      <c r="E318" t="str">
        <f>"437"</f>
        <v>437</v>
      </c>
      <c r="F318" t="str">
        <f>"0000"</f>
        <v>0000</v>
      </c>
    </row>
    <row r="319" spans="1:6">
      <c r="A319" t="str">
        <f>"E1550-1"</f>
        <v>E1550-1</v>
      </c>
      <c r="B319" t="str">
        <f>"VIA OBERTO CANCELLIERE VICINO AL 18-"</f>
        <v>VIA OBERTO CANCELLIERE VICINO AL 18-</v>
      </c>
      <c r="C319" t="str">
        <f>"1"</f>
        <v>1</v>
      </c>
      <c r="D319">
        <v>35</v>
      </c>
      <c r="E319" t="str">
        <f>"99999"</f>
        <v>99999</v>
      </c>
      <c r="F319" t="str">
        <f>"0000"</f>
        <v>0000</v>
      </c>
    </row>
    <row r="320" spans="1:6">
      <c r="A320" t="str">
        <f>"E1553-1"</f>
        <v>E1553-1</v>
      </c>
      <c r="B320" t="str">
        <f>"VIA AL FORTE DI BEGATO VICINO AL 7-"</f>
        <v>VIA AL FORTE DI BEGATO VICINO AL 7-</v>
      </c>
      <c r="C320" t="str">
        <f>"1"</f>
        <v>1</v>
      </c>
      <c r="D320">
        <v>6</v>
      </c>
      <c r="E320" t="str">
        <f>"117"</f>
        <v>117</v>
      </c>
      <c r="F320" t="str">
        <f>"0000"</f>
        <v>0000</v>
      </c>
    </row>
    <row r="321" spans="1:6">
      <c r="A321" t="str">
        <f>"E1558-1"</f>
        <v>E1558-1</v>
      </c>
      <c r="B321" t="str">
        <f>"VIA BRIGATA LIGURIA  9-"</f>
        <v>VIA BRIGATA LIGURIA  9-</v>
      </c>
      <c r="C321" t="str">
        <f>"GEA"</f>
        <v>GEA</v>
      </c>
      <c r="D321">
        <v>107</v>
      </c>
      <c r="E321" t="str">
        <f>"111"</f>
        <v>111</v>
      </c>
      <c r="F321" t="str">
        <f>"1"</f>
        <v>1</v>
      </c>
    </row>
    <row r="322" spans="1:6">
      <c r="A322" t="str">
        <f>"E1558-2"</f>
        <v>E1558-2</v>
      </c>
      <c r="B322" t="str">
        <f>"VIA BRIGATA LIGURIA  9-"</f>
        <v>VIA BRIGATA LIGURIA  9-</v>
      </c>
      <c r="C322" t="str">
        <f>"GEA"</f>
        <v>GEA</v>
      </c>
      <c r="D322">
        <v>107</v>
      </c>
      <c r="E322" t="str">
        <f>"111"</f>
        <v>111</v>
      </c>
      <c r="F322" t="str">
        <f>"2"</f>
        <v>2</v>
      </c>
    </row>
    <row r="323" spans="1:6">
      <c r="A323" t="str">
        <f>"E1558-3"</f>
        <v>E1558-3</v>
      </c>
      <c r="B323" t="str">
        <f>"VIA BRIGATA LIGURIA  9-"</f>
        <v>VIA BRIGATA LIGURIA  9-</v>
      </c>
      <c r="C323" t="str">
        <f>"GEA"</f>
        <v>GEA</v>
      </c>
      <c r="D323">
        <v>107</v>
      </c>
      <c r="E323" t="str">
        <f>"111"</f>
        <v>111</v>
      </c>
      <c r="F323" t="str">
        <f>"3"</f>
        <v>3</v>
      </c>
    </row>
    <row r="324" spans="1:6">
      <c r="A324" t="str">
        <f>"E1558-4"</f>
        <v>E1558-4</v>
      </c>
      <c r="B324" t="str">
        <f>"VIA BRIGATA LIGURIA  9-"</f>
        <v>VIA BRIGATA LIGURIA  9-</v>
      </c>
      <c r="C324" t="str">
        <f>"GEA"</f>
        <v>GEA</v>
      </c>
      <c r="D324">
        <v>107</v>
      </c>
      <c r="E324" t="str">
        <f>"111"</f>
        <v>111</v>
      </c>
      <c r="F324" t="str">
        <f>"4"</f>
        <v>4</v>
      </c>
    </row>
    <row r="325" spans="1:6">
      <c r="A325" t="str">
        <f>"E1561-1"</f>
        <v>E1561-1</v>
      </c>
      <c r="B325" t="str">
        <f>"CALATA DE MARI  1-"</f>
        <v>CALATA DE MARI  1-</v>
      </c>
      <c r="C325" t="str">
        <f t="shared" ref="C325:C356" si="33">"GEP"</f>
        <v>GEP</v>
      </c>
      <c r="D325">
        <v>75</v>
      </c>
      <c r="E325" t="str">
        <f>"10"</f>
        <v>10</v>
      </c>
      <c r="F325" t="str">
        <f t="shared" ref="F325:F337" si="34">"0000"</f>
        <v>0000</v>
      </c>
    </row>
    <row r="326" spans="1:6">
      <c r="C326" t="str">
        <f t="shared" si="33"/>
        <v>GEP</v>
      </c>
      <c r="D326">
        <v>75</v>
      </c>
      <c r="E326" t="str">
        <f>"12"</f>
        <v>12</v>
      </c>
      <c r="F326" t="str">
        <f t="shared" si="34"/>
        <v>0000</v>
      </c>
    </row>
    <row r="327" spans="1:6">
      <c r="C327" t="str">
        <f t="shared" si="33"/>
        <v>GEP</v>
      </c>
      <c r="D327">
        <v>75</v>
      </c>
      <c r="E327" t="str">
        <f>"13"</f>
        <v>13</v>
      </c>
      <c r="F327" t="str">
        <f t="shared" si="34"/>
        <v>0000</v>
      </c>
    </row>
    <row r="328" spans="1:6">
      <c r="C328" t="str">
        <f t="shared" si="33"/>
        <v>GEP</v>
      </c>
      <c r="D328">
        <v>75</v>
      </c>
      <c r="E328" t="str">
        <f>"14"</f>
        <v>14</v>
      </c>
      <c r="F328" t="str">
        <f t="shared" si="34"/>
        <v>0000</v>
      </c>
    </row>
    <row r="329" spans="1:6">
      <c r="C329" t="str">
        <f t="shared" si="33"/>
        <v>GEP</v>
      </c>
      <c r="D329">
        <v>75</v>
      </c>
      <c r="E329" t="str">
        <f>"26"</f>
        <v>26</v>
      </c>
      <c r="F329" t="str">
        <f t="shared" si="34"/>
        <v>0000</v>
      </c>
    </row>
    <row r="330" spans="1:6">
      <c r="C330" t="str">
        <f t="shared" si="33"/>
        <v>GEP</v>
      </c>
      <c r="D330">
        <v>75</v>
      </c>
      <c r="E330" t="str">
        <f>"29"</f>
        <v>29</v>
      </c>
      <c r="F330" t="str">
        <f t="shared" si="34"/>
        <v>0000</v>
      </c>
    </row>
    <row r="331" spans="1:6">
      <c r="C331" t="str">
        <f t="shared" si="33"/>
        <v>GEP</v>
      </c>
      <c r="D331">
        <v>75</v>
      </c>
      <c r="E331" t="str">
        <f>"7"</f>
        <v>7</v>
      </c>
      <c r="F331" t="str">
        <f t="shared" si="34"/>
        <v>0000</v>
      </c>
    </row>
    <row r="332" spans="1:6">
      <c r="C332" t="str">
        <f t="shared" si="33"/>
        <v>GEP</v>
      </c>
      <c r="D332">
        <v>75</v>
      </c>
      <c r="E332" t="str">
        <f>"6"</f>
        <v>6</v>
      </c>
      <c r="F332" t="str">
        <f t="shared" si="34"/>
        <v>0000</v>
      </c>
    </row>
    <row r="333" spans="1:6">
      <c r="C333" t="str">
        <f t="shared" si="33"/>
        <v>GEP</v>
      </c>
      <c r="D333">
        <v>75</v>
      </c>
      <c r="E333" t="str">
        <f>"53"</f>
        <v>53</v>
      </c>
      <c r="F333" t="str">
        <f t="shared" si="34"/>
        <v>0000</v>
      </c>
    </row>
    <row r="334" spans="1:6">
      <c r="C334" t="str">
        <f t="shared" si="33"/>
        <v>GEP</v>
      </c>
      <c r="D334">
        <v>75</v>
      </c>
      <c r="E334" t="str">
        <f>"52"</f>
        <v>52</v>
      </c>
      <c r="F334" t="str">
        <f t="shared" si="34"/>
        <v>0000</v>
      </c>
    </row>
    <row r="335" spans="1:6">
      <c r="C335" t="str">
        <f t="shared" si="33"/>
        <v>GEP</v>
      </c>
      <c r="D335">
        <v>75</v>
      </c>
      <c r="E335" t="str">
        <f>"51"</f>
        <v>51</v>
      </c>
      <c r="F335" t="str">
        <f t="shared" si="34"/>
        <v>0000</v>
      </c>
    </row>
    <row r="336" spans="1:6">
      <c r="C336" t="str">
        <f t="shared" si="33"/>
        <v>GEP</v>
      </c>
      <c r="D336">
        <v>75</v>
      </c>
      <c r="E336" t="str">
        <f>"5"</f>
        <v>5</v>
      </c>
      <c r="F336" t="str">
        <f t="shared" si="34"/>
        <v>0000</v>
      </c>
    </row>
    <row r="337" spans="3:6">
      <c r="C337" t="str">
        <f t="shared" si="33"/>
        <v>GEP</v>
      </c>
      <c r="D337">
        <v>75</v>
      </c>
      <c r="E337" t="str">
        <f>"4"</f>
        <v>4</v>
      </c>
      <c r="F337" t="str">
        <f t="shared" si="34"/>
        <v>0000</v>
      </c>
    </row>
    <row r="338" spans="3:6">
      <c r="C338" t="str">
        <f t="shared" si="33"/>
        <v>GEP</v>
      </c>
      <c r="D338">
        <v>75</v>
      </c>
      <c r="E338" t="str">
        <f>"32"</f>
        <v>32</v>
      </c>
      <c r="F338" t="str">
        <f>"1"</f>
        <v>1</v>
      </c>
    </row>
    <row r="339" spans="3:6">
      <c r="C339" t="str">
        <f t="shared" si="33"/>
        <v>GEP</v>
      </c>
      <c r="D339">
        <v>75</v>
      </c>
      <c r="E339" t="str">
        <f>"31"</f>
        <v>31</v>
      </c>
      <c r="F339" t="str">
        <f t="shared" ref="F339:F345" si="35">"0000"</f>
        <v>0000</v>
      </c>
    </row>
    <row r="340" spans="3:6">
      <c r="C340" t="str">
        <f t="shared" si="33"/>
        <v>GEP</v>
      </c>
      <c r="D340">
        <v>77</v>
      </c>
      <c r="E340" t="str">
        <f>"6"</f>
        <v>6</v>
      </c>
      <c r="F340" t="str">
        <f t="shared" si="35"/>
        <v>0000</v>
      </c>
    </row>
    <row r="341" spans="3:6">
      <c r="C341" t="str">
        <f t="shared" si="33"/>
        <v>GEP</v>
      </c>
      <c r="D341">
        <v>77</v>
      </c>
      <c r="E341" t="str">
        <f>"5"</f>
        <v>5</v>
      </c>
      <c r="F341" t="str">
        <f t="shared" si="35"/>
        <v>0000</v>
      </c>
    </row>
    <row r="342" spans="3:6">
      <c r="C342" t="str">
        <f t="shared" si="33"/>
        <v>GEP</v>
      </c>
      <c r="D342">
        <v>77</v>
      </c>
      <c r="E342" t="str">
        <f>"4"</f>
        <v>4</v>
      </c>
      <c r="F342" t="str">
        <f t="shared" si="35"/>
        <v>0000</v>
      </c>
    </row>
    <row r="343" spans="3:6">
      <c r="C343" t="str">
        <f t="shared" si="33"/>
        <v>GEP</v>
      </c>
      <c r="D343">
        <v>77</v>
      </c>
      <c r="E343" t="str">
        <f>"3"</f>
        <v>3</v>
      </c>
      <c r="F343" t="str">
        <f t="shared" si="35"/>
        <v>0000</v>
      </c>
    </row>
    <row r="344" spans="3:6">
      <c r="C344" t="str">
        <f t="shared" si="33"/>
        <v>GEP</v>
      </c>
      <c r="D344">
        <v>77</v>
      </c>
      <c r="E344" t="str">
        <f>"2"</f>
        <v>2</v>
      </c>
      <c r="F344" t="str">
        <f t="shared" si="35"/>
        <v>0000</v>
      </c>
    </row>
    <row r="345" spans="3:6">
      <c r="C345" t="str">
        <f t="shared" si="33"/>
        <v>GEP</v>
      </c>
      <c r="D345">
        <v>77</v>
      </c>
      <c r="E345" t="str">
        <f>"11"</f>
        <v>11</v>
      </c>
      <c r="F345" t="str">
        <f t="shared" si="35"/>
        <v>0000</v>
      </c>
    </row>
    <row r="346" spans="3:6">
      <c r="C346" t="str">
        <f t="shared" si="33"/>
        <v>GEP</v>
      </c>
      <c r="D346">
        <v>77</v>
      </c>
      <c r="E346" t="str">
        <f>"10"</f>
        <v>10</v>
      </c>
      <c r="F346" t="str">
        <f>"2"</f>
        <v>2</v>
      </c>
    </row>
    <row r="347" spans="3:6">
      <c r="C347" t="str">
        <f t="shared" si="33"/>
        <v>GEP</v>
      </c>
      <c r="D347">
        <v>75</v>
      </c>
      <c r="E347" t="str">
        <f>"9"</f>
        <v>9</v>
      </c>
      <c r="F347" t="str">
        <f t="shared" ref="F347:F353" si="36">"0000"</f>
        <v>0000</v>
      </c>
    </row>
    <row r="348" spans="3:6">
      <c r="C348" t="str">
        <f t="shared" si="33"/>
        <v>GEP</v>
      </c>
      <c r="D348">
        <v>75</v>
      </c>
      <c r="E348" t="str">
        <f>"8"</f>
        <v>8</v>
      </c>
      <c r="F348" t="str">
        <f t="shared" si="36"/>
        <v>0000</v>
      </c>
    </row>
    <row r="349" spans="3:6">
      <c r="C349" t="str">
        <f t="shared" si="33"/>
        <v>GEP</v>
      </c>
      <c r="D349">
        <v>77</v>
      </c>
      <c r="E349" t="str">
        <f>"9"</f>
        <v>9</v>
      </c>
      <c r="F349" t="str">
        <f t="shared" si="36"/>
        <v>0000</v>
      </c>
    </row>
    <row r="350" spans="3:6">
      <c r="C350" t="str">
        <f t="shared" si="33"/>
        <v>GEP</v>
      </c>
      <c r="D350">
        <v>77</v>
      </c>
      <c r="E350" t="str">
        <f>"81"</f>
        <v>81</v>
      </c>
      <c r="F350" t="str">
        <f t="shared" si="36"/>
        <v>0000</v>
      </c>
    </row>
    <row r="351" spans="3:6">
      <c r="C351" t="str">
        <f t="shared" si="33"/>
        <v>GEP</v>
      </c>
      <c r="D351">
        <v>77</v>
      </c>
      <c r="E351" t="str">
        <f>"8"</f>
        <v>8</v>
      </c>
      <c r="F351" t="str">
        <f t="shared" si="36"/>
        <v>0000</v>
      </c>
    </row>
    <row r="352" spans="3:6">
      <c r="C352" t="str">
        <f t="shared" si="33"/>
        <v>GEP</v>
      </c>
      <c r="D352">
        <v>75</v>
      </c>
      <c r="E352" t="str">
        <f>"27"</f>
        <v>27</v>
      </c>
      <c r="F352" t="str">
        <f t="shared" si="36"/>
        <v>0000</v>
      </c>
    </row>
    <row r="353" spans="1:6">
      <c r="C353" t="str">
        <f t="shared" si="33"/>
        <v>GEP</v>
      </c>
      <c r="D353">
        <v>75</v>
      </c>
      <c r="E353" t="str">
        <f>"25"</f>
        <v>25</v>
      </c>
      <c r="F353" t="str">
        <f t="shared" si="36"/>
        <v>0000</v>
      </c>
    </row>
    <row r="354" spans="1:6">
      <c r="A354" t="str">
        <f>"E1561-2"</f>
        <v>E1561-2</v>
      </c>
      <c r="B354" t="str">
        <f>"VIA FRANCESCO VIVALDI  2-"</f>
        <v>VIA FRANCESCO VIVALDI  2-</v>
      </c>
      <c r="C354" t="str">
        <f t="shared" si="33"/>
        <v>GEP</v>
      </c>
      <c r="D354">
        <v>75</v>
      </c>
      <c r="E354" t="str">
        <f>"32"</f>
        <v>32</v>
      </c>
      <c r="F354" t="str">
        <f>"2"</f>
        <v>2</v>
      </c>
    </row>
    <row r="355" spans="1:6">
      <c r="A355" t="str">
        <f>"E1561-14"</f>
        <v>E1561-14</v>
      </c>
      <c r="B355" t="str">
        <f>"MOLO PONTE MOROSINI  65-"</f>
        <v>MOLO PONTE MOROSINI  65-</v>
      </c>
      <c r="C355" t="str">
        <f t="shared" si="33"/>
        <v>GEP</v>
      </c>
      <c r="D355">
        <v>77</v>
      </c>
      <c r="E355" t="str">
        <f>"14"</f>
        <v>14</v>
      </c>
      <c r="F355" t="str">
        <f>"3"</f>
        <v>3</v>
      </c>
    </row>
    <row r="356" spans="1:6">
      <c r="A356" t="str">
        <f>"E1561-15"</f>
        <v>E1561-15</v>
      </c>
      <c r="B356" t="str">
        <f>"CALATA DE MARI  5-"</f>
        <v>CALATA DE MARI  5-</v>
      </c>
      <c r="C356" t="str">
        <f t="shared" si="33"/>
        <v>GEP</v>
      </c>
      <c r="D356">
        <v>75</v>
      </c>
      <c r="E356" t="str">
        <f>"33"</f>
        <v>33</v>
      </c>
      <c r="F356" t="str">
        <f t="shared" ref="F356:F363" si="37">"0000"</f>
        <v>0000</v>
      </c>
    </row>
    <row r="357" spans="1:6">
      <c r="A357" t="str">
        <f>"E1562-1"</f>
        <v>E1562-1</v>
      </c>
      <c r="B357" t="str">
        <f>"L.GO PAOLO EMILIO TAVIANI  3-"</f>
        <v>L.GO PAOLO EMILIO TAVIANI  3-</v>
      </c>
      <c r="C357" t="str">
        <f t="shared" ref="C357:C363" si="38">"1"</f>
        <v>1</v>
      </c>
      <c r="D357">
        <v>44</v>
      </c>
      <c r="E357" t="str">
        <f>"426"</f>
        <v>426</v>
      </c>
      <c r="F357" t="str">
        <f t="shared" si="37"/>
        <v>0000</v>
      </c>
    </row>
    <row r="358" spans="1:6">
      <c r="C358" t="str">
        <f t="shared" si="38"/>
        <v>1</v>
      </c>
      <c r="D358">
        <v>44</v>
      </c>
      <c r="E358" t="str">
        <f>"427"</f>
        <v>427</v>
      </c>
      <c r="F358" t="str">
        <f t="shared" si="37"/>
        <v>0000</v>
      </c>
    </row>
    <row r="359" spans="1:6">
      <c r="C359" t="str">
        <f t="shared" si="38"/>
        <v>1</v>
      </c>
      <c r="D359">
        <v>44</v>
      </c>
      <c r="E359" t="str">
        <f>"9"</f>
        <v>9</v>
      </c>
      <c r="F359" t="str">
        <f t="shared" si="37"/>
        <v>0000</v>
      </c>
    </row>
    <row r="360" spans="1:6">
      <c r="C360" t="str">
        <f t="shared" si="38"/>
        <v>1</v>
      </c>
      <c r="D360">
        <v>44</v>
      </c>
      <c r="E360" t="str">
        <f>"89"</f>
        <v>89</v>
      </c>
      <c r="F360" t="str">
        <f t="shared" si="37"/>
        <v>0000</v>
      </c>
    </row>
    <row r="361" spans="1:6">
      <c r="A361" t="str">
        <f>"E1563-1"</f>
        <v>E1563-1</v>
      </c>
      <c r="B361" t="str">
        <f>"PIAZZA CORVETTO VICINO AL 3-"</f>
        <v>PIAZZA CORVETTO VICINO AL 3-</v>
      </c>
      <c r="C361" t="str">
        <f t="shared" si="38"/>
        <v>1</v>
      </c>
      <c r="D361">
        <v>68</v>
      </c>
      <c r="E361" t="str">
        <f>"174"</f>
        <v>174</v>
      </c>
      <c r="F361" t="str">
        <f t="shared" si="37"/>
        <v>0000</v>
      </c>
    </row>
    <row r="362" spans="1:6">
      <c r="A362" t="str">
        <f>"E1565-1"</f>
        <v>E1565-1</v>
      </c>
      <c r="B362" t="str">
        <f>"VIALE SAULI  34-"</f>
        <v>VIALE SAULI  34-</v>
      </c>
      <c r="C362" t="str">
        <f t="shared" si="38"/>
        <v>1</v>
      </c>
      <c r="D362">
        <v>69</v>
      </c>
      <c r="E362" t="str">
        <f>"128"</f>
        <v>128</v>
      </c>
      <c r="F362" t="str">
        <f t="shared" si="37"/>
        <v>0000</v>
      </c>
    </row>
    <row r="363" spans="1:6">
      <c r="A363" t="str">
        <f>"E1565-2"</f>
        <v>E1565-2</v>
      </c>
      <c r="B363" t="str">
        <f>"VIALE SAULI  30-"</f>
        <v>VIALE SAULI  30-</v>
      </c>
      <c r="C363" t="str">
        <f t="shared" si="38"/>
        <v>1</v>
      </c>
      <c r="D363">
        <v>69</v>
      </c>
      <c r="E363" t="str">
        <f>"128"</f>
        <v>128</v>
      </c>
      <c r="F363" t="str">
        <f t="shared" si="37"/>
        <v>0000</v>
      </c>
    </row>
    <row r="364" spans="1:6">
      <c r="A364" t="str">
        <f>"E1566-2"</f>
        <v>E1566-2</v>
      </c>
      <c r="B364" t="str">
        <f>"CORSO MAGENTA VICINO AL 27-"</f>
        <v>CORSO MAGENTA VICINO AL 27-</v>
      </c>
      <c r="C364" t="str">
        <f>"GEC"</f>
        <v>GEC</v>
      </c>
      <c r="D364">
        <v>12</v>
      </c>
      <c r="E364" t="str">
        <f>"552"</f>
        <v>552</v>
      </c>
      <c r="F364" t="str">
        <f>"3"</f>
        <v>3</v>
      </c>
    </row>
    <row r="365" spans="1:6">
      <c r="A365" t="str">
        <f>"E1566-5"</f>
        <v>E1566-5</v>
      </c>
      <c r="B365" t="str">
        <f>"VIA ANTONIO CROCCO  20R-"</f>
        <v>VIA ANTONIO CROCCO  20R-</v>
      </c>
      <c r="C365" t="str">
        <f>"GEC"</f>
        <v>GEC</v>
      </c>
      <c r="D365">
        <v>12</v>
      </c>
      <c r="E365" t="str">
        <f>"552"</f>
        <v>552</v>
      </c>
      <c r="F365" t="str">
        <f>"2"</f>
        <v>2</v>
      </c>
    </row>
    <row r="366" spans="1:6">
      <c r="A366" t="str">
        <f>"E1573-1"</f>
        <v>E1573-1</v>
      </c>
      <c r="B366" t="str">
        <f>"VIA RAFFAELE RUBATTINO VICINO AL 10-"</f>
        <v>VIA RAFFAELE RUBATTINO VICINO AL 10-</v>
      </c>
      <c r="C366" t="str">
        <f>"1"</f>
        <v>1</v>
      </c>
      <c r="D366">
        <v>44</v>
      </c>
      <c r="E366" t="str">
        <f>"99999"</f>
        <v>99999</v>
      </c>
      <c r="F366" t="str">
        <f t="shared" ref="F366:F384" si="39">"0000"</f>
        <v>0000</v>
      </c>
    </row>
    <row r="367" spans="1:6">
      <c r="A367" t="str">
        <f>"E1575-1"</f>
        <v>E1575-1</v>
      </c>
      <c r="B367" t="str">
        <f>"PIAZZA RENATO NEGRI  5-"</f>
        <v>PIAZZA RENATO NEGRI  5-</v>
      </c>
      <c r="C367" t="str">
        <f>"GEA"</f>
        <v>GEA</v>
      </c>
      <c r="D367">
        <v>85</v>
      </c>
      <c r="E367" t="str">
        <f>"1439"</f>
        <v>1439</v>
      </c>
      <c r="F367" t="str">
        <f t="shared" si="39"/>
        <v>0000</v>
      </c>
    </row>
    <row r="368" spans="1:6">
      <c r="A368" t="str">
        <f>"E1575-2"</f>
        <v>E1575-2</v>
      </c>
      <c r="B368" t="str">
        <f>"PIAZZA RENATO NEGRI  13R-"</f>
        <v>PIAZZA RENATO NEGRI  13R-</v>
      </c>
      <c r="C368" t="str">
        <f t="shared" ref="C368:C384" si="40">"1"</f>
        <v>1</v>
      </c>
      <c r="D368">
        <v>67</v>
      </c>
      <c r="E368" t="str">
        <f>"519"</f>
        <v>519</v>
      </c>
      <c r="F368" t="str">
        <f t="shared" si="39"/>
        <v>0000</v>
      </c>
    </row>
    <row r="369" spans="3:6">
      <c r="C369" t="str">
        <f t="shared" si="40"/>
        <v>1</v>
      </c>
      <c r="D369">
        <v>67</v>
      </c>
      <c r="E369" t="str">
        <f>"521"</f>
        <v>521</v>
      </c>
      <c r="F369" t="str">
        <f t="shared" si="39"/>
        <v>0000</v>
      </c>
    </row>
    <row r="370" spans="3:6">
      <c r="C370" t="str">
        <f t="shared" si="40"/>
        <v>1</v>
      </c>
      <c r="D370">
        <v>67</v>
      </c>
      <c r="E370" t="str">
        <f>"974"</f>
        <v>974</v>
      </c>
      <c r="F370" t="str">
        <f t="shared" si="39"/>
        <v>0000</v>
      </c>
    </row>
    <row r="371" spans="3:6">
      <c r="C371" t="str">
        <f t="shared" si="40"/>
        <v>1</v>
      </c>
      <c r="D371">
        <v>67</v>
      </c>
      <c r="E371" t="str">
        <f>"976"</f>
        <v>976</v>
      </c>
      <c r="F371" t="str">
        <f t="shared" si="39"/>
        <v>0000</v>
      </c>
    </row>
    <row r="372" spans="3:6">
      <c r="C372" t="str">
        <f t="shared" si="40"/>
        <v>1</v>
      </c>
      <c r="D372">
        <v>67</v>
      </c>
      <c r="E372" t="str">
        <f>"978"</f>
        <v>978</v>
      </c>
      <c r="F372" t="str">
        <f t="shared" si="39"/>
        <v>0000</v>
      </c>
    </row>
    <row r="373" spans="3:6">
      <c r="C373" t="str">
        <f t="shared" si="40"/>
        <v>1</v>
      </c>
      <c r="D373">
        <v>67</v>
      </c>
      <c r="E373" t="str">
        <f>"99999"</f>
        <v>99999</v>
      </c>
      <c r="F373" t="str">
        <f t="shared" si="39"/>
        <v>0000</v>
      </c>
    </row>
    <row r="374" spans="3:6">
      <c r="C374" t="str">
        <f t="shared" si="40"/>
        <v>1</v>
      </c>
      <c r="D374">
        <v>67</v>
      </c>
      <c r="E374" t="str">
        <f>"987"</f>
        <v>987</v>
      </c>
      <c r="F374" t="str">
        <f t="shared" si="39"/>
        <v>0000</v>
      </c>
    </row>
    <row r="375" spans="3:6">
      <c r="C375" t="str">
        <f t="shared" si="40"/>
        <v>1</v>
      </c>
      <c r="D375">
        <v>67</v>
      </c>
      <c r="E375" t="str">
        <f>"986"</f>
        <v>986</v>
      </c>
      <c r="F375" t="str">
        <f t="shared" si="39"/>
        <v>0000</v>
      </c>
    </row>
    <row r="376" spans="3:6">
      <c r="C376" t="str">
        <f t="shared" si="40"/>
        <v>1</v>
      </c>
      <c r="D376">
        <v>67</v>
      </c>
      <c r="E376" t="str">
        <f>"985"</f>
        <v>985</v>
      </c>
      <c r="F376" t="str">
        <f t="shared" si="39"/>
        <v>0000</v>
      </c>
    </row>
    <row r="377" spans="3:6">
      <c r="C377" t="str">
        <f t="shared" si="40"/>
        <v>1</v>
      </c>
      <c r="D377">
        <v>67</v>
      </c>
      <c r="E377" t="str">
        <f>"984"</f>
        <v>984</v>
      </c>
      <c r="F377" t="str">
        <f t="shared" si="39"/>
        <v>0000</v>
      </c>
    </row>
    <row r="378" spans="3:6">
      <c r="C378" t="str">
        <f t="shared" si="40"/>
        <v>1</v>
      </c>
      <c r="D378">
        <v>67</v>
      </c>
      <c r="E378" t="str">
        <f>"983"</f>
        <v>983</v>
      </c>
      <c r="F378" t="str">
        <f t="shared" si="39"/>
        <v>0000</v>
      </c>
    </row>
    <row r="379" spans="3:6">
      <c r="C379" t="str">
        <f t="shared" si="40"/>
        <v>1</v>
      </c>
      <c r="D379">
        <v>67</v>
      </c>
      <c r="E379" t="str">
        <f>"982"</f>
        <v>982</v>
      </c>
      <c r="F379" t="str">
        <f t="shared" si="39"/>
        <v>0000</v>
      </c>
    </row>
    <row r="380" spans="3:6">
      <c r="C380" t="str">
        <f t="shared" si="40"/>
        <v>1</v>
      </c>
      <c r="D380">
        <v>67</v>
      </c>
      <c r="E380" t="str">
        <f>"981"</f>
        <v>981</v>
      </c>
      <c r="F380" t="str">
        <f t="shared" si="39"/>
        <v>0000</v>
      </c>
    </row>
    <row r="381" spans="3:6">
      <c r="C381" t="str">
        <f t="shared" si="40"/>
        <v>1</v>
      </c>
      <c r="D381">
        <v>67</v>
      </c>
      <c r="E381" t="str">
        <f>"980"</f>
        <v>980</v>
      </c>
      <c r="F381" t="str">
        <f t="shared" si="39"/>
        <v>0000</v>
      </c>
    </row>
    <row r="382" spans="3:6">
      <c r="C382" t="str">
        <f t="shared" si="40"/>
        <v>1</v>
      </c>
      <c r="D382">
        <v>67</v>
      </c>
      <c r="E382" t="str">
        <f>"979"</f>
        <v>979</v>
      </c>
      <c r="F382" t="str">
        <f t="shared" si="39"/>
        <v>0000</v>
      </c>
    </row>
    <row r="383" spans="3:6">
      <c r="C383" t="str">
        <f t="shared" si="40"/>
        <v>1</v>
      </c>
      <c r="D383">
        <v>67</v>
      </c>
      <c r="E383" t="str">
        <f>"977"</f>
        <v>977</v>
      </c>
      <c r="F383" t="str">
        <f t="shared" si="39"/>
        <v>0000</v>
      </c>
    </row>
    <row r="384" spans="3:6">
      <c r="C384" t="str">
        <f t="shared" si="40"/>
        <v>1</v>
      </c>
      <c r="D384">
        <v>67</v>
      </c>
      <c r="E384" t="str">
        <f>"975"</f>
        <v>975</v>
      </c>
      <c r="F384" t="str">
        <f t="shared" si="39"/>
        <v>0000</v>
      </c>
    </row>
    <row r="385" spans="1:6">
      <c r="A385" t="str">
        <f>"E1581-1"</f>
        <v>E1581-1</v>
      </c>
      <c r="B385" t="str">
        <f>"VICO MALLONE  1R-"</f>
        <v>VICO MALLONE  1R-</v>
      </c>
      <c r="C385" t="str">
        <f t="shared" ref="C385:C397" si="41">"GEA"</f>
        <v>GEA</v>
      </c>
      <c r="D385">
        <v>95</v>
      </c>
      <c r="E385" t="str">
        <f>"145"</f>
        <v>145</v>
      </c>
      <c r="F385" t="str">
        <f>"18"</f>
        <v>18</v>
      </c>
    </row>
    <row r="386" spans="1:6">
      <c r="A386" t="str">
        <f>"E1582-1"</f>
        <v>E1582-1</v>
      </c>
      <c r="B386" t="str">
        <f>"VICO DEL TEATRO NAZIONALE  3R-"</f>
        <v>VICO DEL TEATRO NAZIONALE  3R-</v>
      </c>
      <c r="C386" t="str">
        <f t="shared" si="41"/>
        <v>GEA</v>
      </c>
      <c r="D386">
        <v>85</v>
      </c>
      <c r="E386" t="str">
        <f>"219"</f>
        <v>219</v>
      </c>
      <c r="F386" t="str">
        <f>"0000"</f>
        <v>0000</v>
      </c>
    </row>
    <row r="387" spans="1:6">
      <c r="C387" t="str">
        <f t="shared" si="41"/>
        <v>GEA</v>
      </c>
      <c r="D387">
        <v>85</v>
      </c>
      <c r="E387" t="str">
        <f>"42"</f>
        <v>42</v>
      </c>
      <c r="F387" t="str">
        <f>"1"</f>
        <v>1</v>
      </c>
    </row>
    <row r="388" spans="1:6">
      <c r="C388" t="str">
        <f t="shared" si="41"/>
        <v>GEA</v>
      </c>
      <c r="D388">
        <v>85</v>
      </c>
      <c r="E388" t="str">
        <f>"43"</f>
        <v>43</v>
      </c>
      <c r="F388" t="str">
        <f>"10"</f>
        <v>10</v>
      </c>
    </row>
    <row r="389" spans="1:6">
      <c r="A389" t="str">
        <f>"E1582-4"</f>
        <v>E1582-4</v>
      </c>
      <c r="B389" t="str">
        <f t="shared" ref="B389:B397" si="42">"VICO DEL TEATRO NAZIONALE  1-"</f>
        <v>VICO DEL TEATRO NAZIONALE  1-</v>
      </c>
      <c r="C389" t="str">
        <f t="shared" si="41"/>
        <v>GEA</v>
      </c>
      <c r="D389">
        <v>85</v>
      </c>
      <c r="E389" t="str">
        <f t="shared" ref="E389:E397" si="43">"42"</f>
        <v>42</v>
      </c>
      <c r="F389" t="str">
        <f>"4"</f>
        <v>4</v>
      </c>
    </row>
    <row r="390" spans="1:6">
      <c r="A390" t="str">
        <f>"E1582-5"</f>
        <v>E1582-5</v>
      </c>
      <c r="B390" t="str">
        <f t="shared" si="42"/>
        <v>VICO DEL TEATRO NAZIONALE  1-</v>
      </c>
      <c r="C390" t="str">
        <f t="shared" si="41"/>
        <v>GEA</v>
      </c>
      <c r="D390">
        <v>85</v>
      </c>
      <c r="E390" t="str">
        <f t="shared" si="43"/>
        <v>42</v>
      </c>
      <c r="F390" t="str">
        <f>"5"</f>
        <v>5</v>
      </c>
    </row>
    <row r="391" spans="1:6">
      <c r="A391" t="str">
        <f>"E1582-6"</f>
        <v>E1582-6</v>
      </c>
      <c r="B391" t="str">
        <f t="shared" si="42"/>
        <v>VICO DEL TEATRO NAZIONALE  1-</v>
      </c>
      <c r="C391" t="str">
        <f t="shared" si="41"/>
        <v>GEA</v>
      </c>
      <c r="D391">
        <v>85</v>
      </c>
      <c r="E391" t="str">
        <f t="shared" si="43"/>
        <v>42</v>
      </c>
      <c r="F391" t="str">
        <f>"6"</f>
        <v>6</v>
      </c>
    </row>
    <row r="392" spans="1:6">
      <c r="A392" t="str">
        <f>"E1582-8"</f>
        <v>E1582-8</v>
      </c>
      <c r="B392" t="str">
        <f t="shared" si="42"/>
        <v>VICO DEL TEATRO NAZIONALE  1-</v>
      </c>
      <c r="C392" t="str">
        <f t="shared" si="41"/>
        <v>GEA</v>
      </c>
      <c r="D392">
        <v>85</v>
      </c>
      <c r="E392" t="str">
        <f t="shared" si="43"/>
        <v>42</v>
      </c>
      <c r="F392" t="str">
        <f>"8"</f>
        <v>8</v>
      </c>
    </row>
    <row r="393" spans="1:6">
      <c r="A393" t="str">
        <f>"E1582-9"</f>
        <v>E1582-9</v>
      </c>
      <c r="B393" t="str">
        <f t="shared" si="42"/>
        <v>VICO DEL TEATRO NAZIONALE  1-</v>
      </c>
      <c r="C393" t="str">
        <f t="shared" si="41"/>
        <v>GEA</v>
      </c>
      <c r="D393">
        <v>85</v>
      </c>
      <c r="E393" t="str">
        <f t="shared" si="43"/>
        <v>42</v>
      </c>
      <c r="F393" t="str">
        <f>"9"</f>
        <v>9</v>
      </c>
    </row>
    <row r="394" spans="1:6">
      <c r="A394" t="str">
        <f>"E1582-10"</f>
        <v>E1582-10</v>
      </c>
      <c r="B394" t="str">
        <f t="shared" si="42"/>
        <v>VICO DEL TEATRO NAZIONALE  1-</v>
      </c>
      <c r="C394" t="str">
        <f t="shared" si="41"/>
        <v>GEA</v>
      </c>
      <c r="D394">
        <v>85</v>
      </c>
      <c r="E394" t="str">
        <f t="shared" si="43"/>
        <v>42</v>
      </c>
      <c r="F394" t="str">
        <f>"10"</f>
        <v>10</v>
      </c>
    </row>
    <row r="395" spans="1:6">
      <c r="A395" t="str">
        <f>"E1582-11"</f>
        <v>E1582-11</v>
      </c>
      <c r="B395" t="str">
        <f t="shared" si="42"/>
        <v>VICO DEL TEATRO NAZIONALE  1-</v>
      </c>
      <c r="C395" t="str">
        <f t="shared" si="41"/>
        <v>GEA</v>
      </c>
      <c r="D395">
        <v>85</v>
      </c>
      <c r="E395" t="str">
        <f t="shared" si="43"/>
        <v>42</v>
      </c>
      <c r="F395" t="str">
        <f>"11"</f>
        <v>11</v>
      </c>
    </row>
    <row r="396" spans="1:6">
      <c r="A396" t="str">
        <f>"E1582-12"</f>
        <v>E1582-12</v>
      </c>
      <c r="B396" t="str">
        <f t="shared" si="42"/>
        <v>VICO DEL TEATRO NAZIONALE  1-</v>
      </c>
      <c r="C396" t="str">
        <f t="shared" si="41"/>
        <v>GEA</v>
      </c>
      <c r="D396">
        <v>85</v>
      </c>
      <c r="E396" t="str">
        <f t="shared" si="43"/>
        <v>42</v>
      </c>
      <c r="F396" t="str">
        <f>"12"</f>
        <v>12</v>
      </c>
    </row>
    <row r="397" spans="1:6">
      <c r="A397" t="str">
        <f>"E1582-13"</f>
        <v>E1582-13</v>
      </c>
      <c r="B397" t="str">
        <f t="shared" si="42"/>
        <v>VICO DEL TEATRO NAZIONALE  1-</v>
      </c>
      <c r="C397" t="str">
        <f t="shared" si="41"/>
        <v>GEA</v>
      </c>
      <c r="D397">
        <v>85</v>
      </c>
      <c r="E397" t="str">
        <f t="shared" si="43"/>
        <v>42</v>
      </c>
      <c r="F397" t="str">
        <f>"13"</f>
        <v>13</v>
      </c>
    </row>
    <row r="398" spans="1:6">
      <c r="A398" t="str">
        <f>"E1584-41"</f>
        <v>E1584-41</v>
      </c>
      <c r="B398" t="str">
        <f>"VIA TOMASO REGGIO  12-"</f>
        <v>VIA TOMASO REGGIO  12-</v>
      </c>
      <c r="C398" t="str">
        <f>"1"</f>
        <v>1</v>
      </c>
      <c r="D398">
        <v>45</v>
      </c>
      <c r="E398" t="str">
        <f>"550"</f>
        <v>550</v>
      </c>
      <c r="F398" t="str">
        <f>"0000"</f>
        <v>0000</v>
      </c>
    </row>
    <row r="399" spans="1:6">
      <c r="A399" t="str">
        <f>"E1590-1"</f>
        <v>E1590-1</v>
      </c>
      <c r="B399" t="str">
        <f>"VIA VENTI SETTEMBRE VICINO AL 11-"</f>
        <v>VIA VENTI SETTEMBRE VICINO AL 11-</v>
      </c>
      <c r="C399" t="str">
        <f t="shared" ref="C399:C404" si="44">"GEA"</f>
        <v>GEA</v>
      </c>
      <c r="D399">
        <v>106</v>
      </c>
      <c r="E399" t="str">
        <f>"320"</f>
        <v>320</v>
      </c>
      <c r="F399" t="str">
        <f>"0000"</f>
        <v>0000</v>
      </c>
    </row>
    <row r="400" spans="1:6">
      <c r="C400" t="str">
        <f t="shared" si="44"/>
        <v>GEA</v>
      </c>
      <c r="D400">
        <v>106</v>
      </c>
      <c r="E400" t="str">
        <f>"331"</f>
        <v>331</v>
      </c>
      <c r="F400" t="str">
        <f>"1"</f>
        <v>1</v>
      </c>
    </row>
    <row r="401" spans="1:6">
      <c r="C401" t="str">
        <f t="shared" si="44"/>
        <v>GEA</v>
      </c>
      <c r="D401">
        <v>106</v>
      </c>
      <c r="E401" t="str">
        <f>"337"</f>
        <v>337</v>
      </c>
      <c r="F401" t="str">
        <f>"15"</f>
        <v>15</v>
      </c>
    </row>
    <row r="402" spans="1:6">
      <c r="C402" t="str">
        <f t="shared" si="44"/>
        <v>GEA</v>
      </c>
      <c r="D402">
        <v>106</v>
      </c>
      <c r="E402" t="str">
        <f>"335"</f>
        <v>335</v>
      </c>
      <c r="F402" t="str">
        <f>"0000"</f>
        <v>0000</v>
      </c>
    </row>
    <row r="403" spans="1:6">
      <c r="C403" t="str">
        <f t="shared" si="44"/>
        <v>GEA</v>
      </c>
      <c r="D403">
        <v>106</v>
      </c>
      <c r="E403" t="str">
        <f>"334"</f>
        <v>334</v>
      </c>
      <c r="F403" t="str">
        <f>"0000"</f>
        <v>0000</v>
      </c>
    </row>
    <row r="404" spans="1:6">
      <c r="C404" t="str">
        <f t="shared" si="44"/>
        <v>GEA</v>
      </c>
      <c r="D404">
        <v>106</v>
      </c>
      <c r="E404" t="str">
        <f>"C"</f>
        <v>C</v>
      </c>
      <c r="F404" t="str">
        <f>"1"</f>
        <v>1</v>
      </c>
    </row>
    <row r="405" spans="1:6">
      <c r="A405" t="str">
        <f>"E1591-1"</f>
        <v>E1591-1</v>
      </c>
      <c r="B405" t="str">
        <f t="shared" ref="B405:B411" si="45">"VIA OBERTO CANCELLIERE VICINO AL 2AR-"</f>
        <v>VIA OBERTO CANCELLIERE VICINO AL 2AR-</v>
      </c>
      <c r="C405" t="str">
        <f t="shared" ref="C405:C410" si="46">"GEC"</f>
        <v>GEC</v>
      </c>
      <c r="D405">
        <v>12</v>
      </c>
      <c r="E405" t="str">
        <f t="shared" ref="E405:E410" si="47">"737"</f>
        <v>737</v>
      </c>
      <c r="F405" t="str">
        <f>"1"</f>
        <v>1</v>
      </c>
    </row>
    <row r="406" spans="1:6">
      <c r="A406" t="str">
        <f>"E1591-2"</f>
        <v>E1591-2</v>
      </c>
      <c r="B406" t="str">
        <f t="shared" si="45"/>
        <v>VIA OBERTO CANCELLIERE VICINO AL 2AR-</v>
      </c>
      <c r="C406" t="str">
        <f t="shared" si="46"/>
        <v>GEC</v>
      </c>
      <c r="D406">
        <v>12</v>
      </c>
      <c r="E406" t="str">
        <f t="shared" si="47"/>
        <v>737</v>
      </c>
      <c r="F406" t="str">
        <f>"2"</f>
        <v>2</v>
      </c>
    </row>
    <row r="407" spans="1:6">
      <c r="A407" t="str">
        <f>"E1591-3"</f>
        <v>E1591-3</v>
      </c>
      <c r="B407" t="str">
        <f t="shared" si="45"/>
        <v>VIA OBERTO CANCELLIERE VICINO AL 2AR-</v>
      </c>
      <c r="C407" t="str">
        <f t="shared" si="46"/>
        <v>GEC</v>
      </c>
      <c r="D407">
        <v>12</v>
      </c>
      <c r="E407" t="str">
        <f t="shared" si="47"/>
        <v>737</v>
      </c>
      <c r="F407" t="str">
        <f>"3"</f>
        <v>3</v>
      </c>
    </row>
    <row r="408" spans="1:6">
      <c r="A408" t="str">
        <f>"E1591-4"</f>
        <v>E1591-4</v>
      </c>
      <c r="B408" t="str">
        <f t="shared" si="45"/>
        <v>VIA OBERTO CANCELLIERE VICINO AL 2AR-</v>
      </c>
      <c r="C408" t="str">
        <f t="shared" si="46"/>
        <v>GEC</v>
      </c>
      <c r="D408">
        <v>12</v>
      </c>
      <c r="E408" t="str">
        <f t="shared" si="47"/>
        <v>737</v>
      </c>
      <c r="F408" t="str">
        <f>"4"</f>
        <v>4</v>
      </c>
    </row>
    <row r="409" spans="1:6">
      <c r="A409" t="str">
        <f>"E1591-5"</f>
        <v>E1591-5</v>
      </c>
      <c r="B409" t="str">
        <f t="shared" si="45"/>
        <v>VIA OBERTO CANCELLIERE VICINO AL 2AR-</v>
      </c>
      <c r="C409" t="str">
        <f t="shared" si="46"/>
        <v>GEC</v>
      </c>
      <c r="D409">
        <v>12</v>
      </c>
      <c r="E409" t="str">
        <f t="shared" si="47"/>
        <v>737</v>
      </c>
      <c r="F409" t="str">
        <f>"5"</f>
        <v>5</v>
      </c>
    </row>
    <row r="410" spans="1:6">
      <c r="A410" t="str">
        <f>"E1591-6"</f>
        <v>E1591-6</v>
      </c>
      <c r="B410" t="str">
        <f t="shared" si="45"/>
        <v>VIA OBERTO CANCELLIERE VICINO AL 2AR-</v>
      </c>
      <c r="C410" t="str">
        <f t="shared" si="46"/>
        <v>GEC</v>
      </c>
      <c r="D410">
        <v>12</v>
      </c>
      <c r="E410" t="str">
        <f t="shared" si="47"/>
        <v>737</v>
      </c>
      <c r="F410" t="str">
        <f>"6"</f>
        <v>6</v>
      </c>
    </row>
    <row r="411" spans="1:6">
      <c r="A411" t="str">
        <f>"E1591-7"</f>
        <v>E1591-7</v>
      </c>
      <c r="B411" t="str">
        <f t="shared" si="45"/>
        <v>VIA OBERTO CANCELLIERE VICINO AL 2AR-</v>
      </c>
      <c r="C411" t="str">
        <f>"1"</f>
        <v>1</v>
      </c>
      <c r="D411">
        <v>35</v>
      </c>
      <c r="E411" t="str">
        <f>"258"</f>
        <v>258</v>
      </c>
      <c r="F411" t="str">
        <f>"0000"</f>
        <v>0000</v>
      </c>
    </row>
    <row r="412" spans="1:6">
      <c r="A412" t="str">
        <f>"E1592-8"</f>
        <v>E1592-8</v>
      </c>
      <c r="B412" t="str">
        <f>"VIA OBERTO CANCELLIERE  22R-"</f>
        <v>VIA OBERTO CANCELLIERE  22R-</v>
      </c>
      <c r="C412" t="str">
        <f>"GEC"</f>
        <v>GEC</v>
      </c>
      <c r="D412">
        <v>12</v>
      </c>
      <c r="E412" t="str">
        <f>"738"</f>
        <v>738</v>
      </c>
      <c r="F412" t="str">
        <f>"8"</f>
        <v>8</v>
      </c>
    </row>
    <row r="413" spans="1:6">
      <c r="A413" t="str">
        <f>"E1593-2"</f>
        <v>E1593-2</v>
      </c>
      <c r="B413" t="str">
        <f>"PIAZZA EMBRIACI  5-"</f>
        <v>PIAZZA EMBRIACI  5-</v>
      </c>
      <c r="C413" t="str">
        <f t="shared" ref="C413:C421" si="48">"1"</f>
        <v>1</v>
      </c>
      <c r="D413">
        <v>67</v>
      </c>
      <c r="E413" t="str">
        <f>"235"</f>
        <v>235</v>
      </c>
      <c r="F413" t="str">
        <f t="shared" ref="F413:F421" si="49">"0000"</f>
        <v>0000</v>
      </c>
    </row>
    <row r="414" spans="1:6">
      <c r="C414" t="str">
        <f t="shared" si="48"/>
        <v>1</v>
      </c>
      <c r="D414">
        <v>67</v>
      </c>
      <c r="E414" t="str">
        <f>"237"</f>
        <v>237</v>
      </c>
      <c r="F414" t="str">
        <f t="shared" si="49"/>
        <v>0000</v>
      </c>
    </row>
    <row r="415" spans="1:6">
      <c r="C415" t="str">
        <f t="shared" si="48"/>
        <v>1</v>
      </c>
      <c r="D415">
        <v>67</v>
      </c>
      <c r="E415" t="str">
        <f>"236"</f>
        <v>236</v>
      </c>
      <c r="F415" t="str">
        <f t="shared" si="49"/>
        <v>0000</v>
      </c>
    </row>
    <row r="416" spans="1:6">
      <c r="A416" t="str">
        <f>"E1593-3"</f>
        <v>E1593-3</v>
      </c>
      <c r="B416" t="str">
        <f>"PIAZZA EMBRIACI  5-"</f>
        <v>PIAZZA EMBRIACI  5-</v>
      </c>
      <c r="C416" t="str">
        <f t="shared" si="48"/>
        <v>1</v>
      </c>
      <c r="D416">
        <v>67</v>
      </c>
      <c r="E416" t="str">
        <f>"235"</f>
        <v>235</v>
      </c>
      <c r="F416" t="str">
        <f t="shared" si="49"/>
        <v>0000</v>
      </c>
    </row>
    <row r="417" spans="1:6">
      <c r="C417" t="str">
        <f t="shared" si="48"/>
        <v>1</v>
      </c>
      <c r="D417">
        <v>67</v>
      </c>
      <c r="E417" t="str">
        <f>"237"</f>
        <v>237</v>
      </c>
      <c r="F417" t="str">
        <f t="shared" si="49"/>
        <v>0000</v>
      </c>
    </row>
    <row r="418" spans="1:6">
      <c r="C418" t="str">
        <f t="shared" si="48"/>
        <v>1</v>
      </c>
      <c r="D418">
        <v>67</v>
      </c>
      <c r="E418" t="str">
        <f>"236"</f>
        <v>236</v>
      </c>
      <c r="F418" t="str">
        <f t="shared" si="49"/>
        <v>0000</v>
      </c>
    </row>
    <row r="419" spans="1:6">
      <c r="A419" t="str">
        <f>"E1593-4"</f>
        <v>E1593-4</v>
      </c>
      <c r="B419" t="str">
        <f>"PIAZZA EMBRIACI  5-"</f>
        <v>PIAZZA EMBRIACI  5-</v>
      </c>
      <c r="C419" t="str">
        <f t="shared" si="48"/>
        <v>1</v>
      </c>
      <c r="D419">
        <v>67</v>
      </c>
      <c r="E419" t="str">
        <f>"235"</f>
        <v>235</v>
      </c>
      <c r="F419" t="str">
        <f t="shared" si="49"/>
        <v>0000</v>
      </c>
    </row>
    <row r="420" spans="1:6">
      <c r="C420" t="str">
        <f t="shared" si="48"/>
        <v>1</v>
      </c>
      <c r="D420">
        <v>67</v>
      </c>
      <c r="E420" t="str">
        <f>"236"</f>
        <v>236</v>
      </c>
      <c r="F420" t="str">
        <f t="shared" si="49"/>
        <v>0000</v>
      </c>
    </row>
    <row r="421" spans="1:6">
      <c r="C421" t="str">
        <f t="shared" si="48"/>
        <v>1</v>
      </c>
      <c r="D421">
        <v>67</v>
      </c>
      <c r="E421" t="str">
        <f>"237"</f>
        <v>237</v>
      </c>
      <c r="F421" t="str">
        <f t="shared" si="49"/>
        <v>0000</v>
      </c>
    </row>
    <row r="422" spans="1:6">
      <c r="A422" t="str">
        <f>"E1594-1"</f>
        <v>E1594-1</v>
      </c>
      <c r="B422" t="str">
        <f t="shared" ref="B422:B428" si="50">"P.SO CAPORALE PIETRO BARS VICINO AL 4R-"</f>
        <v>P.SO CAPORALE PIETRO BARS VICINO AL 4R-</v>
      </c>
      <c r="C422" t="str">
        <f t="shared" ref="C422:C434" si="51">"GEC"</f>
        <v>GEC</v>
      </c>
      <c r="D422">
        <v>12</v>
      </c>
      <c r="E422" t="str">
        <f t="shared" ref="E422:E428" si="52">"1228"</f>
        <v>1228</v>
      </c>
      <c r="F422" t="str">
        <f>"1"</f>
        <v>1</v>
      </c>
    </row>
    <row r="423" spans="1:6">
      <c r="A423" t="str">
        <f>"E1594-2"</f>
        <v>E1594-2</v>
      </c>
      <c r="B423" t="str">
        <f t="shared" si="50"/>
        <v>P.SO CAPORALE PIETRO BARS VICINO AL 4R-</v>
      </c>
      <c r="C423" t="str">
        <f t="shared" si="51"/>
        <v>GEC</v>
      </c>
      <c r="D423">
        <v>12</v>
      </c>
      <c r="E423" t="str">
        <f t="shared" si="52"/>
        <v>1228</v>
      </c>
      <c r="F423" t="str">
        <f>"2"</f>
        <v>2</v>
      </c>
    </row>
    <row r="424" spans="1:6">
      <c r="A424" t="str">
        <f>"E1594-3"</f>
        <v>E1594-3</v>
      </c>
      <c r="B424" t="str">
        <f t="shared" si="50"/>
        <v>P.SO CAPORALE PIETRO BARS VICINO AL 4R-</v>
      </c>
      <c r="C424" t="str">
        <f t="shared" si="51"/>
        <v>GEC</v>
      </c>
      <c r="D424">
        <v>12</v>
      </c>
      <c r="E424" t="str">
        <f t="shared" si="52"/>
        <v>1228</v>
      </c>
      <c r="F424" t="str">
        <f>"3"</f>
        <v>3</v>
      </c>
    </row>
    <row r="425" spans="1:6">
      <c r="A425" t="str">
        <f>"E1594-4"</f>
        <v>E1594-4</v>
      </c>
      <c r="B425" t="str">
        <f t="shared" si="50"/>
        <v>P.SO CAPORALE PIETRO BARS VICINO AL 4R-</v>
      </c>
      <c r="C425" t="str">
        <f t="shared" si="51"/>
        <v>GEC</v>
      </c>
      <c r="D425">
        <v>12</v>
      </c>
      <c r="E425" t="str">
        <f t="shared" si="52"/>
        <v>1228</v>
      </c>
      <c r="F425" t="str">
        <f>"4"</f>
        <v>4</v>
      </c>
    </row>
    <row r="426" spans="1:6">
      <c r="A426" t="str">
        <f>"E1594-5"</f>
        <v>E1594-5</v>
      </c>
      <c r="B426" t="str">
        <f t="shared" si="50"/>
        <v>P.SO CAPORALE PIETRO BARS VICINO AL 4R-</v>
      </c>
      <c r="C426" t="str">
        <f t="shared" si="51"/>
        <v>GEC</v>
      </c>
      <c r="D426">
        <v>12</v>
      </c>
      <c r="E426" t="str">
        <f t="shared" si="52"/>
        <v>1228</v>
      </c>
      <c r="F426" t="str">
        <f>"5"</f>
        <v>5</v>
      </c>
    </row>
    <row r="427" spans="1:6">
      <c r="A427" t="str">
        <f>"E1594-6"</f>
        <v>E1594-6</v>
      </c>
      <c r="B427" t="str">
        <f t="shared" si="50"/>
        <v>P.SO CAPORALE PIETRO BARS VICINO AL 4R-</v>
      </c>
      <c r="C427" t="str">
        <f t="shared" si="51"/>
        <v>GEC</v>
      </c>
      <c r="D427">
        <v>12</v>
      </c>
      <c r="E427" t="str">
        <f t="shared" si="52"/>
        <v>1228</v>
      </c>
      <c r="F427" t="str">
        <f>"6"</f>
        <v>6</v>
      </c>
    </row>
    <row r="428" spans="1:6">
      <c r="A428" t="str">
        <f>"E1594-7"</f>
        <v>E1594-7</v>
      </c>
      <c r="B428" t="str">
        <f t="shared" si="50"/>
        <v>P.SO CAPORALE PIETRO BARS VICINO AL 4R-</v>
      </c>
      <c r="C428" t="str">
        <f t="shared" si="51"/>
        <v>GEC</v>
      </c>
      <c r="D428">
        <v>12</v>
      </c>
      <c r="E428" t="str">
        <f t="shared" si="52"/>
        <v>1228</v>
      </c>
      <c r="F428" t="str">
        <f>"7"</f>
        <v>7</v>
      </c>
    </row>
    <row r="429" spans="1:6">
      <c r="A429" t="str">
        <f>"E1594-8"</f>
        <v>E1594-8</v>
      </c>
      <c r="B429" t="str">
        <f>"P.SO CAPORALE PIETRO BARS VICINO AL 6R-"</f>
        <v>P.SO CAPORALE PIETRO BARS VICINO AL 6R-</v>
      </c>
      <c r="C429" t="str">
        <f t="shared" si="51"/>
        <v>GEC</v>
      </c>
      <c r="D429">
        <v>12</v>
      </c>
      <c r="E429" t="str">
        <f>"1232"</f>
        <v>1232</v>
      </c>
      <c r="F429" t="str">
        <f>"1"</f>
        <v>1</v>
      </c>
    </row>
    <row r="430" spans="1:6">
      <c r="A430" t="str">
        <f>"E1594-9"</f>
        <v>E1594-9</v>
      </c>
      <c r="B430" t="str">
        <f>"P.SO CAPORALE PIETRO BARS VICINO AL 6R-"</f>
        <v>P.SO CAPORALE PIETRO BARS VICINO AL 6R-</v>
      </c>
      <c r="C430" t="str">
        <f t="shared" si="51"/>
        <v>GEC</v>
      </c>
      <c r="D430">
        <v>12</v>
      </c>
      <c r="E430" t="str">
        <f>"1232"</f>
        <v>1232</v>
      </c>
      <c r="F430" t="str">
        <f>"2"</f>
        <v>2</v>
      </c>
    </row>
    <row r="431" spans="1:6">
      <c r="A431" t="str">
        <f>"E1594-10"</f>
        <v>E1594-10</v>
      </c>
      <c r="B431" t="str">
        <f>"P.SO CAPORALE PIETRO BARS VICINO AL 8R-"</f>
        <v>P.SO CAPORALE PIETRO BARS VICINO AL 8R-</v>
      </c>
      <c r="C431" t="str">
        <f t="shared" si="51"/>
        <v>GEC</v>
      </c>
      <c r="D431">
        <v>12</v>
      </c>
      <c r="E431" t="str">
        <f>"1232"</f>
        <v>1232</v>
      </c>
      <c r="F431" t="str">
        <f>"3"</f>
        <v>3</v>
      </c>
    </row>
    <row r="432" spans="1:6">
      <c r="A432" t="str">
        <f>"E1594-11"</f>
        <v>E1594-11</v>
      </c>
      <c r="B432" t="str">
        <f>"P.SO CAPORALE PIETRO BARS VICINO AL 8R-"</f>
        <v>P.SO CAPORALE PIETRO BARS VICINO AL 8R-</v>
      </c>
      <c r="C432" t="str">
        <f t="shared" si="51"/>
        <v>GEC</v>
      </c>
      <c r="D432">
        <v>12</v>
      </c>
      <c r="E432" t="str">
        <f>"1232"</f>
        <v>1232</v>
      </c>
      <c r="F432" t="str">
        <f>"4"</f>
        <v>4</v>
      </c>
    </row>
    <row r="433" spans="1:6">
      <c r="A433" t="str">
        <f>"E1594-12"</f>
        <v>E1594-12</v>
      </c>
      <c r="B433" t="str">
        <f>"P.SO CAPORALE PIETRO BARS VICINO AL 6R-"</f>
        <v>P.SO CAPORALE PIETRO BARS VICINO AL 6R-</v>
      </c>
      <c r="C433" t="str">
        <f t="shared" si="51"/>
        <v>GEC</v>
      </c>
      <c r="D433">
        <v>12</v>
      </c>
      <c r="E433" t="str">
        <f>"1232"</f>
        <v>1232</v>
      </c>
      <c r="F433" t="str">
        <f>"5"</f>
        <v>5</v>
      </c>
    </row>
    <row r="434" spans="1:6">
      <c r="A434" t="str">
        <f>"E1594-13"</f>
        <v>E1594-13</v>
      </c>
      <c r="B434" t="str">
        <f>"P.SO CAPORALE PIETRO BARS VICINO AL 8R-"</f>
        <v>P.SO CAPORALE PIETRO BARS VICINO AL 8R-</v>
      </c>
      <c r="C434" t="str">
        <f t="shared" si="51"/>
        <v>GEC</v>
      </c>
      <c r="D434">
        <v>12</v>
      </c>
      <c r="E434" t="str">
        <f>"1233"</f>
        <v>1233</v>
      </c>
      <c r="F434" t="str">
        <f>"0000"</f>
        <v>0000</v>
      </c>
    </row>
    <row r="435" spans="1:6">
      <c r="A435" t="str">
        <f>"E1595-14"</f>
        <v>E1595-14</v>
      </c>
      <c r="B435" t="str">
        <f>"VIA VENTI SETTEMBRE  7-"</f>
        <v>VIA VENTI SETTEMBRE  7-</v>
      </c>
      <c r="C435" t="str">
        <f>"GEA"</f>
        <v>GEA</v>
      </c>
      <c r="D435">
        <v>106</v>
      </c>
      <c r="E435" t="str">
        <f>"337"</f>
        <v>337</v>
      </c>
      <c r="F435" t="str">
        <f>"17"</f>
        <v>17</v>
      </c>
    </row>
    <row r="436" spans="1:6">
      <c r="A436" t="str">
        <f>"E1595-15"</f>
        <v>E1595-15</v>
      </c>
      <c r="B436" t="str">
        <f>"VIA VENTI SETTEMBRE  7-"</f>
        <v>VIA VENTI SETTEMBRE  7-</v>
      </c>
      <c r="C436" t="str">
        <f>"GEA"</f>
        <v>GEA</v>
      </c>
      <c r="D436">
        <v>106</v>
      </c>
      <c r="E436" t="str">
        <f>"337"</f>
        <v>337</v>
      </c>
      <c r="F436" t="str">
        <f>"16"</f>
        <v>16</v>
      </c>
    </row>
    <row r="437" spans="1:6">
      <c r="A437" t="str">
        <f>"E1595-20"</f>
        <v>E1595-20</v>
      </c>
      <c r="B437" t="str">
        <f>"VIA VENTI SETTEMBRE  11-"</f>
        <v>VIA VENTI SETTEMBRE  11-</v>
      </c>
      <c r="C437" t="str">
        <f>"GEA"</f>
        <v>GEA</v>
      </c>
      <c r="D437">
        <v>106</v>
      </c>
      <c r="E437" t="str">
        <f>"337"</f>
        <v>337</v>
      </c>
      <c r="F437" t="str">
        <f>"46"</f>
        <v>46</v>
      </c>
    </row>
    <row r="438" spans="1:6">
      <c r="A438" t="str">
        <f>"E1596-1"</f>
        <v>E1596-1</v>
      </c>
      <c r="B438" t="str">
        <f>"PIAZZA CAVOUR  61R-"</f>
        <v>PIAZZA CAVOUR  61R-</v>
      </c>
      <c r="C438" t="str">
        <f>"GEA"</f>
        <v>GEA</v>
      </c>
      <c r="D438">
        <v>84</v>
      </c>
      <c r="E438" t="str">
        <f>"207"</f>
        <v>207</v>
      </c>
      <c r="F438" t="str">
        <f>"0000"</f>
        <v>0000</v>
      </c>
    </row>
    <row r="439" spans="1:6">
      <c r="A439" t="str">
        <f>"E1599-1"</f>
        <v>E1599-1</v>
      </c>
      <c r="B439" t="str">
        <f>"VICO DELLE VELE VICINO AL 2R-"</f>
        <v>VICO DELLE VELE VICINO AL 2R-</v>
      </c>
      <c r="C439" t="str">
        <f>"1"</f>
        <v>1</v>
      </c>
      <c r="D439">
        <v>66</v>
      </c>
      <c r="E439" t="str">
        <f>"99999"</f>
        <v>99999</v>
      </c>
      <c r="F439" t="str">
        <f>"0000"</f>
        <v>0000</v>
      </c>
    </row>
    <row r="440" spans="1:6">
      <c r="A440" t="str">
        <f>"E1600-1"</f>
        <v>E1600-1</v>
      </c>
      <c r="B440" t="str">
        <f>"VIA AGOSTINO BERTANI  5-"</f>
        <v>VIA AGOSTINO BERTANI  5-</v>
      </c>
      <c r="C440" t="str">
        <f>"GEA"</f>
        <v>GEA</v>
      </c>
      <c r="D440">
        <v>101</v>
      </c>
      <c r="E440" t="str">
        <f>"75"</f>
        <v>75</v>
      </c>
      <c r="F440" t="str">
        <f>"0000"</f>
        <v>0000</v>
      </c>
    </row>
    <row r="441" spans="1:6">
      <c r="A441" t="str">
        <f>"E1602-1"</f>
        <v>E1602-1</v>
      </c>
      <c r="B441" t="str">
        <f>"VIA AGOSTINO BERTANI  7-"</f>
        <v>VIA AGOSTINO BERTANI  7-</v>
      </c>
      <c r="C441" t="str">
        <f>"GEA"</f>
        <v>GEA</v>
      </c>
      <c r="D441">
        <v>101</v>
      </c>
      <c r="E441" t="str">
        <f>"33"</f>
        <v>33</v>
      </c>
      <c r="F441" t="str">
        <f>"1"</f>
        <v>1</v>
      </c>
    </row>
    <row r="442" spans="1:6">
      <c r="C442" t="str">
        <f>"GEA"</f>
        <v>GEA</v>
      </c>
      <c r="D442">
        <v>101</v>
      </c>
      <c r="E442" t="str">
        <f>"34"</f>
        <v>34</v>
      </c>
      <c r="F442" t="str">
        <f>"0000"</f>
        <v>0000</v>
      </c>
    </row>
    <row r="443" spans="1:6">
      <c r="A443" t="str">
        <f>"E1602-2"</f>
        <v>E1602-2</v>
      </c>
      <c r="B443" t="str">
        <f>"VIA AGOSTINO BERTANI  7-"</f>
        <v>VIA AGOSTINO BERTANI  7-</v>
      </c>
      <c r="C443" t="str">
        <f>"GEA"</f>
        <v>GEA</v>
      </c>
      <c r="D443">
        <v>101</v>
      </c>
      <c r="E443" t="str">
        <f>"33"</f>
        <v>33</v>
      </c>
      <c r="F443" t="str">
        <f>"2"</f>
        <v>2</v>
      </c>
    </row>
    <row r="444" spans="1:6">
      <c r="A444" t="str">
        <f>"E1604-1"</f>
        <v>E1604-1</v>
      </c>
      <c r="B444" t="str">
        <f>"VIA DI SOTTORIPA VICINO AL 1-"</f>
        <v>VIA DI SOTTORIPA VICINO AL 1-</v>
      </c>
      <c r="C444" t="str">
        <f>"1"</f>
        <v>1</v>
      </c>
      <c r="D444">
        <v>45</v>
      </c>
      <c r="E444" t="str">
        <f>"360"</f>
        <v>360</v>
      </c>
      <c r="F444" t="str">
        <f>"0000"</f>
        <v>0000</v>
      </c>
    </row>
    <row r="445" spans="1:6">
      <c r="A445" t="str">
        <f>"E1606-1"</f>
        <v>E1606-1</v>
      </c>
      <c r="B445" t="str">
        <f>"LARGO DELLA ZECCA VICINO AL 3R-"</f>
        <v>LARGO DELLA ZECCA VICINO AL 3R-</v>
      </c>
      <c r="C445" t="str">
        <f>"GEA"</f>
        <v>GEA</v>
      </c>
      <c r="D445">
        <v>94</v>
      </c>
      <c r="E445" t="str">
        <f>"467"</f>
        <v>467</v>
      </c>
      <c r="F445" t="str">
        <f>"1"</f>
        <v>1</v>
      </c>
    </row>
    <row r="446" spans="1:6">
      <c r="A446" t="str">
        <f>"E1606-2"</f>
        <v>E1606-2</v>
      </c>
      <c r="B446" t="str">
        <f>"LARGO DELLA ZECCA  3R-"</f>
        <v>LARGO DELLA ZECCA  3R-</v>
      </c>
      <c r="C446" t="str">
        <f>"GEA"</f>
        <v>GEA</v>
      </c>
      <c r="D446">
        <v>94</v>
      </c>
      <c r="E446" t="str">
        <f>"467"</f>
        <v>467</v>
      </c>
      <c r="F446" t="str">
        <f>"2"</f>
        <v>2</v>
      </c>
    </row>
    <row r="447" spans="1:6">
      <c r="A447" t="str">
        <f>"E1606-3"</f>
        <v>E1606-3</v>
      </c>
      <c r="B447" t="str">
        <f>"LARGO DELLA ZECCA  4R-"</f>
        <v>LARGO DELLA ZECCA  4R-</v>
      </c>
      <c r="C447" t="str">
        <f>"GEA"</f>
        <v>GEA</v>
      </c>
      <c r="D447">
        <v>94</v>
      </c>
      <c r="E447" t="str">
        <f>"467"</f>
        <v>467</v>
      </c>
      <c r="F447" t="str">
        <f>"3"</f>
        <v>3</v>
      </c>
    </row>
    <row r="448" spans="1:6">
      <c r="A448" t="str">
        <f>"E1606-4"</f>
        <v>E1606-4</v>
      </c>
      <c r="B448" t="str">
        <f>"LARGO DELLA ZECCA  5R-"</f>
        <v>LARGO DELLA ZECCA  5R-</v>
      </c>
      <c r="C448" t="str">
        <f>"GEA"</f>
        <v>GEA</v>
      </c>
      <c r="D448">
        <v>94</v>
      </c>
      <c r="E448" t="str">
        <f>"467"</f>
        <v>467</v>
      </c>
      <c r="F448" t="str">
        <f>"4"</f>
        <v>4</v>
      </c>
    </row>
    <row r="449" spans="1:6">
      <c r="A449" t="str">
        <f>"E1606-5"</f>
        <v>E1606-5</v>
      </c>
      <c r="B449" t="str">
        <f>"LARGO DELLA ZECCA  8R-"</f>
        <v>LARGO DELLA ZECCA  8R-</v>
      </c>
      <c r="C449" t="str">
        <f>"GEA"</f>
        <v>GEA</v>
      </c>
      <c r="D449">
        <v>94</v>
      </c>
      <c r="E449" t="str">
        <f>"467"</f>
        <v>467</v>
      </c>
      <c r="F449" t="str">
        <f>"6"</f>
        <v>6</v>
      </c>
    </row>
    <row r="450" spans="1:6">
      <c r="A450" t="str">
        <f>"E1610-1"</f>
        <v>E1610-1</v>
      </c>
      <c r="B450" t="str">
        <f>"VIA AL PORTO ANTICO  2-"</f>
        <v>VIA AL PORTO ANTICO  2-</v>
      </c>
      <c r="C450" t="str">
        <f t="shared" ref="C450:C475" si="53">"GEP"</f>
        <v>GEP</v>
      </c>
      <c r="D450">
        <v>77</v>
      </c>
      <c r="E450" t="str">
        <f>"306"</f>
        <v>306</v>
      </c>
      <c r="F450" t="str">
        <f>"1"</f>
        <v>1</v>
      </c>
    </row>
    <row r="451" spans="1:6">
      <c r="C451" t="str">
        <f t="shared" si="53"/>
        <v>GEP</v>
      </c>
      <c r="D451">
        <v>77</v>
      </c>
      <c r="E451" t="str">
        <f>"306"</f>
        <v>306</v>
      </c>
      <c r="F451" t="str">
        <f>"2"</f>
        <v>2</v>
      </c>
    </row>
    <row r="452" spans="1:6">
      <c r="C452" t="str">
        <f t="shared" si="53"/>
        <v>GEP</v>
      </c>
      <c r="D452">
        <v>77</v>
      </c>
      <c r="E452" t="str">
        <f>"306"</f>
        <v>306</v>
      </c>
      <c r="F452" t="str">
        <f>"3"</f>
        <v>3</v>
      </c>
    </row>
    <row r="453" spans="1:6">
      <c r="C453" t="str">
        <f t="shared" si="53"/>
        <v>GEP</v>
      </c>
      <c r="D453">
        <v>77</v>
      </c>
      <c r="E453" t="str">
        <f>"308"</f>
        <v>308</v>
      </c>
      <c r="F453" t="str">
        <f t="shared" ref="F453:F460" si="54">"0000"</f>
        <v>0000</v>
      </c>
    </row>
    <row r="454" spans="1:6">
      <c r="C454" t="str">
        <f t="shared" si="53"/>
        <v>GEP</v>
      </c>
      <c r="D454">
        <v>77</v>
      </c>
      <c r="E454" t="str">
        <f>"310"</f>
        <v>310</v>
      </c>
      <c r="F454" t="str">
        <f t="shared" si="54"/>
        <v>0000</v>
      </c>
    </row>
    <row r="455" spans="1:6">
      <c r="C455" t="str">
        <f t="shared" si="53"/>
        <v>GEP</v>
      </c>
      <c r="D455">
        <v>82</v>
      </c>
      <c r="E455" t="str">
        <f>"702"</f>
        <v>702</v>
      </c>
      <c r="F455" t="str">
        <f t="shared" si="54"/>
        <v>0000</v>
      </c>
    </row>
    <row r="456" spans="1:6">
      <c r="C456" t="str">
        <f t="shared" si="53"/>
        <v>GEP</v>
      </c>
      <c r="D456">
        <v>82</v>
      </c>
      <c r="E456" t="str">
        <f>"701"</f>
        <v>701</v>
      </c>
      <c r="F456" t="str">
        <f t="shared" si="54"/>
        <v>0000</v>
      </c>
    </row>
    <row r="457" spans="1:6">
      <c r="C457" t="str">
        <f t="shared" si="53"/>
        <v>GEP</v>
      </c>
      <c r="D457">
        <v>82</v>
      </c>
      <c r="E457" t="str">
        <f>"700"</f>
        <v>700</v>
      </c>
      <c r="F457" t="str">
        <f t="shared" si="54"/>
        <v>0000</v>
      </c>
    </row>
    <row r="458" spans="1:6">
      <c r="C458" t="str">
        <f t="shared" si="53"/>
        <v>GEP</v>
      </c>
      <c r="D458">
        <v>82</v>
      </c>
      <c r="E458" t="str">
        <f>"699"</f>
        <v>699</v>
      </c>
      <c r="F458" t="str">
        <f t="shared" si="54"/>
        <v>0000</v>
      </c>
    </row>
    <row r="459" spans="1:6">
      <c r="C459" t="str">
        <f t="shared" si="53"/>
        <v>GEP</v>
      </c>
      <c r="D459">
        <v>82</v>
      </c>
      <c r="E459" t="str">
        <f>"698"</f>
        <v>698</v>
      </c>
      <c r="F459" t="str">
        <f t="shared" si="54"/>
        <v>0000</v>
      </c>
    </row>
    <row r="460" spans="1:6">
      <c r="C460" t="str">
        <f t="shared" si="53"/>
        <v>GEP</v>
      </c>
      <c r="D460">
        <v>82</v>
      </c>
      <c r="E460" t="str">
        <f>"697"</f>
        <v>697</v>
      </c>
      <c r="F460" t="str">
        <f t="shared" si="54"/>
        <v>0000</v>
      </c>
    </row>
    <row r="461" spans="1:6">
      <c r="C461" t="str">
        <f t="shared" si="53"/>
        <v>GEP</v>
      </c>
      <c r="D461">
        <v>82</v>
      </c>
      <c r="E461" t="str">
        <f>"696"</f>
        <v>696</v>
      </c>
      <c r="F461" t="str">
        <f>"2"</f>
        <v>2</v>
      </c>
    </row>
    <row r="462" spans="1:6">
      <c r="C462" t="str">
        <f t="shared" si="53"/>
        <v>GEP</v>
      </c>
      <c r="D462">
        <v>82</v>
      </c>
      <c r="E462" t="str">
        <f>"696"</f>
        <v>696</v>
      </c>
      <c r="F462" t="str">
        <f>"1"</f>
        <v>1</v>
      </c>
    </row>
    <row r="463" spans="1:6">
      <c r="C463" t="str">
        <f t="shared" si="53"/>
        <v>GEP</v>
      </c>
      <c r="D463">
        <v>82</v>
      </c>
      <c r="E463" t="str">
        <f>"695"</f>
        <v>695</v>
      </c>
      <c r="F463" t="str">
        <f>"0000"</f>
        <v>0000</v>
      </c>
    </row>
    <row r="464" spans="1:6">
      <c r="C464" t="str">
        <f t="shared" si="53"/>
        <v>GEP</v>
      </c>
      <c r="D464">
        <v>77</v>
      </c>
      <c r="E464" t="str">
        <f>"445"</f>
        <v>445</v>
      </c>
      <c r="F464" t="str">
        <f>"2"</f>
        <v>2</v>
      </c>
    </row>
    <row r="465" spans="1:6">
      <c r="C465" t="str">
        <f t="shared" si="53"/>
        <v>GEP</v>
      </c>
      <c r="D465">
        <v>77</v>
      </c>
      <c r="E465" t="str">
        <f>"319"</f>
        <v>319</v>
      </c>
      <c r="F465" t="str">
        <f>"0000"</f>
        <v>0000</v>
      </c>
    </row>
    <row r="466" spans="1:6">
      <c r="C466" t="str">
        <f t="shared" si="53"/>
        <v>GEP</v>
      </c>
      <c r="D466">
        <v>77</v>
      </c>
      <c r="E466" t="str">
        <f>"318"</f>
        <v>318</v>
      </c>
      <c r="F466" t="str">
        <f>"0000"</f>
        <v>0000</v>
      </c>
    </row>
    <row r="467" spans="1:6">
      <c r="C467" t="str">
        <f t="shared" si="53"/>
        <v>GEP</v>
      </c>
      <c r="D467">
        <v>77</v>
      </c>
      <c r="E467" t="str">
        <f>"317"</f>
        <v>317</v>
      </c>
      <c r="F467" t="str">
        <f>"0000"</f>
        <v>0000</v>
      </c>
    </row>
    <row r="468" spans="1:6">
      <c r="C468" t="str">
        <f t="shared" si="53"/>
        <v>GEP</v>
      </c>
      <c r="D468">
        <v>77</v>
      </c>
      <c r="E468" t="str">
        <f>"316"</f>
        <v>316</v>
      </c>
      <c r="F468" t="str">
        <f>"0000"</f>
        <v>0000</v>
      </c>
    </row>
    <row r="469" spans="1:6">
      <c r="C469" t="str">
        <f t="shared" si="53"/>
        <v>GEP</v>
      </c>
      <c r="D469">
        <v>77</v>
      </c>
      <c r="E469" t="str">
        <f>"315"</f>
        <v>315</v>
      </c>
      <c r="F469" t="str">
        <f>"0000"</f>
        <v>0000</v>
      </c>
    </row>
    <row r="470" spans="1:6">
      <c r="C470" t="str">
        <f t="shared" si="53"/>
        <v>GEP</v>
      </c>
      <c r="D470">
        <v>77</v>
      </c>
      <c r="E470" t="str">
        <f>"314"</f>
        <v>314</v>
      </c>
      <c r="F470" t="str">
        <f>"5"</f>
        <v>5</v>
      </c>
    </row>
    <row r="471" spans="1:6">
      <c r="C471" t="str">
        <f t="shared" si="53"/>
        <v>GEP</v>
      </c>
      <c r="D471">
        <v>77</v>
      </c>
      <c r="E471" t="str">
        <f>"313"</f>
        <v>313</v>
      </c>
      <c r="F471" t="str">
        <f>"15"</f>
        <v>15</v>
      </c>
    </row>
    <row r="472" spans="1:6">
      <c r="C472" t="str">
        <f t="shared" si="53"/>
        <v>GEP</v>
      </c>
      <c r="D472">
        <v>77</v>
      </c>
      <c r="E472" t="str">
        <f>"312"</f>
        <v>312</v>
      </c>
      <c r="F472" t="str">
        <f>"0000"</f>
        <v>0000</v>
      </c>
    </row>
    <row r="473" spans="1:6">
      <c r="C473" t="str">
        <f t="shared" si="53"/>
        <v>GEP</v>
      </c>
      <c r="D473">
        <v>77</v>
      </c>
      <c r="E473" t="str">
        <f>"311"</f>
        <v>311</v>
      </c>
      <c r="F473" t="str">
        <f>"0000"</f>
        <v>0000</v>
      </c>
    </row>
    <row r="474" spans="1:6">
      <c r="C474" t="str">
        <f t="shared" si="53"/>
        <v>GEP</v>
      </c>
      <c r="D474">
        <v>77</v>
      </c>
      <c r="E474" t="str">
        <f>"309"</f>
        <v>309</v>
      </c>
      <c r="F474" t="str">
        <f>"1"</f>
        <v>1</v>
      </c>
    </row>
    <row r="475" spans="1:6">
      <c r="C475" t="str">
        <f t="shared" si="53"/>
        <v>GEP</v>
      </c>
      <c r="D475">
        <v>77</v>
      </c>
      <c r="E475" t="str">
        <f>"307"</f>
        <v>307</v>
      </c>
      <c r="F475" t="str">
        <f>"0000"</f>
        <v>0000</v>
      </c>
    </row>
    <row r="476" spans="1:6">
      <c r="A476" t="str">
        <f>"E1611-7"</f>
        <v>E1611-7</v>
      </c>
      <c r="B476" t="str">
        <f>"VICO DEL DUCA  34R-"</f>
        <v>VICO DEL DUCA  34R-</v>
      </c>
      <c r="C476" t="str">
        <f t="shared" ref="C476:C498" si="55">"GEA"</f>
        <v>GEA</v>
      </c>
      <c r="D476">
        <v>95</v>
      </c>
      <c r="E476" t="str">
        <f t="shared" ref="E476:E485" si="56">"41"</f>
        <v>41</v>
      </c>
      <c r="F476" t="str">
        <f>"19"</f>
        <v>19</v>
      </c>
    </row>
    <row r="477" spans="1:6">
      <c r="A477" t="str">
        <f>"E1611-8"</f>
        <v>E1611-8</v>
      </c>
      <c r="B477" t="str">
        <f t="shared" ref="B477:B485" si="57">"VICO DEL DUCA  22-"</f>
        <v>VICO DEL DUCA  22-</v>
      </c>
      <c r="C477" t="str">
        <f t="shared" si="55"/>
        <v>GEA</v>
      </c>
      <c r="D477">
        <v>95</v>
      </c>
      <c r="E477" t="str">
        <f t="shared" si="56"/>
        <v>41</v>
      </c>
      <c r="F477" t="str">
        <f>"20"</f>
        <v>20</v>
      </c>
    </row>
    <row r="478" spans="1:6">
      <c r="A478" t="str">
        <f>"E1611-9"</f>
        <v>E1611-9</v>
      </c>
      <c r="B478" t="str">
        <f t="shared" si="57"/>
        <v>VICO DEL DUCA  22-</v>
      </c>
      <c r="C478" t="str">
        <f t="shared" si="55"/>
        <v>GEA</v>
      </c>
      <c r="D478">
        <v>95</v>
      </c>
      <c r="E478" t="str">
        <f t="shared" si="56"/>
        <v>41</v>
      </c>
      <c r="F478" t="str">
        <f>"21"</f>
        <v>21</v>
      </c>
    </row>
    <row r="479" spans="1:6">
      <c r="A479" t="str">
        <f>"E1611-10"</f>
        <v>E1611-10</v>
      </c>
      <c r="B479" t="str">
        <f t="shared" si="57"/>
        <v>VICO DEL DUCA  22-</v>
      </c>
      <c r="C479" t="str">
        <f t="shared" si="55"/>
        <v>GEA</v>
      </c>
      <c r="D479">
        <v>95</v>
      </c>
      <c r="E479" t="str">
        <f t="shared" si="56"/>
        <v>41</v>
      </c>
      <c r="F479" t="str">
        <f>"22"</f>
        <v>22</v>
      </c>
    </row>
    <row r="480" spans="1:6">
      <c r="A480" t="str">
        <f>"E1611-11"</f>
        <v>E1611-11</v>
      </c>
      <c r="B480" t="str">
        <f t="shared" si="57"/>
        <v>VICO DEL DUCA  22-</v>
      </c>
      <c r="C480" t="str">
        <f t="shared" si="55"/>
        <v>GEA</v>
      </c>
      <c r="D480">
        <v>95</v>
      </c>
      <c r="E480" t="str">
        <f t="shared" si="56"/>
        <v>41</v>
      </c>
      <c r="F480" t="str">
        <f>"23"</f>
        <v>23</v>
      </c>
    </row>
    <row r="481" spans="1:6">
      <c r="A481" t="str">
        <f>"E1611-12"</f>
        <v>E1611-12</v>
      </c>
      <c r="B481" t="str">
        <f t="shared" si="57"/>
        <v>VICO DEL DUCA  22-</v>
      </c>
      <c r="C481" t="str">
        <f t="shared" si="55"/>
        <v>GEA</v>
      </c>
      <c r="D481">
        <v>95</v>
      </c>
      <c r="E481" t="str">
        <f t="shared" si="56"/>
        <v>41</v>
      </c>
      <c r="F481" t="str">
        <f>"24"</f>
        <v>24</v>
      </c>
    </row>
    <row r="482" spans="1:6">
      <c r="A482" t="str">
        <f>"E1611-13"</f>
        <v>E1611-13</v>
      </c>
      <c r="B482" t="str">
        <f t="shared" si="57"/>
        <v>VICO DEL DUCA  22-</v>
      </c>
      <c r="C482" t="str">
        <f t="shared" si="55"/>
        <v>GEA</v>
      </c>
      <c r="D482">
        <v>95</v>
      </c>
      <c r="E482" t="str">
        <f t="shared" si="56"/>
        <v>41</v>
      </c>
      <c r="F482" t="str">
        <f>"25"</f>
        <v>25</v>
      </c>
    </row>
    <row r="483" spans="1:6">
      <c r="A483" t="str">
        <f>"E1611-14"</f>
        <v>E1611-14</v>
      </c>
      <c r="B483" t="str">
        <f t="shared" si="57"/>
        <v>VICO DEL DUCA  22-</v>
      </c>
      <c r="C483" t="str">
        <f t="shared" si="55"/>
        <v>GEA</v>
      </c>
      <c r="D483">
        <v>95</v>
      </c>
      <c r="E483" t="str">
        <f t="shared" si="56"/>
        <v>41</v>
      </c>
      <c r="F483" t="str">
        <f>"26"</f>
        <v>26</v>
      </c>
    </row>
    <row r="484" spans="1:6">
      <c r="A484" t="str">
        <f>"E1611-15"</f>
        <v>E1611-15</v>
      </c>
      <c r="B484" t="str">
        <f t="shared" si="57"/>
        <v>VICO DEL DUCA  22-</v>
      </c>
      <c r="C484" t="str">
        <f t="shared" si="55"/>
        <v>GEA</v>
      </c>
      <c r="D484">
        <v>95</v>
      </c>
      <c r="E484" t="str">
        <f t="shared" si="56"/>
        <v>41</v>
      </c>
      <c r="F484" t="str">
        <f>"27"</f>
        <v>27</v>
      </c>
    </row>
    <row r="485" spans="1:6">
      <c r="A485" t="str">
        <f>"E1611-16"</f>
        <v>E1611-16</v>
      </c>
      <c r="B485" t="str">
        <f t="shared" si="57"/>
        <v>VICO DEL DUCA  22-</v>
      </c>
      <c r="C485" t="str">
        <f t="shared" si="55"/>
        <v>GEA</v>
      </c>
      <c r="D485">
        <v>95</v>
      </c>
      <c r="E485" t="str">
        <f t="shared" si="56"/>
        <v>41</v>
      </c>
      <c r="F485" t="str">
        <f>"28"</f>
        <v>28</v>
      </c>
    </row>
    <row r="486" spans="1:6">
      <c r="A486" t="str">
        <f>"E1612-1"</f>
        <v>E1612-1</v>
      </c>
      <c r="B486" t="str">
        <f>"GIAR COMBATTENTI ALLEATI  1-"</f>
        <v>GIAR COMBATTENTI ALLEATI  1-</v>
      </c>
      <c r="C486" t="str">
        <f t="shared" si="55"/>
        <v>GEA</v>
      </c>
      <c r="D486">
        <v>101</v>
      </c>
      <c r="E486" t="str">
        <f>"56"</f>
        <v>56</v>
      </c>
      <c r="F486" t="str">
        <f>"4"</f>
        <v>4</v>
      </c>
    </row>
    <row r="487" spans="1:6">
      <c r="C487" t="str">
        <f t="shared" si="55"/>
        <v>GEA</v>
      </c>
      <c r="D487">
        <v>101</v>
      </c>
      <c r="E487" t="str">
        <f>"83"</f>
        <v>83</v>
      </c>
      <c r="F487" t="str">
        <f>"3"</f>
        <v>3</v>
      </c>
    </row>
    <row r="488" spans="1:6">
      <c r="A488" t="str">
        <f>"E1612-2"</f>
        <v>E1612-2</v>
      </c>
      <c r="B488" t="str">
        <f>"GIAR COMBATTENTI ALLEATI  1-"</f>
        <v>GIAR COMBATTENTI ALLEATI  1-</v>
      </c>
      <c r="C488" t="str">
        <f t="shared" si="55"/>
        <v>GEA</v>
      </c>
      <c r="D488">
        <v>101</v>
      </c>
      <c r="E488" t="str">
        <f>"83"</f>
        <v>83</v>
      </c>
      <c r="F488" t="str">
        <f>"2"</f>
        <v>2</v>
      </c>
    </row>
    <row r="489" spans="1:6">
      <c r="A489" t="str">
        <f>"E1613-1"</f>
        <v>E1613-1</v>
      </c>
      <c r="B489" t="str">
        <f>"LARGO ALESSANDRO PERTINI  4-"</f>
        <v>LARGO ALESSANDRO PERTINI  4-</v>
      </c>
      <c r="C489" t="str">
        <f t="shared" si="55"/>
        <v>GEA</v>
      </c>
      <c r="D489">
        <v>96</v>
      </c>
      <c r="E489" t="str">
        <f>"93"</f>
        <v>93</v>
      </c>
      <c r="F489" t="str">
        <f>"23"</f>
        <v>23</v>
      </c>
    </row>
    <row r="490" spans="1:6">
      <c r="A490" t="str">
        <f>"E1613-2"</f>
        <v>E1613-2</v>
      </c>
      <c r="B490" t="str">
        <f>"LARGO ALESSANDRO PERTINI  4-"</f>
        <v>LARGO ALESSANDRO PERTINI  4-</v>
      </c>
      <c r="C490" t="str">
        <f t="shared" si="55"/>
        <v>GEA</v>
      </c>
      <c r="D490">
        <v>96</v>
      </c>
      <c r="E490" t="str">
        <f>"93"</f>
        <v>93</v>
      </c>
      <c r="F490" t="str">
        <f>"25"</f>
        <v>25</v>
      </c>
    </row>
    <row r="491" spans="1:6">
      <c r="A491" t="str">
        <f>"E1613-12"</f>
        <v>E1613-12</v>
      </c>
      <c r="B491" t="str">
        <f>"LARGO ALESSANDRO PERTINI  6-"</f>
        <v>LARGO ALESSANDRO PERTINI  6-</v>
      </c>
      <c r="C491" t="str">
        <f t="shared" si="55"/>
        <v>GEA</v>
      </c>
      <c r="D491">
        <v>96</v>
      </c>
      <c r="E491" t="str">
        <f>"93"</f>
        <v>93</v>
      </c>
      <c r="F491" t="str">
        <f>"11"</f>
        <v>11</v>
      </c>
    </row>
    <row r="492" spans="1:6">
      <c r="A492" t="str">
        <f>"E1614-1"</f>
        <v>E1614-1</v>
      </c>
      <c r="B492" t="str">
        <f>"VIA TOLLOT  4-"</f>
        <v>VIA TOLLOT  4-</v>
      </c>
      <c r="C492" t="str">
        <f t="shared" si="55"/>
        <v>GEA</v>
      </c>
      <c r="D492">
        <v>106</v>
      </c>
      <c r="E492" t="str">
        <f>"162"</f>
        <v>162</v>
      </c>
      <c r="F492" t="str">
        <f>"0000"</f>
        <v>0000</v>
      </c>
    </row>
    <row r="493" spans="1:6">
      <c r="A493" t="str">
        <f>"E1615-1"</f>
        <v>E1615-1</v>
      </c>
      <c r="B493" t="str">
        <f>"VIA VINCENZO RICCI  6-"</f>
        <v>VIA VINCENZO RICCI  6-</v>
      </c>
      <c r="C493" t="str">
        <f t="shared" si="55"/>
        <v>GEA</v>
      </c>
      <c r="D493">
        <v>106</v>
      </c>
      <c r="E493" t="str">
        <f>"164"</f>
        <v>164</v>
      </c>
      <c r="F493" t="str">
        <f>"1"</f>
        <v>1</v>
      </c>
    </row>
    <row r="494" spans="1:6">
      <c r="A494" t="str">
        <f>"E1615-2"</f>
        <v>E1615-2</v>
      </c>
      <c r="B494" t="str">
        <f>"VIA VINCENZO RICCI  6-"</f>
        <v>VIA VINCENZO RICCI  6-</v>
      </c>
      <c r="C494" t="str">
        <f t="shared" si="55"/>
        <v>GEA</v>
      </c>
      <c r="D494">
        <v>106</v>
      </c>
      <c r="E494" t="str">
        <f>"164"</f>
        <v>164</v>
      </c>
      <c r="F494" t="str">
        <f>"2"</f>
        <v>2</v>
      </c>
    </row>
    <row r="495" spans="1:6">
      <c r="A495" t="str">
        <f>"E1615-3"</f>
        <v>E1615-3</v>
      </c>
      <c r="B495" t="str">
        <f>"VIA VINCENZO RICCI  6-"</f>
        <v>VIA VINCENZO RICCI  6-</v>
      </c>
      <c r="C495" t="str">
        <f t="shared" si="55"/>
        <v>GEA</v>
      </c>
      <c r="D495">
        <v>106</v>
      </c>
      <c r="E495" t="str">
        <f>"164"</f>
        <v>164</v>
      </c>
      <c r="F495" t="str">
        <f>"3"</f>
        <v>3</v>
      </c>
    </row>
    <row r="496" spans="1:6">
      <c r="A496" t="str">
        <f>"E1616-1"</f>
        <v>E1616-1</v>
      </c>
      <c r="B496" t="str">
        <f>"P.ZA S.MARIA IN V LATA  12-"</f>
        <v>P.ZA S.MARIA IN V LATA  12-</v>
      </c>
      <c r="C496" t="str">
        <f t="shared" si="55"/>
        <v>GEA</v>
      </c>
      <c r="D496">
        <v>97</v>
      </c>
      <c r="E496" t="str">
        <f>"467"</f>
        <v>467</v>
      </c>
      <c r="F496" t="str">
        <f>"1"</f>
        <v>1</v>
      </c>
    </row>
    <row r="497" spans="1:6">
      <c r="C497" t="str">
        <f t="shared" si="55"/>
        <v>GEA</v>
      </c>
      <c r="D497">
        <v>97</v>
      </c>
      <c r="E497" t="str">
        <f>"533"</f>
        <v>533</v>
      </c>
      <c r="F497" t="str">
        <f>"0000"</f>
        <v>0000</v>
      </c>
    </row>
    <row r="498" spans="1:6">
      <c r="A498" t="str">
        <f>"E1616-2"</f>
        <v>E1616-2</v>
      </c>
      <c r="B498" t="str">
        <f>"VIA FIESCHI  14-"</f>
        <v>VIA FIESCHI  14-</v>
      </c>
      <c r="C498" t="str">
        <f t="shared" si="55"/>
        <v>GEA</v>
      </c>
      <c r="D498">
        <v>97</v>
      </c>
      <c r="E498" t="str">
        <f>"467"</f>
        <v>467</v>
      </c>
      <c r="F498" t="str">
        <f>"2"</f>
        <v>2</v>
      </c>
    </row>
    <row r="499" spans="1:6">
      <c r="A499" t="str">
        <f>"E1617-1"</f>
        <v>E1617-1</v>
      </c>
      <c r="B499" t="str">
        <f>"PIAZZA DEI CAPPUCCINI VICINO AL 1-"</f>
        <v>PIAZZA DEI CAPPUCCINI VICINO AL 1-</v>
      </c>
      <c r="C499" t="str">
        <f>"1"</f>
        <v>1</v>
      </c>
      <c r="D499">
        <v>47</v>
      </c>
      <c r="E499" t="str">
        <f>"119"</f>
        <v>119</v>
      </c>
      <c r="F499" t="str">
        <f>"0000"</f>
        <v>0000</v>
      </c>
    </row>
    <row r="500" spans="1:6">
      <c r="C500" t="str">
        <f>"1"</f>
        <v>1</v>
      </c>
      <c r="D500">
        <v>47</v>
      </c>
      <c r="E500" t="str">
        <f>"577"</f>
        <v>577</v>
      </c>
      <c r="F500" t="str">
        <f>"0000"</f>
        <v>0000</v>
      </c>
    </row>
    <row r="501" spans="1:6">
      <c r="C501" t="str">
        <f>"1"</f>
        <v>1</v>
      </c>
      <c r="D501">
        <v>47</v>
      </c>
      <c r="E501" t="str">
        <f>"123"</f>
        <v>123</v>
      </c>
      <c r="F501" t="str">
        <f>"0000"</f>
        <v>0000</v>
      </c>
    </row>
    <row r="502" spans="1:6">
      <c r="A502" t="str">
        <f>"E1618-1"</f>
        <v>E1618-1</v>
      </c>
      <c r="B502" t="str">
        <f>"VIA AGOSTINO BERTANI  1-"</f>
        <v>VIA AGOSTINO BERTANI  1-</v>
      </c>
      <c r="C502" t="str">
        <f>"GEA"</f>
        <v>GEA</v>
      </c>
      <c r="D502">
        <v>101</v>
      </c>
      <c r="E502" t="str">
        <f>"53"</f>
        <v>53</v>
      </c>
      <c r="F502" t="str">
        <f>"1"</f>
        <v>1</v>
      </c>
    </row>
    <row r="503" spans="1:6">
      <c r="C503" t="str">
        <f>"GEA"</f>
        <v>GEA</v>
      </c>
      <c r="D503">
        <v>101</v>
      </c>
      <c r="E503" t="str">
        <f>"56"</f>
        <v>56</v>
      </c>
      <c r="F503" t="str">
        <f>"3"</f>
        <v>3</v>
      </c>
    </row>
    <row r="504" spans="1:6">
      <c r="C504" t="str">
        <f>"GEA"</f>
        <v>GEA</v>
      </c>
      <c r="D504">
        <v>101</v>
      </c>
      <c r="E504" t="str">
        <f>"53"</f>
        <v>53</v>
      </c>
      <c r="F504" t="str">
        <f>"2"</f>
        <v>2</v>
      </c>
    </row>
    <row r="505" spans="1:6">
      <c r="A505" t="str">
        <f>"E1619-1"</f>
        <v>E1619-1</v>
      </c>
      <c r="B505" t="str">
        <f>"PIAZZETTA SAN CAMILLO  1-"</f>
        <v>PIAZZETTA SAN CAMILLO  1-</v>
      </c>
      <c r="C505" t="str">
        <f>"1"</f>
        <v>1</v>
      </c>
      <c r="D505">
        <v>68</v>
      </c>
      <c r="E505" t="str">
        <f>"314"</f>
        <v>314</v>
      </c>
      <c r="F505" t="str">
        <f>"0000"</f>
        <v>0000</v>
      </c>
    </row>
    <row r="506" spans="1:6">
      <c r="A506" t="str">
        <f>"E1620-1"</f>
        <v>E1620-1</v>
      </c>
      <c r="B506" t="str">
        <f>"PIAZZETTA SAN CAMILLO VICINO AL 1-"</f>
        <v>PIAZZETTA SAN CAMILLO VICINO AL 1-</v>
      </c>
      <c r="C506" t="str">
        <f>"GEA"</f>
        <v>GEA</v>
      </c>
      <c r="D506">
        <v>96</v>
      </c>
      <c r="E506" t="str">
        <f>"122"</f>
        <v>122</v>
      </c>
      <c r="F506" t="str">
        <f>"1"</f>
        <v>1</v>
      </c>
    </row>
    <row r="507" spans="1:6">
      <c r="C507" t="str">
        <f>"GEA"</f>
        <v>GEA</v>
      </c>
      <c r="D507">
        <v>96</v>
      </c>
      <c r="E507" t="str">
        <f>"C"</f>
        <v>C</v>
      </c>
      <c r="F507" t="str">
        <f>"0000"</f>
        <v>0000</v>
      </c>
    </row>
    <row r="508" spans="1:6">
      <c r="A508" t="str">
        <f>"E1622-1"</f>
        <v>E1622-1</v>
      </c>
      <c r="B508" t="str">
        <f>"CORSO MAURIZIO QUADRIO  12R-"</f>
        <v>CORSO MAURIZIO QUADRIO  12R-</v>
      </c>
      <c r="C508" t="str">
        <f>"GEA"</f>
        <v>GEA</v>
      </c>
      <c r="D508">
        <v>84</v>
      </c>
      <c r="E508" t="str">
        <f>"316"</f>
        <v>316</v>
      </c>
      <c r="F508" t="str">
        <f>"1"</f>
        <v>1</v>
      </c>
    </row>
    <row r="509" spans="1:6">
      <c r="A509" t="str">
        <f>"E1622-2"</f>
        <v>E1622-2</v>
      </c>
      <c r="B509" t="str">
        <f>"P.ZA SAN GIACOMO DELLA MA VICINO AL 3-"</f>
        <v>P.ZA SAN GIACOMO DELLA MA VICINO AL 3-</v>
      </c>
      <c r="C509" t="str">
        <f>"GEA"</f>
        <v>GEA</v>
      </c>
      <c r="D509">
        <v>84</v>
      </c>
      <c r="E509" t="str">
        <f>"316"</f>
        <v>316</v>
      </c>
      <c r="F509" t="str">
        <f>"2"</f>
        <v>2</v>
      </c>
    </row>
    <row r="510" spans="1:6">
      <c r="A510" t="str">
        <f>"E1622-3"</f>
        <v>E1622-3</v>
      </c>
      <c r="B510" t="str">
        <f>"CORSO MAURIZIO QUADRIO VICINO AL 12R-"</f>
        <v>CORSO MAURIZIO QUADRIO VICINO AL 12R-</v>
      </c>
      <c r="C510" t="str">
        <f>"1"</f>
        <v>1</v>
      </c>
      <c r="D510">
        <v>66</v>
      </c>
      <c r="E510" t="str">
        <f>"225"</f>
        <v>225</v>
      </c>
      <c r="F510" t="str">
        <f>"0000"</f>
        <v>0000</v>
      </c>
    </row>
    <row r="511" spans="1:6">
      <c r="C511" t="str">
        <f>"1"</f>
        <v>1</v>
      </c>
      <c r="D511">
        <v>66</v>
      </c>
      <c r="E511" t="str">
        <f>"99999"</f>
        <v>99999</v>
      </c>
      <c r="F511" t="str">
        <f>"0000"</f>
        <v>0000</v>
      </c>
    </row>
    <row r="512" spans="1:6">
      <c r="A512" t="str">
        <f>"E1625-1"</f>
        <v>E1625-1</v>
      </c>
      <c r="B512" t="str">
        <f>"P.ZA S.BARTOLOMEO ARMENI  2-"</f>
        <v>P.ZA S.BARTOLOMEO ARMENI  2-</v>
      </c>
      <c r="C512" t="str">
        <f t="shared" ref="C512:C523" si="58">"GEA"</f>
        <v>GEA</v>
      </c>
      <c r="D512">
        <v>103</v>
      </c>
      <c r="E512" t="str">
        <f>"37"</f>
        <v>37</v>
      </c>
      <c r="F512" t="str">
        <f>"2"</f>
        <v>2</v>
      </c>
    </row>
    <row r="513" spans="1:6">
      <c r="A513" t="str">
        <f>"E1626-1"</f>
        <v>E1626-1</v>
      </c>
      <c r="B513" t="str">
        <f>"P.ZA S.BARTOLOMEO ARMENI VICINO AL 2-"</f>
        <v>P.ZA S.BARTOLOMEO ARMENI VICINO AL 2-</v>
      </c>
      <c r="C513" t="str">
        <f t="shared" si="58"/>
        <v>GEA</v>
      </c>
      <c r="D513">
        <v>103</v>
      </c>
      <c r="E513" t="str">
        <f>"37"</f>
        <v>37</v>
      </c>
      <c r="F513" t="str">
        <f>"1"</f>
        <v>1</v>
      </c>
    </row>
    <row r="514" spans="1:6">
      <c r="C514" t="str">
        <f t="shared" si="58"/>
        <v>GEA</v>
      </c>
      <c r="D514">
        <v>103</v>
      </c>
      <c r="E514" t="str">
        <f>"38"</f>
        <v>38</v>
      </c>
      <c r="F514" t="str">
        <f>"1"</f>
        <v>1</v>
      </c>
    </row>
    <row r="515" spans="1:6">
      <c r="C515" t="str">
        <f t="shared" si="58"/>
        <v>GEA</v>
      </c>
      <c r="D515">
        <v>103</v>
      </c>
      <c r="E515" t="str">
        <f>"B"</f>
        <v>B</v>
      </c>
      <c r="F515" t="str">
        <f>"0000"</f>
        <v>0000</v>
      </c>
    </row>
    <row r="516" spans="1:6">
      <c r="A516" t="str">
        <f>"E1627-1"</f>
        <v>E1627-1</v>
      </c>
      <c r="B516" t="str">
        <f>"VIALE ASPROMONTE  2-"</f>
        <v>VIALE ASPROMONTE  2-</v>
      </c>
      <c r="C516" t="str">
        <f t="shared" si="58"/>
        <v>GEA</v>
      </c>
      <c r="D516">
        <v>99</v>
      </c>
      <c r="E516" t="str">
        <f>"403"</f>
        <v>403</v>
      </c>
      <c r="F516" t="str">
        <f>"2"</f>
        <v>2</v>
      </c>
    </row>
    <row r="517" spans="1:6">
      <c r="A517" t="str">
        <f>"E1627-2"</f>
        <v>E1627-2</v>
      </c>
      <c r="B517" t="str">
        <f>"CORSO MENTANA  27-"</f>
        <v>CORSO MENTANA  27-</v>
      </c>
      <c r="C517" t="str">
        <f t="shared" si="58"/>
        <v>GEA</v>
      </c>
      <c r="D517">
        <v>99</v>
      </c>
      <c r="E517" t="str">
        <f>"403"</f>
        <v>403</v>
      </c>
      <c r="F517" t="str">
        <f>"4"</f>
        <v>4</v>
      </c>
    </row>
    <row r="518" spans="1:6">
      <c r="A518" t="str">
        <f>"E1627-3"</f>
        <v>E1627-3</v>
      </c>
      <c r="B518" t="str">
        <f>"CORSO MENTANA  27-"</f>
        <v>CORSO MENTANA  27-</v>
      </c>
      <c r="C518" t="str">
        <f t="shared" si="58"/>
        <v>GEA</v>
      </c>
      <c r="D518">
        <v>99</v>
      </c>
      <c r="E518" t="str">
        <f>"403"</f>
        <v>403</v>
      </c>
      <c r="F518" t="str">
        <f>"3"</f>
        <v>3</v>
      </c>
    </row>
    <row r="519" spans="1:6">
      <c r="A519" t="str">
        <f>"E1628-1"</f>
        <v>E1628-1</v>
      </c>
      <c r="B519" t="str">
        <f>"VIA JACOPO RUFFINI  3-"</f>
        <v>VIA JACOPO RUFFINI  3-</v>
      </c>
      <c r="C519" t="str">
        <f t="shared" si="58"/>
        <v>GEA</v>
      </c>
      <c r="D519">
        <v>99</v>
      </c>
      <c r="E519" t="str">
        <f>"171"</f>
        <v>171</v>
      </c>
      <c r="F519" t="str">
        <f>"0000"</f>
        <v>0000</v>
      </c>
    </row>
    <row r="520" spans="1:6">
      <c r="C520" t="str">
        <f t="shared" si="58"/>
        <v>GEA</v>
      </c>
      <c r="D520">
        <v>99</v>
      </c>
      <c r="E520" t="str">
        <f>"90"</f>
        <v>90</v>
      </c>
      <c r="F520" t="str">
        <f>"0000"</f>
        <v>0000</v>
      </c>
    </row>
    <row r="521" spans="1:6">
      <c r="C521" t="str">
        <f t="shared" si="58"/>
        <v>GEA</v>
      </c>
      <c r="D521">
        <v>100</v>
      </c>
      <c r="E521" t="str">
        <f>"6"</f>
        <v>6</v>
      </c>
      <c r="F521" t="str">
        <f>"0000"</f>
        <v>0000</v>
      </c>
    </row>
    <row r="522" spans="1:6">
      <c r="C522" t="str">
        <f t="shared" si="58"/>
        <v>GEA</v>
      </c>
      <c r="D522">
        <v>100</v>
      </c>
      <c r="E522" t="str">
        <f>"5"</f>
        <v>5</v>
      </c>
      <c r="F522" t="str">
        <f>"1"</f>
        <v>1</v>
      </c>
    </row>
    <row r="523" spans="1:6">
      <c r="C523" t="str">
        <f t="shared" si="58"/>
        <v>GEA</v>
      </c>
      <c r="D523">
        <v>99</v>
      </c>
      <c r="E523" t="str">
        <f>"89"</f>
        <v>89</v>
      </c>
      <c r="F523" t="str">
        <f t="shared" ref="F523:F529" si="59">"0000"</f>
        <v>0000</v>
      </c>
    </row>
    <row r="524" spans="1:6">
      <c r="A524" t="str">
        <f>"E1628-3"</f>
        <v>E1628-3</v>
      </c>
      <c r="B524" t="str">
        <f>"VIALE ASPROMONTE  29-"</f>
        <v>VIALE ASPROMONTE  29-</v>
      </c>
      <c r="C524" t="str">
        <f>"1"</f>
        <v>1</v>
      </c>
      <c r="D524">
        <v>84</v>
      </c>
      <c r="E524" t="str">
        <f>"411"</f>
        <v>411</v>
      </c>
      <c r="F524" t="str">
        <f t="shared" si="59"/>
        <v>0000</v>
      </c>
    </row>
    <row r="525" spans="1:6">
      <c r="C525" t="str">
        <f>"1"</f>
        <v>1</v>
      </c>
      <c r="D525">
        <v>84</v>
      </c>
      <c r="E525" t="str">
        <f>"412"</f>
        <v>412</v>
      </c>
      <c r="F525" t="str">
        <f t="shared" si="59"/>
        <v>0000</v>
      </c>
    </row>
    <row r="526" spans="1:6">
      <c r="C526" t="str">
        <f>"1"</f>
        <v>1</v>
      </c>
      <c r="D526">
        <v>84</v>
      </c>
      <c r="E526" t="str">
        <f>"413"</f>
        <v>413</v>
      </c>
      <c r="F526" t="str">
        <f t="shared" si="59"/>
        <v>0000</v>
      </c>
    </row>
    <row r="527" spans="1:6">
      <c r="C527" t="str">
        <f>"1"</f>
        <v>1</v>
      </c>
      <c r="D527">
        <v>84</v>
      </c>
      <c r="E527" t="str">
        <f>"415"</f>
        <v>415</v>
      </c>
      <c r="F527" t="str">
        <f t="shared" si="59"/>
        <v>0000</v>
      </c>
    </row>
    <row r="528" spans="1:6">
      <c r="C528" t="str">
        <f>"1"</f>
        <v>1</v>
      </c>
      <c r="D528">
        <v>84</v>
      </c>
      <c r="E528" t="str">
        <f>"505"</f>
        <v>505</v>
      </c>
      <c r="F528" t="str">
        <f t="shared" si="59"/>
        <v>0000</v>
      </c>
    </row>
    <row r="529" spans="1:6">
      <c r="A529" t="str">
        <f>"E1629-1"</f>
        <v>E1629-1</v>
      </c>
      <c r="B529" t="str">
        <f>"CORSO AURELIO SAFFI  15D-"</f>
        <v>CORSO AURELIO SAFFI  15D-</v>
      </c>
      <c r="C529" t="str">
        <f>"GEA"</f>
        <v>GEA</v>
      </c>
      <c r="D529">
        <v>100</v>
      </c>
      <c r="E529" t="str">
        <f>"93"</f>
        <v>93</v>
      </c>
      <c r="F529" t="str">
        <f t="shared" si="59"/>
        <v>0000</v>
      </c>
    </row>
    <row r="530" spans="1:6">
      <c r="A530" t="str">
        <f>"E1630-1"</f>
        <v>E1630-1</v>
      </c>
      <c r="B530" t="str">
        <f>"VIALE QUATTRO NOVEMBRE  5-"</f>
        <v>VIALE QUATTRO NOVEMBRE  5-</v>
      </c>
      <c r="C530" t="str">
        <f>"GEA"</f>
        <v>GEA</v>
      </c>
      <c r="D530">
        <v>105</v>
      </c>
      <c r="E530" t="str">
        <f>"36"</f>
        <v>36</v>
      </c>
      <c r="F530" t="str">
        <f>"1"</f>
        <v>1</v>
      </c>
    </row>
    <row r="531" spans="1:6">
      <c r="C531" t="str">
        <f>"GEA"</f>
        <v>GEA</v>
      </c>
      <c r="D531">
        <v>105</v>
      </c>
      <c r="E531" t="str">
        <f>"37"</f>
        <v>37</v>
      </c>
      <c r="F531" t="str">
        <f>"1"</f>
        <v>1</v>
      </c>
    </row>
    <row r="532" spans="1:6">
      <c r="C532" t="str">
        <f>"GEA"</f>
        <v>GEA</v>
      </c>
      <c r="D532">
        <v>105</v>
      </c>
      <c r="E532" t="str">
        <f>"B"</f>
        <v>B</v>
      </c>
      <c r="F532" t="str">
        <f>"1"</f>
        <v>1</v>
      </c>
    </row>
    <row r="533" spans="1:6">
      <c r="A533" t="str">
        <f>"E1631-1"</f>
        <v>E1631-1</v>
      </c>
      <c r="B533" t="str">
        <f>"VIALE QUATTRO NOVEMBRE  4-"</f>
        <v>VIALE QUATTRO NOVEMBRE  4-</v>
      </c>
      <c r="C533" t="str">
        <f t="shared" ref="C533:C544" si="60">"1"</f>
        <v>1</v>
      </c>
      <c r="D533">
        <v>68</v>
      </c>
      <c r="E533" t="str">
        <f>"225"</f>
        <v>225</v>
      </c>
      <c r="F533" t="str">
        <f t="shared" ref="F533:F544" si="61">"0000"</f>
        <v>0000</v>
      </c>
    </row>
    <row r="534" spans="1:6">
      <c r="C534" t="str">
        <f t="shared" si="60"/>
        <v>1</v>
      </c>
      <c r="D534">
        <v>68</v>
      </c>
      <c r="E534" t="str">
        <f>"230"</f>
        <v>230</v>
      </c>
      <c r="F534" t="str">
        <f t="shared" si="61"/>
        <v>0000</v>
      </c>
    </row>
    <row r="535" spans="1:6">
      <c r="C535" t="str">
        <f t="shared" si="60"/>
        <v>1</v>
      </c>
      <c r="D535">
        <v>68</v>
      </c>
      <c r="E535" t="str">
        <f>"268"</f>
        <v>268</v>
      </c>
      <c r="F535" t="str">
        <f t="shared" si="61"/>
        <v>0000</v>
      </c>
    </row>
    <row r="536" spans="1:6">
      <c r="A536" t="str">
        <f>"E1632-1"</f>
        <v>E1632-1</v>
      </c>
      <c r="B536" t="str">
        <f>"VIA ADAMO CENTURIONE  6-"</f>
        <v>VIA ADAMO CENTURIONE  6-</v>
      </c>
      <c r="C536" t="str">
        <f t="shared" si="60"/>
        <v>1</v>
      </c>
      <c r="D536">
        <v>31</v>
      </c>
      <c r="E536" t="str">
        <f>"177"</f>
        <v>177</v>
      </c>
      <c r="F536" t="str">
        <f t="shared" si="61"/>
        <v>0000</v>
      </c>
    </row>
    <row r="537" spans="1:6">
      <c r="C537" t="str">
        <f t="shared" si="60"/>
        <v>1</v>
      </c>
      <c r="D537">
        <v>31</v>
      </c>
      <c r="E537" t="str">
        <f>"9"</f>
        <v>9</v>
      </c>
      <c r="F537" t="str">
        <f t="shared" si="61"/>
        <v>0000</v>
      </c>
    </row>
    <row r="538" spans="1:6">
      <c r="C538" t="str">
        <f t="shared" si="60"/>
        <v>1</v>
      </c>
      <c r="D538">
        <v>31</v>
      </c>
      <c r="E538" t="str">
        <f>"716"</f>
        <v>716</v>
      </c>
      <c r="F538" t="str">
        <f t="shared" si="61"/>
        <v>0000</v>
      </c>
    </row>
    <row r="539" spans="1:6">
      <c r="A539" t="str">
        <f>"E1632-2"</f>
        <v>E1632-2</v>
      </c>
      <c r="B539" t="str">
        <f>"VIA ADAMO CENTURIONE VICINO AL 19-"</f>
        <v>VIA ADAMO CENTURIONE VICINO AL 19-</v>
      </c>
      <c r="C539" t="str">
        <f t="shared" si="60"/>
        <v>1</v>
      </c>
      <c r="D539">
        <v>31</v>
      </c>
      <c r="E539" t="str">
        <f>"177"</f>
        <v>177</v>
      </c>
      <c r="F539" t="str">
        <f t="shared" si="61"/>
        <v>0000</v>
      </c>
    </row>
    <row r="540" spans="1:6">
      <c r="C540" t="str">
        <f t="shared" si="60"/>
        <v>1</v>
      </c>
      <c r="D540">
        <v>31</v>
      </c>
      <c r="E540" t="str">
        <f>"9"</f>
        <v>9</v>
      </c>
      <c r="F540" t="str">
        <f t="shared" si="61"/>
        <v>0000</v>
      </c>
    </row>
    <row r="541" spans="1:6">
      <c r="C541" t="str">
        <f t="shared" si="60"/>
        <v>1</v>
      </c>
      <c r="D541">
        <v>31</v>
      </c>
      <c r="E541" t="str">
        <f>"716"</f>
        <v>716</v>
      </c>
      <c r="F541" t="str">
        <f t="shared" si="61"/>
        <v>0000</v>
      </c>
    </row>
    <row r="542" spans="1:6">
      <c r="A542" t="str">
        <f>"E1632-3"</f>
        <v>E1632-3</v>
      </c>
      <c r="B542" t="str">
        <f>"VIA ADAMO CENTURIONE  8R-"</f>
        <v>VIA ADAMO CENTURIONE  8R-</v>
      </c>
      <c r="C542" t="str">
        <f t="shared" si="60"/>
        <v>1</v>
      </c>
      <c r="D542">
        <v>31</v>
      </c>
      <c r="E542" t="str">
        <f>"177"</f>
        <v>177</v>
      </c>
      <c r="F542" t="str">
        <f t="shared" si="61"/>
        <v>0000</v>
      </c>
    </row>
    <row r="543" spans="1:6">
      <c r="C543" t="str">
        <f t="shared" si="60"/>
        <v>1</v>
      </c>
      <c r="D543">
        <v>31</v>
      </c>
      <c r="E543" t="str">
        <f>"716"</f>
        <v>716</v>
      </c>
      <c r="F543" t="str">
        <f t="shared" si="61"/>
        <v>0000</v>
      </c>
    </row>
    <row r="544" spans="1:6">
      <c r="C544" t="str">
        <f t="shared" si="60"/>
        <v>1</v>
      </c>
      <c r="D544">
        <v>31</v>
      </c>
      <c r="E544" t="str">
        <f>"9"</f>
        <v>9</v>
      </c>
      <c r="F544" t="str">
        <f t="shared" si="61"/>
        <v>0000</v>
      </c>
    </row>
    <row r="545" spans="1:6">
      <c r="A545" t="str">
        <f>"E1634-1"</f>
        <v>E1634-1</v>
      </c>
      <c r="B545" t="str">
        <f>"VIA DEL LAGACCIO  82R-"</f>
        <v>VIA DEL LAGACCIO  82R-</v>
      </c>
      <c r="C545" t="str">
        <f t="shared" ref="C545:C553" si="62">"GEC"</f>
        <v>GEC</v>
      </c>
      <c r="D545">
        <v>11</v>
      </c>
      <c r="E545" t="str">
        <f>"494"</f>
        <v>494</v>
      </c>
      <c r="F545" t="str">
        <f>"1"</f>
        <v>1</v>
      </c>
    </row>
    <row r="546" spans="1:6">
      <c r="A546" t="str">
        <f>"E1634-3"</f>
        <v>E1634-3</v>
      </c>
      <c r="B546" t="str">
        <f>"VIA DEL LAGACCIO  86R-"</f>
        <v>VIA DEL LAGACCIO  86R-</v>
      </c>
      <c r="C546" t="str">
        <f t="shared" si="62"/>
        <v>GEC</v>
      </c>
      <c r="D546">
        <v>11</v>
      </c>
      <c r="E546" t="str">
        <f>"494"</f>
        <v>494</v>
      </c>
      <c r="F546" t="str">
        <f>"3"</f>
        <v>3</v>
      </c>
    </row>
    <row r="547" spans="1:6">
      <c r="A547" t="str">
        <f>"E1634-48"</f>
        <v>E1634-48</v>
      </c>
      <c r="B547" t="str">
        <f>"VIA DEL LAGACCIO  90R-"</f>
        <v>VIA DEL LAGACCIO  90R-</v>
      </c>
      <c r="C547" t="str">
        <f t="shared" si="62"/>
        <v>GEC</v>
      </c>
      <c r="D547">
        <v>11</v>
      </c>
      <c r="E547" t="str">
        <f>"494"</f>
        <v>494</v>
      </c>
      <c r="F547" t="str">
        <f>"5"</f>
        <v>5</v>
      </c>
    </row>
    <row r="548" spans="1:6">
      <c r="A548" t="str">
        <f>"E1634-49"</f>
        <v>E1634-49</v>
      </c>
      <c r="B548" t="str">
        <f>"VIA DEL LAGACCIO  92R-"</f>
        <v>VIA DEL LAGACCIO  92R-</v>
      </c>
      <c r="C548" t="str">
        <f t="shared" si="62"/>
        <v>GEC</v>
      </c>
      <c r="D548">
        <v>11</v>
      </c>
      <c r="E548" t="str">
        <f>"494"</f>
        <v>494</v>
      </c>
      <c r="F548" t="str">
        <f>"6"</f>
        <v>6</v>
      </c>
    </row>
    <row r="549" spans="1:6">
      <c r="A549" t="str">
        <f>"E1635-3"</f>
        <v>E1635-3</v>
      </c>
      <c r="B549" t="str">
        <f>"VIA DEL LAGACCIO  80AR-"</f>
        <v>VIA DEL LAGACCIO  80AR-</v>
      </c>
      <c r="C549" t="str">
        <f t="shared" si="62"/>
        <v>GEC</v>
      </c>
      <c r="D549">
        <v>11</v>
      </c>
      <c r="E549" t="str">
        <f>"493"</f>
        <v>493</v>
      </c>
      <c r="F549" t="str">
        <f>"6"</f>
        <v>6</v>
      </c>
    </row>
    <row r="550" spans="1:6">
      <c r="A550" t="str">
        <f>"E1635-5"</f>
        <v>E1635-5</v>
      </c>
      <c r="B550" t="str">
        <f>"VIA DEL LAGACCIO VICINO AL 94R-"</f>
        <v>VIA DEL LAGACCIO VICINO AL 94R-</v>
      </c>
      <c r="C550" t="str">
        <f t="shared" si="62"/>
        <v>GEC</v>
      </c>
      <c r="D550">
        <v>11</v>
      </c>
      <c r="E550" t="str">
        <f>"493"</f>
        <v>493</v>
      </c>
      <c r="F550" t="str">
        <f>"4"</f>
        <v>4</v>
      </c>
    </row>
    <row r="551" spans="1:6">
      <c r="A551" t="str">
        <f>"E1635-6"</f>
        <v>E1635-6</v>
      </c>
      <c r="B551" t="str">
        <f>"VIA DEL LAGACCIO VICINO AL 94R-"</f>
        <v>VIA DEL LAGACCIO VICINO AL 94R-</v>
      </c>
      <c r="C551" t="str">
        <f t="shared" si="62"/>
        <v>GEC</v>
      </c>
      <c r="D551">
        <v>11</v>
      </c>
      <c r="E551" t="str">
        <f>"493"</f>
        <v>493</v>
      </c>
      <c r="F551" t="str">
        <f>"5"</f>
        <v>5</v>
      </c>
    </row>
    <row r="552" spans="1:6">
      <c r="A552" t="str">
        <f>"E1637-1"</f>
        <v>E1637-1</v>
      </c>
      <c r="B552" t="str">
        <f>"VIA AMBROGIO SPINOLA  4-"</f>
        <v>VIA AMBROGIO SPINOLA  4-</v>
      </c>
      <c r="C552" t="str">
        <f t="shared" si="62"/>
        <v>GEC</v>
      </c>
      <c r="D552">
        <v>6</v>
      </c>
      <c r="E552" t="str">
        <f>"117"</f>
        <v>117</v>
      </c>
      <c r="F552" t="str">
        <f>"1"</f>
        <v>1</v>
      </c>
    </row>
    <row r="553" spans="1:6">
      <c r="A553" t="str">
        <f>"E1637-2"</f>
        <v>E1637-2</v>
      </c>
      <c r="B553" t="str">
        <f>"VIA AMBROGIO SPINOLA  4-"</f>
        <v>VIA AMBROGIO SPINOLA  4-</v>
      </c>
      <c r="C553" t="str">
        <f t="shared" si="62"/>
        <v>GEC</v>
      </c>
      <c r="D553">
        <v>6</v>
      </c>
      <c r="E553" t="str">
        <f>"117"</f>
        <v>117</v>
      </c>
      <c r="F553" t="str">
        <f>"2"</f>
        <v>2</v>
      </c>
    </row>
    <row r="554" spans="1:6">
      <c r="A554" t="str">
        <f>"E1640-1"</f>
        <v>E1640-1</v>
      </c>
      <c r="B554" t="str">
        <f>"SALITA DI OREGINA  40-"</f>
        <v>SALITA DI OREGINA  40-</v>
      </c>
      <c r="C554" t="str">
        <f>"1"</f>
        <v>1</v>
      </c>
      <c r="D554">
        <v>12</v>
      </c>
      <c r="E554" t="str">
        <f>"109"</f>
        <v>109</v>
      </c>
      <c r="F554" t="str">
        <f>"0000"</f>
        <v>0000</v>
      </c>
    </row>
    <row r="555" spans="1:6">
      <c r="C555" t="str">
        <f>"1"</f>
        <v>1</v>
      </c>
      <c r="D555">
        <v>12</v>
      </c>
      <c r="E555" t="str">
        <f>"58"</f>
        <v>58</v>
      </c>
      <c r="F555" t="str">
        <f>"0000"</f>
        <v>0000</v>
      </c>
    </row>
    <row r="556" spans="1:6">
      <c r="A556" t="str">
        <f>"E1641-2"</f>
        <v>E1641-2</v>
      </c>
      <c r="B556" t="str">
        <f>"CORSO FIRENZE  24-"</f>
        <v>CORSO FIRENZE  24-</v>
      </c>
      <c r="C556" t="str">
        <f t="shared" ref="C556:C576" si="63">"GEA"</f>
        <v>GEA</v>
      </c>
      <c r="D556">
        <v>90</v>
      </c>
      <c r="E556" t="str">
        <f>"104"</f>
        <v>104</v>
      </c>
      <c r="F556" t="str">
        <f>"0000"</f>
        <v>0000</v>
      </c>
    </row>
    <row r="557" spans="1:6">
      <c r="C557" t="str">
        <f t="shared" si="63"/>
        <v>GEA</v>
      </c>
      <c r="D557">
        <v>90</v>
      </c>
      <c r="E557" t="str">
        <f>"106"</f>
        <v>106</v>
      </c>
      <c r="F557" t="str">
        <f>"0000"</f>
        <v>0000</v>
      </c>
    </row>
    <row r="558" spans="1:6">
      <c r="C558" t="str">
        <f t="shared" si="63"/>
        <v>GEA</v>
      </c>
      <c r="D558">
        <v>90</v>
      </c>
      <c r="E558" t="str">
        <f>"107"</f>
        <v>107</v>
      </c>
      <c r="F558" t="str">
        <f>"0000"</f>
        <v>0000</v>
      </c>
    </row>
    <row r="559" spans="1:6">
      <c r="C559" t="str">
        <f t="shared" si="63"/>
        <v>GEA</v>
      </c>
      <c r="D559">
        <v>90</v>
      </c>
      <c r="E559" t="str">
        <f>"51"</f>
        <v>51</v>
      </c>
      <c r="F559" t="str">
        <f>"1"</f>
        <v>1</v>
      </c>
    </row>
    <row r="560" spans="1:6">
      <c r="C560" t="str">
        <f t="shared" si="63"/>
        <v>GEA</v>
      </c>
      <c r="D560">
        <v>90</v>
      </c>
      <c r="E560" t="str">
        <f>"53"</f>
        <v>53</v>
      </c>
      <c r="F560" t="str">
        <f>"0000"</f>
        <v>0000</v>
      </c>
    </row>
    <row r="561" spans="1:6">
      <c r="C561" t="str">
        <f t="shared" si="63"/>
        <v>GEA</v>
      </c>
      <c r="D561">
        <v>90</v>
      </c>
      <c r="E561" t="str">
        <f>"55"</f>
        <v>55</v>
      </c>
      <c r="F561" t="str">
        <f>"0000"</f>
        <v>0000</v>
      </c>
    </row>
    <row r="562" spans="1:6">
      <c r="C562" t="str">
        <f t="shared" si="63"/>
        <v>GEA</v>
      </c>
      <c r="D562">
        <v>90</v>
      </c>
      <c r="E562" t="str">
        <f>"62"</f>
        <v>62</v>
      </c>
      <c r="F562" t="str">
        <f>"0000"</f>
        <v>0000</v>
      </c>
    </row>
    <row r="563" spans="1:6">
      <c r="C563" t="str">
        <f t="shared" si="63"/>
        <v>GEA</v>
      </c>
      <c r="D563">
        <v>90</v>
      </c>
      <c r="E563" t="str">
        <f>"54"</f>
        <v>54</v>
      </c>
      <c r="F563" t="str">
        <f>"0000"</f>
        <v>0000</v>
      </c>
    </row>
    <row r="564" spans="1:6">
      <c r="C564" t="str">
        <f t="shared" si="63"/>
        <v>GEA</v>
      </c>
      <c r="D564">
        <v>90</v>
      </c>
      <c r="E564" t="str">
        <f>"52"</f>
        <v>52</v>
      </c>
      <c r="F564" t="str">
        <f>"1"</f>
        <v>1</v>
      </c>
    </row>
    <row r="565" spans="1:6">
      <c r="A565" t="str">
        <f>"E1642-1"</f>
        <v>E1642-1</v>
      </c>
      <c r="B565" t="str">
        <f>"VIA PERTINACE  16-"</f>
        <v>VIA PERTINACE  16-</v>
      </c>
      <c r="C565" t="str">
        <f t="shared" si="63"/>
        <v>GEA</v>
      </c>
      <c r="D565">
        <v>90</v>
      </c>
      <c r="E565" t="str">
        <f>"75"</f>
        <v>75</v>
      </c>
      <c r="F565" t="str">
        <f>"1"</f>
        <v>1</v>
      </c>
    </row>
    <row r="566" spans="1:6">
      <c r="A566" t="str">
        <f>"E1642-2"</f>
        <v>E1642-2</v>
      </c>
      <c r="B566" t="str">
        <f>"VIA PERTINACE VICINO AL 18-"</f>
        <v>VIA PERTINACE VICINO AL 18-</v>
      </c>
      <c r="C566" t="str">
        <f t="shared" si="63"/>
        <v>GEA</v>
      </c>
      <c r="D566">
        <v>90</v>
      </c>
      <c r="E566" t="str">
        <f>"75"</f>
        <v>75</v>
      </c>
      <c r="F566" t="str">
        <f>"2"</f>
        <v>2</v>
      </c>
    </row>
    <row r="567" spans="1:6">
      <c r="C567" t="str">
        <f t="shared" si="63"/>
        <v>GEA</v>
      </c>
      <c r="D567">
        <v>90</v>
      </c>
      <c r="E567" t="str">
        <f>"76"</f>
        <v>76</v>
      </c>
      <c r="F567" t="str">
        <f>"0000"</f>
        <v>0000</v>
      </c>
    </row>
    <row r="568" spans="1:6">
      <c r="C568" t="str">
        <f t="shared" si="63"/>
        <v>GEA</v>
      </c>
      <c r="D568">
        <v>90</v>
      </c>
      <c r="E568" t="str">
        <f>"78"</f>
        <v>78</v>
      </c>
      <c r="F568" t="str">
        <f>"3"</f>
        <v>3</v>
      </c>
    </row>
    <row r="569" spans="1:6">
      <c r="C569" t="str">
        <f t="shared" si="63"/>
        <v>GEA</v>
      </c>
      <c r="D569">
        <v>90</v>
      </c>
      <c r="E569" t="str">
        <f>"77"</f>
        <v>77</v>
      </c>
      <c r="F569" t="str">
        <f>"3"</f>
        <v>3</v>
      </c>
    </row>
    <row r="570" spans="1:6">
      <c r="A570" t="str">
        <f>"E1642-3"</f>
        <v>E1642-3</v>
      </c>
      <c r="B570" t="str">
        <f>"VIA PERTINACE  18-"</f>
        <v>VIA PERTINACE  18-</v>
      </c>
      <c r="C570" t="str">
        <f t="shared" si="63"/>
        <v>GEA</v>
      </c>
      <c r="D570">
        <v>90</v>
      </c>
      <c r="E570" t="str">
        <f>"77"</f>
        <v>77</v>
      </c>
      <c r="F570" t="str">
        <f>"1"</f>
        <v>1</v>
      </c>
    </row>
    <row r="571" spans="1:6">
      <c r="C571" t="str">
        <f t="shared" si="63"/>
        <v>GEA</v>
      </c>
      <c r="D571">
        <v>90</v>
      </c>
      <c r="E571" t="str">
        <f>"78"</f>
        <v>78</v>
      </c>
      <c r="F571" t="str">
        <f>"1"</f>
        <v>1</v>
      </c>
    </row>
    <row r="572" spans="1:6">
      <c r="A572" t="str">
        <f>"E1642-4"</f>
        <v>E1642-4</v>
      </c>
      <c r="B572" t="str">
        <f>"VIA PERTINACE VICINO AL 16-"</f>
        <v>VIA PERTINACE VICINO AL 16-</v>
      </c>
      <c r="C572" t="str">
        <f t="shared" si="63"/>
        <v>GEA</v>
      </c>
      <c r="D572">
        <v>90</v>
      </c>
      <c r="E572" t="str">
        <f>"77"</f>
        <v>77</v>
      </c>
      <c r="F572" t="str">
        <f>"2"</f>
        <v>2</v>
      </c>
    </row>
    <row r="573" spans="1:6">
      <c r="C573" t="str">
        <f t="shared" si="63"/>
        <v>GEA</v>
      </c>
      <c r="D573">
        <v>90</v>
      </c>
      <c r="E573" t="str">
        <f>"78"</f>
        <v>78</v>
      </c>
      <c r="F573" t="str">
        <f>"2"</f>
        <v>2</v>
      </c>
    </row>
    <row r="574" spans="1:6">
      <c r="A574" t="str">
        <f>"E1643-1"</f>
        <v>E1643-1</v>
      </c>
      <c r="B574" t="str">
        <f>"VIA PERTINACE VICINO AL 14B-"</f>
        <v>VIA PERTINACE VICINO AL 14B-</v>
      </c>
      <c r="C574" t="str">
        <f t="shared" si="63"/>
        <v>GEA</v>
      </c>
      <c r="D574">
        <v>90</v>
      </c>
      <c r="E574" t="str">
        <f>"79"</f>
        <v>79</v>
      </c>
      <c r="F574" t="str">
        <f>"0000"</f>
        <v>0000</v>
      </c>
    </row>
    <row r="575" spans="1:6">
      <c r="A575" t="str">
        <f>"E1644-1"</f>
        <v>E1644-1</v>
      </c>
      <c r="B575" t="str">
        <f>"VIA PERTINACE  14B-"</f>
        <v>VIA PERTINACE  14B-</v>
      </c>
      <c r="C575" t="str">
        <f t="shared" si="63"/>
        <v>GEA</v>
      </c>
      <c r="D575">
        <v>90</v>
      </c>
      <c r="E575" t="str">
        <f>"80"</f>
        <v>80</v>
      </c>
      <c r="F575" t="str">
        <f>"1"</f>
        <v>1</v>
      </c>
    </row>
    <row r="576" spans="1:6">
      <c r="A576" t="str">
        <f>"E1644-2"</f>
        <v>E1644-2</v>
      </c>
      <c r="B576" t="str">
        <f>"VIA PERTINACE  14B-"</f>
        <v>VIA PERTINACE  14B-</v>
      </c>
      <c r="C576" t="str">
        <f t="shared" si="63"/>
        <v>GEA</v>
      </c>
      <c r="D576">
        <v>90</v>
      </c>
      <c r="E576" t="str">
        <f>"80"</f>
        <v>80</v>
      </c>
      <c r="F576" t="str">
        <f>"2"</f>
        <v>2</v>
      </c>
    </row>
    <row r="577" spans="1:6">
      <c r="C577" t="str">
        <f>"GEC"</f>
        <v>GEC</v>
      </c>
      <c r="D577">
        <v>5</v>
      </c>
      <c r="E577" t="str">
        <f>"170"</f>
        <v>170</v>
      </c>
      <c r="F577" t="str">
        <f>"0000"</f>
        <v>0000</v>
      </c>
    </row>
    <row r="578" spans="1:6">
      <c r="C578" t="str">
        <f>"GEC"</f>
        <v>GEC</v>
      </c>
      <c r="D578">
        <v>5</v>
      </c>
      <c r="E578" t="str">
        <f>"171"</f>
        <v>171</v>
      </c>
      <c r="F578" t="str">
        <f>"0000"</f>
        <v>0000</v>
      </c>
    </row>
    <row r="579" spans="1:6">
      <c r="A579" t="str">
        <f>"E1646-1"</f>
        <v>E1646-1</v>
      </c>
      <c r="B579" t="str">
        <f>"VIA VINCENZO MACULANO  14-"</f>
        <v>VIA VINCENZO MACULANO  14-</v>
      </c>
      <c r="C579" t="str">
        <f>"GEC"</f>
        <v>GEC</v>
      </c>
      <c r="D579">
        <v>3</v>
      </c>
      <c r="E579" t="str">
        <f>"30"</f>
        <v>30</v>
      </c>
      <c r="F579" t="str">
        <f>"1"</f>
        <v>1</v>
      </c>
    </row>
    <row r="580" spans="1:6">
      <c r="A580" t="str">
        <f>"E1646-2"</f>
        <v>E1646-2</v>
      </c>
      <c r="B580" t="str">
        <f>"VIA VINCENZO MACULANO  14-"</f>
        <v>VIA VINCENZO MACULANO  14-</v>
      </c>
      <c r="C580" t="str">
        <f>"GEC"</f>
        <v>GEC</v>
      </c>
      <c r="D580">
        <v>3</v>
      </c>
      <c r="E580" t="str">
        <f>"30"</f>
        <v>30</v>
      </c>
      <c r="F580" t="str">
        <f>"2"</f>
        <v>2</v>
      </c>
    </row>
    <row r="581" spans="1:6">
      <c r="A581" t="str">
        <f>"E1652-1"</f>
        <v>E1652-1</v>
      </c>
      <c r="B581" t="str">
        <f>"VIA RAFFAELE RUBATTINO  3R-"</f>
        <v>VIA RAFFAELE RUBATTINO  3R-</v>
      </c>
      <c r="C581" t="str">
        <f t="shared" ref="C581:C588" si="64">"GEP"</f>
        <v>GEP</v>
      </c>
      <c r="D581">
        <v>75</v>
      </c>
      <c r="E581" t="str">
        <f>"15"</f>
        <v>15</v>
      </c>
      <c r="F581" t="str">
        <f>"2"</f>
        <v>2</v>
      </c>
    </row>
    <row r="582" spans="1:6">
      <c r="C582" t="str">
        <f t="shared" si="64"/>
        <v>GEP</v>
      </c>
      <c r="D582">
        <v>75</v>
      </c>
      <c r="E582" t="str">
        <f>"18"</f>
        <v>18</v>
      </c>
      <c r="F582" t="str">
        <f t="shared" ref="F582:F588" si="65">"0000"</f>
        <v>0000</v>
      </c>
    </row>
    <row r="583" spans="1:6">
      <c r="A583" t="str">
        <f>"E1653-1"</f>
        <v>E1653-1</v>
      </c>
      <c r="B583" t="str">
        <f>"VIA RAFFAELE RUBATTINO  1R-"</f>
        <v>VIA RAFFAELE RUBATTINO  1R-</v>
      </c>
      <c r="C583" t="str">
        <f t="shared" si="64"/>
        <v>GEP</v>
      </c>
      <c r="D583">
        <v>75</v>
      </c>
      <c r="E583" t="str">
        <f>"16"</f>
        <v>16</v>
      </c>
      <c r="F583" t="str">
        <f t="shared" si="65"/>
        <v>0000</v>
      </c>
    </row>
    <row r="584" spans="1:6">
      <c r="A584" t="str">
        <f>"E1654-1"</f>
        <v>E1654-1</v>
      </c>
      <c r="B584" t="str">
        <f>"VIA RAFFAELE RUBATTINO  2R-"</f>
        <v>VIA RAFFAELE RUBATTINO  2R-</v>
      </c>
      <c r="C584" t="str">
        <f t="shared" si="64"/>
        <v>GEP</v>
      </c>
      <c r="D584">
        <v>75</v>
      </c>
      <c r="E584" t="str">
        <f>"17"</f>
        <v>17</v>
      </c>
      <c r="F584" t="str">
        <f t="shared" si="65"/>
        <v>0000</v>
      </c>
    </row>
    <row r="585" spans="1:6">
      <c r="A585" t="str">
        <f>"E1655-1"</f>
        <v>E1655-1</v>
      </c>
      <c r="B585" t="str">
        <f>"VIA RAFFAELE RUBATTINO VICINO AL 12-"</f>
        <v>VIA RAFFAELE RUBATTINO VICINO AL 12-</v>
      </c>
      <c r="C585" t="str">
        <f t="shared" si="64"/>
        <v>GEP</v>
      </c>
      <c r="D585">
        <v>75</v>
      </c>
      <c r="E585" t="str">
        <f>"19"</f>
        <v>19</v>
      </c>
      <c r="F585" t="str">
        <f t="shared" si="65"/>
        <v>0000</v>
      </c>
    </row>
    <row r="586" spans="1:6">
      <c r="A586" t="str">
        <f>"E1656-1"</f>
        <v>E1656-1</v>
      </c>
      <c r="B586" t="str">
        <f>"VIA RAFFAELE RUBATTINO  5R-"</f>
        <v>VIA RAFFAELE RUBATTINO  5R-</v>
      </c>
      <c r="C586" t="str">
        <f t="shared" si="64"/>
        <v>GEP</v>
      </c>
      <c r="D586">
        <v>75</v>
      </c>
      <c r="E586" t="str">
        <f>"20"</f>
        <v>20</v>
      </c>
      <c r="F586" t="str">
        <f t="shared" si="65"/>
        <v>0000</v>
      </c>
    </row>
    <row r="587" spans="1:6">
      <c r="A587" t="str">
        <f>"E1657-1"</f>
        <v>E1657-1</v>
      </c>
      <c r="B587" t="str">
        <f>"VIA RAFFAELE RUBATTINO VICINO AL 12-"</f>
        <v>VIA RAFFAELE RUBATTINO VICINO AL 12-</v>
      </c>
      <c r="C587" t="str">
        <f t="shared" si="64"/>
        <v>GEP</v>
      </c>
      <c r="D587">
        <v>75</v>
      </c>
      <c r="E587" t="str">
        <f>"22"</f>
        <v>22</v>
      </c>
      <c r="F587" t="str">
        <f t="shared" si="65"/>
        <v>0000</v>
      </c>
    </row>
    <row r="588" spans="1:6">
      <c r="A588" t="str">
        <f>"E1660-1"</f>
        <v>E1660-1</v>
      </c>
      <c r="B588" t="str">
        <f>"VIA ANTONIO GRAMSCI VICINO AL 14-"</f>
        <v>VIA ANTONIO GRAMSCI VICINO AL 14-</v>
      </c>
      <c r="C588" t="str">
        <f t="shared" si="64"/>
        <v>GEP</v>
      </c>
      <c r="D588">
        <v>75</v>
      </c>
      <c r="E588" t="str">
        <f>"30"</f>
        <v>30</v>
      </c>
      <c r="F588" t="str">
        <f t="shared" si="65"/>
        <v>0000</v>
      </c>
    </row>
    <row r="589" spans="1:6">
      <c r="A589" t="str">
        <f>"E1662-1"</f>
        <v>E1662-1</v>
      </c>
      <c r="B589" t="str">
        <f>"VIA GIOVANNI BOINE  32-"</f>
        <v>VIA GIOVANNI BOINE  32-</v>
      </c>
      <c r="C589" t="str">
        <f>"GEC"</f>
        <v>GEC</v>
      </c>
      <c r="D589">
        <v>5</v>
      </c>
      <c r="E589" t="str">
        <f>"797"</f>
        <v>797</v>
      </c>
      <c r="F589" t="str">
        <f>"1"</f>
        <v>1</v>
      </c>
    </row>
    <row r="590" spans="1:6">
      <c r="A590" t="str">
        <f>"E1662-2"</f>
        <v>E1662-2</v>
      </c>
      <c r="B590" t="str">
        <f>"VIA UMBERTO FRACCHIA  13-"</f>
        <v>VIA UMBERTO FRACCHIA  13-</v>
      </c>
      <c r="C590" t="str">
        <f>"GEC"</f>
        <v>GEC</v>
      </c>
      <c r="D590">
        <v>5</v>
      </c>
      <c r="E590" t="str">
        <f>"797"</f>
        <v>797</v>
      </c>
      <c r="F590" t="str">
        <f>"2"</f>
        <v>2</v>
      </c>
    </row>
    <row r="591" spans="1:6">
      <c r="A591" t="str">
        <f>"E1668-1"</f>
        <v>E1668-1</v>
      </c>
      <c r="B591" t="str">
        <f>"CORSO FIRENZE  1-"</f>
        <v>CORSO FIRENZE  1-</v>
      </c>
      <c r="C591" t="str">
        <f>"GEC"</f>
        <v>GEC</v>
      </c>
      <c r="D591">
        <v>12</v>
      </c>
      <c r="E591" t="str">
        <f>"438"</f>
        <v>438</v>
      </c>
      <c r="F591" t="str">
        <f>"1"</f>
        <v>1</v>
      </c>
    </row>
    <row r="592" spans="1:6">
      <c r="A592" t="str">
        <f>"E1668-2"</f>
        <v>E1668-2</v>
      </c>
      <c r="B592" t="str">
        <f>"CORSO FIRENZE  1AR-"</f>
        <v>CORSO FIRENZE  1AR-</v>
      </c>
      <c r="C592" t="str">
        <f>"GEC"</f>
        <v>GEC</v>
      </c>
      <c r="D592">
        <v>12</v>
      </c>
      <c r="E592" t="str">
        <f>"438"</f>
        <v>438</v>
      </c>
      <c r="F592" t="str">
        <f>"2"</f>
        <v>2</v>
      </c>
    </row>
    <row r="593" spans="1:6">
      <c r="A593" t="str">
        <f>"E1668-3"</f>
        <v>E1668-3</v>
      </c>
      <c r="B593" t="str">
        <f>"CORSO FIRENZE  1-"</f>
        <v>CORSO FIRENZE  1-</v>
      </c>
      <c r="C593" t="str">
        <f>"GEC"</f>
        <v>GEC</v>
      </c>
      <c r="D593">
        <v>12</v>
      </c>
      <c r="E593" t="str">
        <f>"438"</f>
        <v>438</v>
      </c>
      <c r="F593" t="str">
        <f>"3"</f>
        <v>3</v>
      </c>
    </row>
    <row r="594" spans="1:6">
      <c r="A594" t="str">
        <f>"E1668-5"</f>
        <v>E1668-5</v>
      </c>
      <c r="B594" t="str">
        <f>"CORSO FIRENZE  1-"</f>
        <v>CORSO FIRENZE  1-</v>
      </c>
      <c r="C594" t="str">
        <f>"1"</f>
        <v>1</v>
      </c>
      <c r="D594">
        <v>35</v>
      </c>
      <c r="E594" t="str">
        <f>"448"</f>
        <v>448</v>
      </c>
      <c r="F594" t="str">
        <f>"0000"</f>
        <v>0000</v>
      </c>
    </row>
    <row r="595" spans="1:6">
      <c r="A595" t="str">
        <f>"E1669-1"</f>
        <v>E1669-1</v>
      </c>
      <c r="B595" t="str">
        <f>"SALITA DI OREGINA  48-"</f>
        <v>SALITA DI OREGINA  48-</v>
      </c>
      <c r="C595" t="str">
        <f>"GEC"</f>
        <v>GEC</v>
      </c>
      <c r="D595">
        <v>3</v>
      </c>
      <c r="E595" t="str">
        <f>"59"</f>
        <v>59</v>
      </c>
      <c r="F595" t="str">
        <f>"0000"</f>
        <v>0000</v>
      </c>
    </row>
    <row r="596" spans="1:6">
      <c r="C596" t="str">
        <f>"GEC"</f>
        <v>GEC</v>
      </c>
      <c r="D596">
        <v>3</v>
      </c>
      <c r="E596" t="str">
        <f>"60"</f>
        <v>60</v>
      </c>
      <c r="F596" t="str">
        <f>"0000"</f>
        <v>0000</v>
      </c>
    </row>
    <row r="597" spans="1:6">
      <c r="A597" t="str">
        <f>"E1669-3"</f>
        <v>E1669-3</v>
      </c>
      <c r="B597" t="str">
        <f>"SALITA DI OREGINA  46-"</f>
        <v>SALITA DI OREGINA  46-</v>
      </c>
      <c r="C597" t="str">
        <f>"GEC"</f>
        <v>GEC</v>
      </c>
      <c r="D597">
        <v>3</v>
      </c>
      <c r="E597" t="str">
        <f>"60"</f>
        <v>60</v>
      </c>
      <c r="F597" t="str">
        <f>"2"</f>
        <v>2</v>
      </c>
    </row>
    <row r="598" spans="1:6">
      <c r="A598" t="str">
        <f>"E1671-1"</f>
        <v>E1671-1</v>
      </c>
      <c r="B598" t="str">
        <f>"VIA FRANCESCA S CABRINI  2-"</f>
        <v>VIA FRANCESCA S CABRINI  2-</v>
      </c>
      <c r="C598" t="str">
        <f>"GEC"</f>
        <v>GEC</v>
      </c>
      <c r="D598">
        <v>12</v>
      </c>
      <c r="E598" t="str">
        <f>"551"</f>
        <v>551</v>
      </c>
      <c r="F598" t="str">
        <f>"0000"</f>
        <v>0000</v>
      </c>
    </row>
    <row r="599" spans="1:6">
      <c r="A599" t="str">
        <f>"E1672-1"</f>
        <v>E1672-1</v>
      </c>
      <c r="B599" t="str">
        <f>"SALITA DELLE BATTISTINE  10-"</f>
        <v>SALITA DELLE BATTISTINE  10-</v>
      </c>
      <c r="C599" t="str">
        <f>"GEA"</f>
        <v>GEA</v>
      </c>
      <c r="D599">
        <v>95</v>
      </c>
      <c r="E599" t="str">
        <f>"112"</f>
        <v>112</v>
      </c>
      <c r="F599" t="str">
        <f>"0000"</f>
        <v>0000</v>
      </c>
    </row>
    <row r="600" spans="1:6">
      <c r="C600" t="str">
        <f>"GEA"</f>
        <v>GEA</v>
      </c>
      <c r="D600">
        <v>95</v>
      </c>
      <c r="E600" t="str">
        <f>"114"</f>
        <v>114</v>
      </c>
      <c r="F600" t="str">
        <f>"0000"</f>
        <v>0000</v>
      </c>
    </row>
    <row r="601" spans="1:6">
      <c r="C601" t="str">
        <f>"GEA"</f>
        <v>GEA</v>
      </c>
      <c r="D601">
        <v>95</v>
      </c>
      <c r="E601" t="str">
        <f>"115"</f>
        <v>115</v>
      </c>
      <c r="F601" t="str">
        <f>"0000"</f>
        <v>0000</v>
      </c>
    </row>
    <row r="602" spans="1:6">
      <c r="C602" t="str">
        <f>"GEA"</f>
        <v>GEA</v>
      </c>
      <c r="D602">
        <v>95</v>
      </c>
      <c r="E602" t="str">
        <f>"113"</f>
        <v>113</v>
      </c>
      <c r="F602" t="str">
        <f>"0000"</f>
        <v>0000</v>
      </c>
    </row>
    <row r="603" spans="1:6">
      <c r="A603" t="str">
        <f>"E1675-1"</f>
        <v>E1675-1</v>
      </c>
      <c r="B603" t="str">
        <f>"VIA SAPRI  20-"</f>
        <v>VIA SAPRI  20-</v>
      </c>
      <c r="C603" t="str">
        <f>"GEC"</f>
        <v>GEC</v>
      </c>
      <c r="D603">
        <v>5</v>
      </c>
      <c r="E603" t="str">
        <f>"168"</f>
        <v>168</v>
      </c>
      <c r="F603" t="str">
        <f>"33"</f>
        <v>33</v>
      </c>
    </row>
    <row r="604" spans="1:6">
      <c r="A604" t="str">
        <f>"E1676-4"</f>
        <v>E1676-4</v>
      </c>
      <c r="B604" t="str">
        <f>"VIA SAPRI  32-"</f>
        <v>VIA SAPRI  32-</v>
      </c>
      <c r="C604" t="str">
        <f>"GEC"</f>
        <v>GEC</v>
      </c>
      <c r="D604">
        <v>5</v>
      </c>
      <c r="E604" t="str">
        <f>"154"</f>
        <v>154</v>
      </c>
      <c r="F604" t="str">
        <f>"6"</f>
        <v>6</v>
      </c>
    </row>
    <row r="605" spans="1:6">
      <c r="A605" t="str">
        <f>"E1677-1"</f>
        <v>E1677-1</v>
      </c>
      <c r="B605" t="str">
        <f>"VIA SAPRI  34-"</f>
        <v>VIA SAPRI  34-</v>
      </c>
      <c r="C605" t="str">
        <f>"GEC"</f>
        <v>GEC</v>
      </c>
      <c r="D605">
        <v>5</v>
      </c>
      <c r="E605" t="str">
        <f>"155"</f>
        <v>155</v>
      </c>
      <c r="F605" t="str">
        <f>"38"</f>
        <v>38</v>
      </c>
    </row>
    <row r="606" spans="1:6">
      <c r="A606" t="str">
        <f>"E1677-2"</f>
        <v>E1677-2</v>
      </c>
      <c r="B606" t="str">
        <f>"VIA SAPRI  34-"</f>
        <v>VIA SAPRI  34-</v>
      </c>
      <c r="C606" t="str">
        <f>"GEC"</f>
        <v>GEC</v>
      </c>
      <c r="D606">
        <v>5</v>
      </c>
      <c r="E606" t="str">
        <f>"155"</f>
        <v>155</v>
      </c>
      <c r="F606" t="str">
        <f>"40"</f>
        <v>40</v>
      </c>
    </row>
    <row r="607" spans="1:6">
      <c r="A607" t="str">
        <f>"E1677-3"</f>
        <v>E1677-3</v>
      </c>
      <c r="B607" t="str">
        <f>"VIA SAPRI  34-"</f>
        <v>VIA SAPRI  34-</v>
      </c>
      <c r="C607" t="str">
        <f>"GEC"</f>
        <v>GEC</v>
      </c>
      <c r="D607">
        <v>5</v>
      </c>
      <c r="E607" t="str">
        <f>"155"</f>
        <v>155</v>
      </c>
      <c r="F607" t="str">
        <f>"53"</f>
        <v>53</v>
      </c>
    </row>
    <row r="608" spans="1:6">
      <c r="A608" t="str">
        <f>"E1678-1"</f>
        <v>E1678-1</v>
      </c>
      <c r="B608" t="str">
        <f>"SALITA DELLE BATTISTINE  12-"</f>
        <v>SALITA DELLE BATTISTINE  12-</v>
      </c>
      <c r="C608" t="str">
        <f>"GEA"</f>
        <v>GEA</v>
      </c>
      <c r="D608">
        <v>95</v>
      </c>
      <c r="E608" t="str">
        <f>"116"</f>
        <v>116</v>
      </c>
      <c r="F608" t="str">
        <f>"1"</f>
        <v>1</v>
      </c>
    </row>
    <row r="609" spans="1:6">
      <c r="A609" t="str">
        <f>"E1678-2"</f>
        <v>E1678-2</v>
      </c>
      <c r="B609" t="str">
        <f>"SALITA DELLE BATTISTINE  16-"</f>
        <v>SALITA DELLE BATTISTINE  16-</v>
      </c>
      <c r="C609" t="str">
        <f>"GEA"</f>
        <v>GEA</v>
      </c>
      <c r="D609">
        <v>95</v>
      </c>
      <c r="E609" t="str">
        <f>"116"</f>
        <v>116</v>
      </c>
      <c r="F609" t="str">
        <f>"4"</f>
        <v>4</v>
      </c>
    </row>
    <row r="610" spans="1:6">
      <c r="C610" t="str">
        <f>"GEA"</f>
        <v>GEA</v>
      </c>
      <c r="D610">
        <v>95</v>
      </c>
      <c r="E610" t="str">
        <f>"117"</f>
        <v>117</v>
      </c>
      <c r="F610" t="str">
        <f>"1"</f>
        <v>1</v>
      </c>
    </row>
    <row r="611" spans="1:6">
      <c r="A611" t="str">
        <f>"E1678-3"</f>
        <v>E1678-3</v>
      </c>
      <c r="B611" t="str">
        <f>"SALITA DELLE BATTISTINE VICINO AL 10-"</f>
        <v>SALITA DELLE BATTISTINE VICINO AL 10-</v>
      </c>
      <c r="C611" t="str">
        <f>"1"</f>
        <v>1</v>
      </c>
      <c r="D611">
        <v>46</v>
      </c>
      <c r="E611" t="str">
        <f>"276"</f>
        <v>276</v>
      </c>
      <c r="F611" t="str">
        <f>"0000"</f>
        <v>0000</v>
      </c>
    </row>
    <row r="612" spans="1:6">
      <c r="C612" t="str">
        <f>"1"</f>
        <v>1</v>
      </c>
      <c r="D612">
        <v>46</v>
      </c>
      <c r="E612" t="str">
        <f>"341"</f>
        <v>341</v>
      </c>
      <c r="F612" t="str">
        <f>"0000"</f>
        <v>0000</v>
      </c>
    </row>
    <row r="613" spans="1:6">
      <c r="A613" t="str">
        <f>"E1679-1"</f>
        <v>E1679-1</v>
      </c>
      <c r="B613" t="str">
        <f>"PIAZZA CAVOUR  73R-"</f>
        <v>PIAZZA CAVOUR  73R-</v>
      </c>
      <c r="C613" t="str">
        <f t="shared" ref="C613:C619" si="66">"GEA"</f>
        <v>GEA</v>
      </c>
      <c r="D613">
        <v>84</v>
      </c>
      <c r="E613" t="str">
        <f>"204"</f>
        <v>204</v>
      </c>
      <c r="F613" t="str">
        <f>"0000"</f>
        <v>0000</v>
      </c>
    </row>
    <row r="614" spans="1:6">
      <c r="A614" t="str">
        <f>"E1680-1"</f>
        <v>E1680-1</v>
      </c>
      <c r="B614" t="str">
        <f>"SALITA DELLE BATTISTINE  14-"</f>
        <v>SALITA DELLE BATTISTINE  14-</v>
      </c>
      <c r="C614" t="str">
        <f t="shared" si="66"/>
        <v>GEA</v>
      </c>
      <c r="D614">
        <v>95</v>
      </c>
      <c r="E614" t="str">
        <f>"116"</f>
        <v>116</v>
      </c>
      <c r="F614" t="str">
        <f>"2"</f>
        <v>2</v>
      </c>
    </row>
    <row r="615" spans="1:6">
      <c r="A615" t="str">
        <f>"E1680-2"</f>
        <v>E1680-2</v>
      </c>
      <c r="B615" t="str">
        <f>"SALITA DELLE BATTISTINE  16-"</f>
        <v>SALITA DELLE BATTISTINE  16-</v>
      </c>
      <c r="C615" t="str">
        <f t="shared" si="66"/>
        <v>GEA</v>
      </c>
      <c r="D615">
        <v>95</v>
      </c>
      <c r="E615" t="str">
        <f>"116"</f>
        <v>116</v>
      </c>
      <c r="F615" t="str">
        <f>"3"</f>
        <v>3</v>
      </c>
    </row>
    <row r="616" spans="1:6">
      <c r="C616" t="str">
        <f t="shared" si="66"/>
        <v>GEA</v>
      </c>
      <c r="D616">
        <v>95</v>
      </c>
      <c r="E616" t="str">
        <f>"117"</f>
        <v>117</v>
      </c>
      <c r="F616" t="str">
        <f>"2"</f>
        <v>2</v>
      </c>
    </row>
    <row r="617" spans="1:6">
      <c r="A617" t="str">
        <f>"E1682-1"</f>
        <v>E1682-1</v>
      </c>
      <c r="B617" t="str">
        <f>"VIA AGOSTINO BERTANI  6-"</f>
        <v>VIA AGOSTINO BERTANI  6-</v>
      </c>
      <c r="C617" t="str">
        <f t="shared" si="66"/>
        <v>GEA</v>
      </c>
      <c r="D617">
        <v>95</v>
      </c>
      <c r="E617" t="str">
        <f>"116"</f>
        <v>116</v>
      </c>
      <c r="F617" t="str">
        <f>"6"</f>
        <v>6</v>
      </c>
    </row>
    <row r="618" spans="1:6">
      <c r="C618" t="str">
        <f t="shared" si="66"/>
        <v>GEA</v>
      </c>
      <c r="D618">
        <v>101</v>
      </c>
      <c r="E618" t="str">
        <f>"46"</f>
        <v>46</v>
      </c>
      <c r="F618" t="str">
        <f>"3"</f>
        <v>3</v>
      </c>
    </row>
    <row r="619" spans="1:6">
      <c r="A619" t="str">
        <f>"E1682-2"</f>
        <v>E1682-2</v>
      </c>
      <c r="B619" t="str">
        <f>"VIA AGOSTINO BERTANI  6-"</f>
        <v>VIA AGOSTINO BERTANI  6-</v>
      </c>
      <c r="C619" t="str">
        <f t="shared" si="66"/>
        <v>GEA</v>
      </c>
      <c r="D619">
        <v>101</v>
      </c>
      <c r="E619" t="str">
        <f>"46"</f>
        <v>46</v>
      </c>
      <c r="F619" t="str">
        <f>"2"</f>
        <v>2</v>
      </c>
    </row>
    <row r="620" spans="1:6">
      <c r="A620" t="str">
        <f>"E1683-1"</f>
        <v>E1683-1</v>
      </c>
      <c r="B620" t="str">
        <f>"VIA NAPOLI  46-"</f>
        <v>VIA NAPOLI  46-</v>
      </c>
      <c r="C620" t="str">
        <f>"GEC"</f>
        <v>GEC</v>
      </c>
      <c r="D620">
        <v>5</v>
      </c>
      <c r="E620" t="str">
        <f>"640"</f>
        <v>640</v>
      </c>
      <c r="F620" t="str">
        <f>"1"</f>
        <v>1</v>
      </c>
    </row>
    <row r="621" spans="1:6">
      <c r="C621" t="str">
        <f>"GEC"</f>
        <v>GEC</v>
      </c>
      <c r="D621">
        <v>5</v>
      </c>
      <c r="E621" t="str">
        <f>"641"</f>
        <v>641</v>
      </c>
      <c r="F621" t="str">
        <f t="shared" ref="F621:F634" si="67">"0000"</f>
        <v>0000</v>
      </c>
    </row>
    <row r="622" spans="1:6">
      <c r="C622" t="str">
        <f>"GEC"</f>
        <v>GEC</v>
      </c>
      <c r="D622">
        <v>5</v>
      </c>
      <c r="E622" t="str">
        <f>"642"</f>
        <v>642</v>
      </c>
      <c r="F622" t="str">
        <f t="shared" si="67"/>
        <v>0000</v>
      </c>
    </row>
    <row r="623" spans="1:6">
      <c r="C623" t="str">
        <f>"GEC"</f>
        <v>GEC</v>
      </c>
      <c r="D623">
        <v>5</v>
      </c>
      <c r="E623" t="str">
        <f>"643"</f>
        <v>643</v>
      </c>
      <c r="F623" t="str">
        <f t="shared" si="67"/>
        <v>0000</v>
      </c>
    </row>
    <row r="624" spans="1:6">
      <c r="C624" t="str">
        <f>"GEC"</f>
        <v>GEC</v>
      </c>
      <c r="D624">
        <v>5</v>
      </c>
      <c r="E624" t="str">
        <f>"644"</f>
        <v>644</v>
      </c>
      <c r="F624" t="str">
        <f t="shared" si="67"/>
        <v>0000</v>
      </c>
    </row>
    <row r="625" spans="1:6">
      <c r="A625" t="str">
        <f>"E1684-1"</f>
        <v>E1684-1</v>
      </c>
      <c r="B625" t="str">
        <f>"PIAZZA DELLA MERIDIANA VICINO AL 1-"</f>
        <v>PIAZZA DELLA MERIDIANA VICINO AL 1-</v>
      </c>
      <c r="C625" t="str">
        <f t="shared" ref="C625:C634" si="68">"1"</f>
        <v>1</v>
      </c>
      <c r="D625">
        <v>34</v>
      </c>
      <c r="E625" t="str">
        <f>"99999"</f>
        <v>99999</v>
      </c>
      <c r="F625" t="str">
        <f t="shared" si="67"/>
        <v>0000</v>
      </c>
    </row>
    <row r="626" spans="1:6">
      <c r="A626" t="str">
        <f>"E1685-1"</f>
        <v>E1685-1</v>
      </c>
      <c r="B626" t="str">
        <f>"VIA NAPOLI  60-"</f>
        <v>VIA NAPOLI  60-</v>
      </c>
      <c r="C626" t="str">
        <f t="shared" si="68"/>
        <v>1</v>
      </c>
      <c r="D626">
        <v>12</v>
      </c>
      <c r="E626" t="str">
        <f>"330"</f>
        <v>330</v>
      </c>
      <c r="F626" t="str">
        <f t="shared" si="67"/>
        <v>0000</v>
      </c>
    </row>
    <row r="627" spans="1:6">
      <c r="C627" t="str">
        <f t="shared" si="68"/>
        <v>1</v>
      </c>
      <c r="D627">
        <v>12</v>
      </c>
      <c r="E627" t="str">
        <f>"331"</f>
        <v>331</v>
      </c>
      <c r="F627" t="str">
        <f t="shared" si="67"/>
        <v>0000</v>
      </c>
    </row>
    <row r="628" spans="1:6">
      <c r="C628" t="str">
        <f t="shared" si="68"/>
        <v>1</v>
      </c>
      <c r="D628">
        <v>12</v>
      </c>
      <c r="E628" t="str">
        <f>"334"</f>
        <v>334</v>
      </c>
      <c r="F628" t="str">
        <f t="shared" si="67"/>
        <v>0000</v>
      </c>
    </row>
    <row r="629" spans="1:6">
      <c r="C629" t="str">
        <f t="shared" si="68"/>
        <v>1</v>
      </c>
      <c r="D629">
        <v>12</v>
      </c>
      <c r="E629" t="str">
        <f>"333"</f>
        <v>333</v>
      </c>
      <c r="F629" t="str">
        <f t="shared" si="67"/>
        <v>0000</v>
      </c>
    </row>
    <row r="630" spans="1:6">
      <c r="C630" t="str">
        <f t="shared" si="68"/>
        <v>1</v>
      </c>
      <c r="D630">
        <v>12</v>
      </c>
      <c r="E630" t="str">
        <f>"332"</f>
        <v>332</v>
      </c>
      <c r="F630" t="str">
        <f t="shared" si="67"/>
        <v>0000</v>
      </c>
    </row>
    <row r="631" spans="1:6">
      <c r="C631" t="str">
        <f t="shared" si="68"/>
        <v>1</v>
      </c>
      <c r="D631">
        <v>12</v>
      </c>
      <c r="E631" t="str">
        <f>"335"</f>
        <v>335</v>
      </c>
      <c r="F631" t="str">
        <f t="shared" si="67"/>
        <v>0000</v>
      </c>
    </row>
    <row r="632" spans="1:6">
      <c r="C632" t="str">
        <f t="shared" si="68"/>
        <v>1</v>
      </c>
      <c r="D632">
        <v>12</v>
      </c>
      <c r="E632" t="str">
        <f>"337"</f>
        <v>337</v>
      </c>
      <c r="F632" t="str">
        <f t="shared" si="67"/>
        <v>0000</v>
      </c>
    </row>
    <row r="633" spans="1:6">
      <c r="C633" t="str">
        <f t="shared" si="68"/>
        <v>1</v>
      </c>
      <c r="D633">
        <v>12</v>
      </c>
      <c r="E633" t="str">
        <f>"338"</f>
        <v>338</v>
      </c>
      <c r="F633" t="str">
        <f t="shared" si="67"/>
        <v>0000</v>
      </c>
    </row>
    <row r="634" spans="1:6">
      <c r="C634" t="str">
        <f t="shared" si="68"/>
        <v>1</v>
      </c>
      <c r="D634">
        <v>12</v>
      </c>
      <c r="E634" t="str">
        <f>"336"</f>
        <v>336</v>
      </c>
      <c r="F634" t="str">
        <f t="shared" si="67"/>
        <v>0000</v>
      </c>
    </row>
    <row r="635" spans="1:6">
      <c r="A635" t="str">
        <f>"E1690-1"</f>
        <v>E1690-1</v>
      </c>
      <c r="B635" t="str">
        <f>"CORSO SOLFERINO  1MR-"</f>
        <v>CORSO SOLFERINO  1MR-</v>
      </c>
      <c r="C635" t="str">
        <f>"GEC"</f>
        <v>GEC</v>
      </c>
      <c r="D635">
        <v>13</v>
      </c>
      <c r="E635" t="str">
        <f>"211"</f>
        <v>211</v>
      </c>
      <c r="F635" t="str">
        <f>"1"</f>
        <v>1</v>
      </c>
    </row>
    <row r="636" spans="1:6">
      <c r="A636" t="str">
        <f>"E1690-2"</f>
        <v>E1690-2</v>
      </c>
      <c r="B636" t="str">
        <f>"CORSO SOLFERINO  3R-"</f>
        <v>CORSO SOLFERINO  3R-</v>
      </c>
      <c r="C636" t="str">
        <f>"GEC"</f>
        <v>GEC</v>
      </c>
      <c r="D636">
        <v>13</v>
      </c>
      <c r="E636" t="str">
        <f>"211"</f>
        <v>211</v>
      </c>
      <c r="F636" t="str">
        <f>"2"</f>
        <v>2</v>
      </c>
    </row>
    <row r="637" spans="1:6">
      <c r="A637" t="str">
        <f>"E1690-3"</f>
        <v>E1690-3</v>
      </c>
      <c r="B637" t="str">
        <f>"CORSO SOLFERINO  5R-"</f>
        <v>CORSO SOLFERINO  5R-</v>
      </c>
      <c r="C637" t="str">
        <f>"GEC"</f>
        <v>GEC</v>
      </c>
      <c r="D637">
        <v>13</v>
      </c>
      <c r="E637" t="str">
        <f>"211"</f>
        <v>211</v>
      </c>
      <c r="F637" t="str">
        <f>"3"</f>
        <v>3</v>
      </c>
    </row>
    <row r="638" spans="1:6">
      <c r="A638" t="str">
        <f>"E1690-4"</f>
        <v>E1690-4</v>
      </c>
      <c r="B638" t="str">
        <f>"CORSO SOLFERINO  7R-"</f>
        <v>CORSO SOLFERINO  7R-</v>
      </c>
      <c r="C638" t="str">
        <f>"GEC"</f>
        <v>GEC</v>
      </c>
      <c r="D638">
        <v>13</v>
      </c>
      <c r="E638" t="str">
        <f>"211"</f>
        <v>211</v>
      </c>
      <c r="F638" t="str">
        <f>"4"</f>
        <v>4</v>
      </c>
    </row>
    <row r="639" spans="1:6">
      <c r="A639" t="str">
        <f>"E1690-5"</f>
        <v>E1690-5</v>
      </c>
      <c r="B639" t="str">
        <f>"SALITA SUP SAN ROCCHINO  8R-"</f>
        <v>SALITA SUP SAN ROCCHINO  8R-</v>
      </c>
      <c r="C639" t="str">
        <f>"GEC"</f>
        <v>GEC</v>
      </c>
      <c r="D639">
        <v>13</v>
      </c>
      <c r="E639" t="str">
        <f>"211"</f>
        <v>211</v>
      </c>
      <c r="F639" t="str">
        <f>"5"</f>
        <v>5</v>
      </c>
    </row>
    <row r="640" spans="1:6">
      <c r="A640" t="str">
        <f>"E1691-1"</f>
        <v>E1691-1</v>
      </c>
      <c r="B640" t="str">
        <f>"VIA CLAUDIO CARCASSI  16R-"</f>
        <v>VIA CLAUDIO CARCASSI  16R-</v>
      </c>
      <c r="C640" t="str">
        <f t="shared" ref="C640:C645" si="69">"GEA"</f>
        <v>GEA</v>
      </c>
      <c r="D640">
        <v>105</v>
      </c>
      <c r="E640" t="str">
        <f>"188"</f>
        <v>188</v>
      </c>
      <c r="F640" t="str">
        <f>"0000"</f>
        <v>0000</v>
      </c>
    </row>
    <row r="641" spans="1:6">
      <c r="A641" t="str">
        <f>"E1692-1"</f>
        <v>E1692-1</v>
      </c>
      <c r="B641" t="str">
        <f>"VIA CLAUDIO CARCASSI  8R-"</f>
        <v>VIA CLAUDIO CARCASSI  8R-</v>
      </c>
      <c r="C641" t="str">
        <f t="shared" si="69"/>
        <v>GEA</v>
      </c>
      <c r="D641">
        <v>106</v>
      </c>
      <c r="E641" t="str">
        <f>"28"</f>
        <v>28</v>
      </c>
      <c r="F641" t="str">
        <f>"1"</f>
        <v>1</v>
      </c>
    </row>
    <row r="642" spans="1:6">
      <c r="A642" t="str">
        <f>"E1692-2"</f>
        <v>E1692-2</v>
      </c>
      <c r="B642" t="str">
        <f>"VIA CLAUDIO CARCASSI  6R-"</f>
        <v>VIA CLAUDIO CARCASSI  6R-</v>
      </c>
      <c r="C642" t="str">
        <f t="shared" si="69"/>
        <v>GEA</v>
      </c>
      <c r="D642">
        <v>106</v>
      </c>
      <c r="E642" t="str">
        <f>"28"</f>
        <v>28</v>
      </c>
      <c r="F642" t="str">
        <f>"2"</f>
        <v>2</v>
      </c>
    </row>
    <row r="643" spans="1:6">
      <c r="A643" t="str">
        <f>"E1693-1"</f>
        <v>E1693-1</v>
      </c>
      <c r="B643" t="str">
        <f>"VIA CLAUDIO CARCASSI  4R-"</f>
        <v>VIA CLAUDIO CARCASSI  4R-</v>
      </c>
      <c r="C643" t="str">
        <f t="shared" si="69"/>
        <v>GEA</v>
      </c>
      <c r="D643">
        <v>106</v>
      </c>
      <c r="E643" t="str">
        <f>"376"</f>
        <v>376</v>
      </c>
      <c r="F643" t="str">
        <f>"0000"</f>
        <v>0000</v>
      </c>
    </row>
    <row r="644" spans="1:6">
      <c r="A644" t="str">
        <f>"E1693-2"</f>
        <v>E1693-2</v>
      </c>
      <c r="B644" t="str">
        <f>"VIA CLAUDIO CARCASSI  2R-"</f>
        <v>VIA CLAUDIO CARCASSI  2R-</v>
      </c>
      <c r="C644" t="str">
        <f t="shared" si="69"/>
        <v>GEA</v>
      </c>
      <c r="D644">
        <v>106</v>
      </c>
      <c r="E644" t="str">
        <f>"26"</f>
        <v>26</v>
      </c>
      <c r="F644" t="str">
        <f>"0000"</f>
        <v>0000</v>
      </c>
    </row>
    <row r="645" spans="1:6">
      <c r="A645" t="str">
        <f>"E1693-3"</f>
        <v>E1693-3</v>
      </c>
      <c r="B645" t="str">
        <f>"VIA CLAUDIO CARCASSI  1R-"</f>
        <v>VIA CLAUDIO CARCASSI  1R-</v>
      </c>
      <c r="C645" t="str">
        <f t="shared" si="69"/>
        <v>GEA</v>
      </c>
      <c r="D645">
        <v>106</v>
      </c>
      <c r="E645" t="str">
        <f>"27"</f>
        <v>27</v>
      </c>
      <c r="F645" t="str">
        <f>"0000"</f>
        <v>0000</v>
      </c>
    </row>
    <row r="646" spans="1:6">
      <c r="A646" t="str">
        <f>"E1694-1"</f>
        <v>E1694-1</v>
      </c>
      <c r="B646" t="str">
        <f>"VIA GIOVANNI CARBONE  14-"</f>
        <v>VIA GIOVANNI CARBONE  14-</v>
      </c>
      <c r="C646" t="str">
        <f t="shared" ref="C646:C669" si="70">"GEC"</f>
        <v>GEC</v>
      </c>
      <c r="D646">
        <v>3</v>
      </c>
      <c r="E646" t="str">
        <f>"96"</f>
        <v>96</v>
      </c>
      <c r="F646" t="str">
        <f>"2"</f>
        <v>2</v>
      </c>
    </row>
    <row r="647" spans="1:6">
      <c r="A647" t="str">
        <f>"E1694-3"</f>
        <v>E1694-3</v>
      </c>
      <c r="B647" t="str">
        <f>"VIA GIOVANNI CARBONE  14-"</f>
        <v>VIA GIOVANNI CARBONE  14-</v>
      </c>
      <c r="C647" t="str">
        <f t="shared" si="70"/>
        <v>GEC</v>
      </c>
      <c r="D647">
        <v>3</v>
      </c>
      <c r="E647" t="str">
        <f>"96"</f>
        <v>96</v>
      </c>
      <c r="F647" t="str">
        <f>"6"</f>
        <v>6</v>
      </c>
    </row>
    <row r="648" spans="1:6">
      <c r="A648" t="str">
        <f>"E1694-5"</f>
        <v>E1694-5</v>
      </c>
      <c r="B648" t="str">
        <f>"VIA GIOVANNI CARBONE  14-"</f>
        <v>VIA GIOVANNI CARBONE  14-</v>
      </c>
      <c r="C648" t="str">
        <f t="shared" si="70"/>
        <v>GEC</v>
      </c>
      <c r="D648">
        <v>3</v>
      </c>
      <c r="E648" t="str">
        <f>"96"</f>
        <v>96</v>
      </c>
      <c r="F648" t="str">
        <f>"16"</f>
        <v>16</v>
      </c>
    </row>
    <row r="649" spans="1:6">
      <c r="A649" t="str">
        <f>"E1695-1"</f>
        <v>E1695-1</v>
      </c>
      <c r="B649" t="str">
        <f>"VIA GIOVANNI CARBONE  16-"</f>
        <v>VIA GIOVANNI CARBONE  16-</v>
      </c>
      <c r="C649" t="str">
        <f t="shared" si="70"/>
        <v>GEC</v>
      </c>
      <c r="D649">
        <v>3</v>
      </c>
      <c r="E649" t="str">
        <f>"97"</f>
        <v>97</v>
      </c>
      <c r="F649" t="str">
        <f>"3"</f>
        <v>3</v>
      </c>
    </row>
    <row r="650" spans="1:6">
      <c r="A650" t="str">
        <f>"E1695-2"</f>
        <v>E1695-2</v>
      </c>
      <c r="B650" t="str">
        <f>"VIA GIOVANNI CARBONE  16-"</f>
        <v>VIA GIOVANNI CARBONE  16-</v>
      </c>
      <c r="C650" t="str">
        <f t="shared" si="70"/>
        <v>GEC</v>
      </c>
      <c r="D650">
        <v>3</v>
      </c>
      <c r="E650" t="str">
        <f>"97"</f>
        <v>97</v>
      </c>
      <c r="F650" t="str">
        <f>"4"</f>
        <v>4</v>
      </c>
    </row>
    <row r="651" spans="1:6">
      <c r="A651" t="str">
        <f>"E1695-3"</f>
        <v>E1695-3</v>
      </c>
      <c r="B651" t="str">
        <f>"VIA GIOVANNI CARBONE  16-"</f>
        <v>VIA GIOVANNI CARBONE  16-</v>
      </c>
      <c r="C651" t="str">
        <f t="shared" si="70"/>
        <v>GEC</v>
      </c>
      <c r="D651">
        <v>3</v>
      </c>
      <c r="E651" t="str">
        <f>"97"</f>
        <v>97</v>
      </c>
      <c r="F651" t="str">
        <f>"8"</f>
        <v>8</v>
      </c>
    </row>
    <row r="652" spans="1:6">
      <c r="A652" t="str">
        <f>"E1695-5"</f>
        <v>E1695-5</v>
      </c>
      <c r="B652" t="str">
        <f>"VIA GIOVANNI CARBONE  16-"</f>
        <v>VIA GIOVANNI CARBONE  16-</v>
      </c>
      <c r="C652" t="str">
        <f t="shared" si="70"/>
        <v>GEC</v>
      </c>
      <c r="D652">
        <v>3</v>
      </c>
      <c r="E652" t="str">
        <f>"97"</f>
        <v>97</v>
      </c>
      <c r="F652" t="str">
        <f>"14"</f>
        <v>14</v>
      </c>
    </row>
    <row r="653" spans="1:6">
      <c r="A653" t="str">
        <f>"E1695-6"</f>
        <v>E1695-6</v>
      </c>
      <c r="B653" t="str">
        <f>"VIA GIOVANNI CARBONE  16-"</f>
        <v>VIA GIOVANNI CARBONE  16-</v>
      </c>
      <c r="C653" t="str">
        <f t="shared" si="70"/>
        <v>GEC</v>
      </c>
      <c r="D653">
        <v>3</v>
      </c>
      <c r="E653" t="str">
        <f>"97"</f>
        <v>97</v>
      </c>
      <c r="F653" t="str">
        <f>"18"</f>
        <v>18</v>
      </c>
    </row>
    <row r="654" spans="1:6">
      <c r="A654" t="str">
        <f>"E1697-1"</f>
        <v>E1697-1</v>
      </c>
      <c r="B654" t="str">
        <f>"VIA VINCENZO MACULANO  40R-"</f>
        <v>VIA VINCENZO MACULANO  40R-</v>
      </c>
      <c r="C654" t="str">
        <f t="shared" si="70"/>
        <v>GEC</v>
      </c>
      <c r="D654">
        <v>3</v>
      </c>
      <c r="E654" t="str">
        <f t="shared" ref="E654:E659" si="71">"511"</f>
        <v>511</v>
      </c>
      <c r="F654" t="str">
        <f>"1"</f>
        <v>1</v>
      </c>
    </row>
    <row r="655" spans="1:6">
      <c r="A655" t="str">
        <f>"E1697-2"</f>
        <v>E1697-2</v>
      </c>
      <c r="B655" t="str">
        <f>"VIA PAOLO DELLA CELLA  39R-"</f>
        <v>VIA PAOLO DELLA CELLA  39R-</v>
      </c>
      <c r="C655" t="str">
        <f t="shared" si="70"/>
        <v>GEC</v>
      </c>
      <c r="D655">
        <v>3</v>
      </c>
      <c r="E655" t="str">
        <f t="shared" si="71"/>
        <v>511</v>
      </c>
      <c r="F655" t="str">
        <f>"2"</f>
        <v>2</v>
      </c>
    </row>
    <row r="656" spans="1:6">
      <c r="A656" t="str">
        <f>"E1697-3"</f>
        <v>E1697-3</v>
      </c>
      <c r="B656" t="str">
        <f>"VIA PAOLO DELLA CELLA  41R-"</f>
        <v>VIA PAOLO DELLA CELLA  41R-</v>
      </c>
      <c r="C656" t="str">
        <f t="shared" si="70"/>
        <v>GEC</v>
      </c>
      <c r="D656">
        <v>3</v>
      </c>
      <c r="E656" t="str">
        <f t="shared" si="71"/>
        <v>511</v>
      </c>
      <c r="F656" t="str">
        <f>"3"</f>
        <v>3</v>
      </c>
    </row>
    <row r="657" spans="1:6">
      <c r="A657" t="str">
        <f>"E1697-4"</f>
        <v>E1697-4</v>
      </c>
      <c r="B657" t="str">
        <f>"VIA PAOLO DELLA CELLA  43R-"</f>
        <v>VIA PAOLO DELLA CELLA  43R-</v>
      </c>
      <c r="C657" t="str">
        <f t="shared" si="70"/>
        <v>GEC</v>
      </c>
      <c r="D657">
        <v>3</v>
      </c>
      <c r="E657" t="str">
        <f t="shared" si="71"/>
        <v>511</v>
      </c>
      <c r="F657" t="str">
        <f>"4"</f>
        <v>4</v>
      </c>
    </row>
    <row r="658" spans="1:6">
      <c r="A658" t="str">
        <f>"E1697-5"</f>
        <v>E1697-5</v>
      </c>
      <c r="B658" t="str">
        <f>"VIA PAOLO DELLA CELLA  45R-"</f>
        <v>VIA PAOLO DELLA CELLA  45R-</v>
      </c>
      <c r="C658" t="str">
        <f t="shared" si="70"/>
        <v>GEC</v>
      </c>
      <c r="D658">
        <v>3</v>
      </c>
      <c r="E658" t="str">
        <f t="shared" si="71"/>
        <v>511</v>
      </c>
      <c r="F658" t="str">
        <f>"5"</f>
        <v>5</v>
      </c>
    </row>
    <row r="659" spans="1:6">
      <c r="A659" t="str">
        <f>"E1697-6"</f>
        <v>E1697-6</v>
      </c>
      <c r="B659" t="str">
        <f>"VIA PAOLO DELLA CELLA  47R-"</f>
        <v>VIA PAOLO DELLA CELLA  47R-</v>
      </c>
      <c r="C659" t="str">
        <f t="shared" si="70"/>
        <v>GEC</v>
      </c>
      <c r="D659">
        <v>3</v>
      </c>
      <c r="E659" t="str">
        <f t="shared" si="71"/>
        <v>511</v>
      </c>
      <c r="F659" t="str">
        <f>"6"</f>
        <v>6</v>
      </c>
    </row>
    <row r="660" spans="1:6">
      <c r="A660" t="str">
        <f>"E1698-1"</f>
        <v>E1698-1</v>
      </c>
      <c r="B660" t="str">
        <f>"PIAZZA DI OREGINA  44-"</f>
        <v>PIAZZA DI OREGINA  44-</v>
      </c>
      <c r="C660" t="str">
        <f t="shared" si="70"/>
        <v>GEC</v>
      </c>
      <c r="D660">
        <v>3</v>
      </c>
      <c r="E660" t="str">
        <f>"A"</f>
        <v>A</v>
      </c>
      <c r="F660" t="str">
        <f>"0000"</f>
        <v>0000</v>
      </c>
    </row>
    <row r="661" spans="1:6">
      <c r="A661" t="str">
        <f>"E1699-1"</f>
        <v>E1699-1</v>
      </c>
      <c r="B661" t="str">
        <f>"VIA BERNARDO STROZZI VICINO AL 25-"</f>
        <v>VIA BERNARDO STROZZI VICINO AL 25-</v>
      </c>
      <c r="C661" t="str">
        <f t="shared" si="70"/>
        <v>GEC</v>
      </c>
      <c r="D661">
        <v>7</v>
      </c>
      <c r="E661" t="str">
        <f t="shared" ref="E661:E669" si="72">"276"</f>
        <v>276</v>
      </c>
      <c r="F661" t="str">
        <f>"1"</f>
        <v>1</v>
      </c>
    </row>
    <row r="662" spans="1:6">
      <c r="A662" t="str">
        <f>"E1699-2"</f>
        <v>E1699-2</v>
      </c>
      <c r="B662" t="str">
        <f>"VIA BERNARDO STROZZI VICINO AL 23-"</f>
        <v>VIA BERNARDO STROZZI VICINO AL 23-</v>
      </c>
      <c r="C662" t="str">
        <f t="shared" si="70"/>
        <v>GEC</v>
      </c>
      <c r="D662">
        <v>7</v>
      </c>
      <c r="E662" t="str">
        <f t="shared" si="72"/>
        <v>276</v>
      </c>
      <c r="F662" t="str">
        <f>"2"</f>
        <v>2</v>
      </c>
    </row>
    <row r="663" spans="1:6">
      <c r="A663" t="str">
        <f>"E1699-3"</f>
        <v>E1699-3</v>
      </c>
      <c r="B663" t="str">
        <f>"VIA BERNARDO STROZZI VICINO AL 23-"</f>
        <v>VIA BERNARDO STROZZI VICINO AL 23-</v>
      </c>
      <c r="C663" t="str">
        <f t="shared" si="70"/>
        <v>GEC</v>
      </c>
      <c r="D663">
        <v>7</v>
      </c>
      <c r="E663" t="str">
        <f t="shared" si="72"/>
        <v>276</v>
      </c>
      <c r="F663" t="str">
        <f>"3"</f>
        <v>3</v>
      </c>
    </row>
    <row r="664" spans="1:6">
      <c r="A664" t="str">
        <f>"E1699-4"</f>
        <v>E1699-4</v>
      </c>
      <c r="B664" t="str">
        <f>"VIA LORENZO STALLO VICINO AL 1-"</f>
        <v>VIA LORENZO STALLO VICINO AL 1-</v>
      </c>
      <c r="C664" t="str">
        <f t="shared" si="70"/>
        <v>GEC</v>
      </c>
      <c r="D664">
        <v>7</v>
      </c>
      <c r="E664" t="str">
        <f t="shared" si="72"/>
        <v>276</v>
      </c>
      <c r="F664" t="str">
        <f>"4"</f>
        <v>4</v>
      </c>
    </row>
    <row r="665" spans="1:6">
      <c r="A665" t="str">
        <f>"E1699-5"</f>
        <v>E1699-5</v>
      </c>
      <c r="B665" t="str">
        <f>"VIA AUSONIA VICINO AL 3-"</f>
        <v>VIA AUSONIA VICINO AL 3-</v>
      </c>
      <c r="C665" t="str">
        <f t="shared" si="70"/>
        <v>GEC</v>
      </c>
      <c r="D665">
        <v>7</v>
      </c>
      <c r="E665" t="str">
        <f t="shared" si="72"/>
        <v>276</v>
      </c>
      <c r="F665" t="str">
        <f>"5"</f>
        <v>5</v>
      </c>
    </row>
    <row r="666" spans="1:6">
      <c r="A666" t="str">
        <f>"E1699-6"</f>
        <v>E1699-6</v>
      </c>
      <c r="B666" t="str">
        <f>"VIA AUSONIA VICINO AL 2-"</f>
        <v>VIA AUSONIA VICINO AL 2-</v>
      </c>
      <c r="C666" t="str">
        <f t="shared" si="70"/>
        <v>GEC</v>
      </c>
      <c r="D666">
        <v>7</v>
      </c>
      <c r="E666" t="str">
        <f t="shared" si="72"/>
        <v>276</v>
      </c>
      <c r="F666" t="str">
        <f>"6"</f>
        <v>6</v>
      </c>
    </row>
    <row r="667" spans="1:6">
      <c r="A667" t="str">
        <f>"E1699-7"</f>
        <v>E1699-7</v>
      </c>
      <c r="B667" t="str">
        <f>"VIA AUSONIA VICINO AL 2-"</f>
        <v>VIA AUSONIA VICINO AL 2-</v>
      </c>
      <c r="C667" t="str">
        <f t="shared" si="70"/>
        <v>GEC</v>
      </c>
      <c r="D667">
        <v>7</v>
      </c>
      <c r="E667" t="str">
        <f t="shared" si="72"/>
        <v>276</v>
      </c>
      <c r="F667" t="str">
        <f>"7"</f>
        <v>7</v>
      </c>
    </row>
    <row r="668" spans="1:6">
      <c r="A668" t="str">
        <f>"E1699-8"</f>
        <v>E1699-8</v>
      </c>
      <c r="B668" t="str">
        <f>"VIA LORENZO STALLO VICINO AL 5-"</f>
        <v>VIA LORENZO STALLO VICINO AL 5-</v>
      </c>
      <c r="C668" t="str">
        <f t="shared" si="70"/>
        <v>GEC</v>
      </c>
      <c r="D668">
        <v>7</v>
      </c>
      <c r="E668" t="str">
        <f t="shared" si="72"/>
        <v>276</v>
      </c>
      <c r="F668" t="str">
        <f>"8"</f>
        <v>8</v>
      </c>
    </row>
    <row r="669" spans="1:6">
      <c r="A669" t="str">
        <f>"E1699-9"</f>
        <v>E1699-9</v>
      </c>
      <c r="B669" t="str">
        <f>"VIA LORENZO STALLO VICINO AL 5-"</f>
        <v>VIA LORENZO STALLO VICINO AL 5-</v>
      </c>
      <c r="C669" t="str">
        <f t="shared" si="70"/>
        <v>GEC</v>
      </c>
      <c r="D669">
        <v>7</v>
      </c>
      <c r="E669" t="str">
        <f t="shared" si="72"/>
        <v>276</v>
      </c>
      <c r="F669" t="str">
        <f>"9"</f>
        <v>9</v>
      </c>
    </row>
    <row r="670" spans="1:6">
      <c r="A670" t="str">
        <f>"E1707-7"</f>
        <v>E1707-7</v>
      </c>
      <c r="B670" t="str">
        <f>"VIA DOMENICO FIASELLA  3-"</f>
        <v>VIA DOMENICO FIASELLA  3-</v>
      </c>
      <c r="C670" t="str">
        <f t="shared" ref="C670:C675" si="73">"GEA"</f>
        <v>GEA</v>
      </c>
      <c r="D670">
        <v>107</v>
      </c>
      <c r="E670" t="str">
        <f>"25"</f>
        <v>25</v>
      </c>
      <c r="F670" t="str">
        <f>"9"</f>
        <v>9</v>
      </c>
    </row>
    <row r="671" spans="1:6">
      <c r="A671" t="str">
        <f>"E1707-8"</f>
        <v>E1707-8</v>
      </c>
      <c r="B671" t="str">
        <f>"VIA DOMENICO FIASELLA  3-"</f>
        <v>VIA DOMENICO FIASELLA  3-</v>
      </c>
      <c r="C671" t="str">
        <f t="shared" si="73"/>
        <v>GEA</v>
      </c>
      <c r="D671">
        <v>107</v>
      </c>
      <c r="E671" t="str">
        <f>"25"</f>
        <v>25</v>
      </c>
      <c r="F671" t="str">
        <f>"10"</f>
        <v>10</v>
      </c>
    </row>
    <row r="672" spans="1:6">
      <c r="A672" t="str">
        <f>"E1707-9"</f>
        <v>E1707-9</v>
      </c>
      <c r="B672" t="str">
        <f>"VIA DOMENICO FIASELLA  3-"</f>
        <v>VIA DOMENICO FIASELLA  3-</v>
      </c>
      <c r="C672" t="str">
        <f t="shared" si="73"/>
        <v>GEA</v>
      </c>
      <c r="D672">
        <v>107</v>
      </c>
      <c r="E672" t="str">
        <f>"25"</f>
        <v>25</v>
      </c>
      <c r="F672" t="str">
        <f>"8"</f>
        <v>8</v>
      </c>
    </row>
    <row r="673" spans="1:6">
      <c r="A673" t="str">
        <f>"E1707-10"</f>
        <v>E1707-10</v>
      </c>
      <c r="B673" t="str">
        <f>"VIA DOMENICO FIASELLA  3-"</f>
        <v>VIA DOMENICO FIASELLA  3-</v>
      </c>
      <c r="C673" t="str">
        <f t="shared" si="73"/>
        <v>GEA</v>
      </c>
      <c r="D673">
        <v>107</v>
      </c>
      <c r="E673" t="str">
        <f>"25"</f>
        <v>25</v>
      </c>
      <c r="F673" t="str">
        <f>"11"</f>
        <v>11</v>
      </c>
    </row>
    <row r="674" spans="1:6">
      <c r="A674" t="str">
        <f>"E1707-11"</f>
        <v>E1707-11</v>
      </c>
      <c r="B674" t="str">
        <f>"VIA MALTA  79R-"</f>
        <v>VIA MALTA  79R-</v>
      </c>
      <c r="C674" t="str">
        <f t="shared" si="73"/>
        <v>GEA</v>
      </c>
      <c r="D674">
        <v>107</v>
      </c>
      <c r="E674" t="str">
        <f>"128"</f>
        <v>128</v>
      </c>
      <c r="F674" t="str">
        <f>"0000"</f>
        <v>0000</v>
      </c>
    </row>
    <row r="675" spans="1:6">
      <c r="C675" t="str">
        <f t="shared" si="73"/>
        <v>GEA</v>
      </c>
      <c r="D675">
        <v>107</v>
      </c>
      <c r="E675" t="str">
        <f>"25"</f>
        <v>25</v>
      </c>
      <c r="F675" t="str">
        <f>"26"</f>
        <v>26</v>
      </c>
    </row>
    <row r="676" spans="1:6">
      <c r="A676" t="str">
        <f>"E1720-1"</f>
        <v>E1720-1</v>
      </c>
      <c r="B676" t="str">
        <f>"VIA RAFFAELE RUBATTINO  1AR-"</f>
        <v>VIA RAFFAELE RUBATTINO  1AR-</v>
      </c>
      <c r="C676" t="str">
        <f>"1"</f>
        <v>1</v>
      </c>
      <c r="D676">
        <v>44</v>
      </c>
      <c r="E676" t="str">
        <f>"142"</f>
        <v>142</v>
      </c>
      <c r="F676" t="str">
        <f>"0000"</f>
        <v>0000</v>
      </c>
    </row>
    <row r="677" spans="1:6">
      <c r="A677" t="str">
        <f>"E1721-1"</f>
        <v>E1721-1</v>
      </c>
      <c r="B677" t="str">
        <f>"VIA RAFFAELE RUBATTINO  1BR-"</f>
        <v>VIA RAFFAELE RUBATTINO  1BR-</v>
      </c>
      <c r="C677" t="str">
        <f>"1"</f>
        <v>1</v>
      </c>
      <c r="D677">
        <v>44</v>
      </c>
      <c r="E677" t="str">
        <f>"142"</f>
        <v>142</v>
      </c>
      <c r="F677" t="str">
        <f>"0000"</f>
        <v>0000</v>
      </c>
    </row>
    <row r="678" spans="1:6">
      <c r="A678" t="str">
        <f>"E1722-1"</f>
        <v>E1722-1</v>
      </c>
      <c r="B678" t="str">
        <f>"VIA RAFFAELE RUBATTINO  1CR-"</f>
        <v>VIA RAFFAELE RUBATTINO  1CR-</v>
      </c>
      <c r="C678" t="str">
        <f>"1"</f>
        <v>1</v>
      </c>
      <c r="D678">
        <v>44</v>
      </c>
      <c r="E678" t="str">
        <f>"142"</f>
        <v>142</v>
      </c>
      <c r="F678" t="str">
        <f>"0000"</f>
        <v>0000</v>
      </c>
    </row>
    <row r="679" spans="1:6">
      <c r="A679" t="str">
        <f>"E1727-2"</f>
        <v>E1727-2</v>
      </c>
      <c r="B679" t="str">
        <f>"PIAZZA DANTE  5-"</f>
        <v>PIAZZA DANTE  5-</v>
      </c>
      <c r="C679" t="str">
        <f t="shared" ref="C679:C687" si="74">"GEA"</f>
        <v>GEA</v>
      </c>
      <c r="D679">
        <v>97</v>
      </c>
      <c r="E679" t="str">
        <f>"592"</f>
        <v>592</v>
      </c>
      <c r="F679" t="str">
        <f>"5"</f>
        <v>5</v>
      </c>
    </row>
    <row r="680" spans="1:6">
      <c r="A680" t="str">
        <f>"E1731-1"</f>
        <v>E1731-1</v>
      </c>
      <c r="B680" t="str">
        <f>"SOTTOPASSAGGIO DE FERRARI  14R-"</f>
        <v>SOTTOPASSAGGIO DE FERRARI  14R-</v>
      </c>
      <c r="C680" t="str">
        <f t="shared" si="74"/>
        <v>GEA</v>
      </c>
      <c r="D680">
        <v>96</v>
      </c>
      <c r="E680" t="str">
        <f t="shared" ref="E680:E687" si="75">"275"</f>
        <v>275</v>
      </c>
      <c r="F680" t="str">
        <f>"1"</f>
        <v>1</v>
      </c>
    </row>
    <row r="681" spans="1:6">
      <c r="A681" t="str">
        <f>"E1731-2"</f>
        <v>E1731-2</v>
      </c>
      <c r="B681" t="str">
        <f>"SOTTOPASSAGGIO DE FERRARI  12R-"</f>
        <v>SOTTOPASSAGGIO DE FERRARI  12R-</v>
      </c>
      <c r="C681" t="str">
        <f t="shared" si="74"/>
        <v>GEA</v>
      </c>
      <c r="D681">
        <v>96</v>
      </c>
      <c r="E681" t="str">
        <f t="shared" si="75"/>
        <v>275</v>
      </c>
      <c r="F681" t="str">
        <f>"2"</f>
        <v>2</v>
      </c>
    </row>
    <row r="682" spans="1:6">
      <c r="A682" t="str">
        <f>"E1731-3"</f>
        <v>E1731-3</v>
      </c>
      <c r="B682" t="str">
        <f>"SOTTOPASSAGGIO DE FERRARI  12R-"</f>
        <v>SOTTOPASSAGGIO DE FERRARI  12R-</v>
      </c>
      <c r="C682" t="str">
        <f t="shared" si="74"/>
        <v>GEA</v>
      </c>
      <c r="D682">
        <v>96</v>
      </c>
      <c r="E682" t="str">
        <f t="shared" si="75"/>
        <v>275</v>
      </c>
      <c r="F682" t="str">
        <f>"3"</f>
        <v>3</v>
      </c>
    </row>
    <row r="683" spans="1:6">
      <c r="A683" t="str">
        <f>"E1731-4"</f>
        <v>E1731-4</v>
      </c>
      <c r="B683" t="str">
        <f>"SOTTOPASSAGGIO DE FERRARI  10R-"</f>
        <v>SOTTOPASSAGGIO DE FERRARI  10R-</v>
      </c>
      <c r="C683" t="str">
        <f t="shared" si="74"/>
        <v>GEA</v>
      </c>
      <c r="D683">
        <v>96</v>
      </c>
      <c r="E683" t="str">
        <f t="shared" si="75"/>
        <v>275</v>
      </c>
      <c r="F683" t="str">
        <f>"4"</f>
        <v>4</v>
      </c>
    </row>
    <row r="684" spans="1:6">
      <c r="A684" t="str">
        <f>"E1731-5"</f>
        <v>E1731-5</v>
      </c>
      <c r="B684" t="str">
        <f>"SOTTOPASSAGGIO DE FERRARI  10R-"</f>
        <v>SOTTOPASSAGGIO DE FERRARI  10R-</v>
      </c>
      <c r="C684" t="str">
        <f t="shared" si="74"/>
        <v>GEA</v>
      </c>
      <c r="D684">
        <v>96</v>
      </c>
      <c r="E684" t="str">
        <f t="shared" si="75"/>
        <v>275</v>
      </c>
      <c r="F684" t="str">
        <f>"5"</f>
        <v>5</v>
      </c>
    </row>
    <row r="685" spans="1:6">
      <c r="A685" t="str">
        <f>"E1731-6"</f>
        <v>E1731-6</v>
      </c>
      <c r="B685" t="str">
        <f>"SOTTOPASSAGGIO DE FERRARI  8R-"</f>
        <v>SOTTOPASSAGGIO DE FERRARI  8R-</v>
      </c>
      <c r="C685" t="str">
        <f t="shared" si="74"/>
        <v>GEA</v>
      </c>
      <c r="D685">
        <v>96</v>
      </c>
      <c r="E685" t="str">
        <f t="shared" si="75"/>
        <v>275</v>
      </c>
      <c r="F685" t="str">
        <f>"6"</f>
        <v>6</v>
      </c>
    </row>
    <row r="686" spans="1:6">
      <c r="A686" t="str">
        <f>"E1731-7"</f>
        <v>E1731-7</v>
      </c>
      <c r="B686" t="str">
        <f>"SOTTOPASSAGGIO DE FERRARI  8R-"</f>
        <v>SOTTOPASSAGGIO DE FERRARI  8R-</v>
      </c>
      <c r="C686" t="str">
        <f t="shared" si="74"/>
        <v>GEA</v>
      </c>
      <c r="D686">
        <v>96</v>
      </c>
      <c r="E686" t="str">
        <f t="shared" si="75"/>
        <v>275</v>
      </c>
      <c r="F686" t="str">
        <f>"7"</f>
        <v>7</v>
      </c>
    </row>
    <row r="687" spans="1:6">
      <c r="A687" t="str">
        <f>"E1731-9"</f>
        <v>E1731-9</v>
      </c>
      <c r="B687" t="str">
        <f>"SOTTOPASSAGGIO DE FERRARI VICINO AL 8R-"</f>
        <v>SOTTOPASSAGGIO DE FERRARI VICINO AL 8R-</v>
      </c>
      <c r="C687" t="str">
        <f t="shared" si="74"/>
        <v>GEA</v>
      </c>
      <c r="D687">
        <v>96</v>
      </c>
      <c r="E687" t="str">
        <f t="shared" si="75"/>
        <v>275</v>
      </c>
      <c r="F687" t="str">
        <f>"9"</f>
        <v>9</v>
      </c>
    </row>
    <row r="688" spans="1:6">
      <c r="A688" t="str">
        <f>"E1731-10"</f>
        <v>E1731-10</v>
      </c>
      <c r="B688" t="str">
        <f>"SOTTOPASSAGGIO DE FERRARI  5R-"</f>
        <v>SOTTOPASSAGGIO DE FERRARI  5R-</v>
      </c>
      <c r="C688" t="str">
        <f>"1"</f>
        <v>1</v>
      </c>
      <c r="D688">
        <v>68</v>
      </c>
      <c r="E688" t="str">
        <f>"99999"</f>
        <v>99999</v>
      </c>
      <c r="F688" t="str">
        <f>"0000"</f>
        <v>0000</v>
      </c>
    </row>
    <row r="689" spans="1:6">
      <c r="A689" t="str">
        <f>"E1731-11"</f>
        <v>E1731-11</v>
      </c>
      <c r="B689" t="str">
        <f>"SOTTOPASSAGGIO DE FERRARI VICINO AL 7R-"</f>
        <v>SOTTOPASSAGGIO DE FERRARI VICINO AL 7R-</v>
      </c>
      <c r="C689" t="str">
        <f>"1"</f>
        <v>1</v>
      </c>
      <c r="D689">
        <v>68</v>
      </c>
      <c r="E689" t="str">
        <f>"99999"</f>
        <v>99999</v>
      </c>
      <c r="F689" t="str">
        <f>"0000"</f>
        <v>0000</v>
      </c>
    </row>
    <row r="690" spans="1:6">
      <c r="A690" t="str">
        <f>"E1731-12"</f>
        <v>E1731-12</v>
      </c>
      <c r="B690" t="str">
        <f>"SOTTOPASSAGGIO DE FERRARI  15R-"</f>
        <v>SOTTOPASSAGGIO DE FERRARI  15R-</v>
      </c>
      <c r="C690" t="str">
        <f>"1"</f>
        <v>1</v>
      </c>
      <c r="D690">
        <v>68</v>
      </c>
      <c r="E690" t="str">
        <f>"99999"</f>
        <v>99999</v>
      </c>
      <c r="F690" t="str">
        <f>"0000"</f>
        <v>0000</v>
      </c>
    </row>
    <row r="691" spans="1:6">
      <c r="A691" t="str">
        <f>"E1732-1"</f>
        <v>E1732-1</v>
      </c>
      <c r="B691" t="str">
        <f>"VIA SAN GIACOMO E FILIPPO  2R-"</f>
        <v>VIA SAN GIACOMO E FILIPPO  2R-</v>
      </c>
      <c r="C691" t="str">
        <f t="shared" ref="C691:C700" si="76">"GEA"</f>
        <v>GEA</v>
      </c>
      <c r="D691">
        <v>105</v>
      </c>
      <c r="E691" t="str">
        <f t="shared" ref="E691:E700" si="77">"199"</f>
        <v>199</v>
      </c>
      <c r="F691" t="str">
        <f>"23"</f>
        <v>23</v>
      </c>
    </row>
    <row r="692" spans="1:6">
      <c r="A692" t="str">
        <f>"E1732-2"</f>
        <v>E1732-2</v>
      </c>
      <c r="B692" t="str">
        <f>"VIA SAN GIACOMO E FILIPPO  2R-"</f>
        <v>VIA SAN GIACOMO E FILIPPO  2R-</v>
      </c>
      <c r="C692" t="str">
        <f t="shared" si="76"/>
        <v>GEA</v>
      </c>
      <c r="D692">
        <v>105</v>
      </c>
      <c r="E692" t="str">
        <f t="shared" si="77"/>
        <v>199</v>
      </c>
      <c r="F692" t="str">
        <f>"21"</f>
        <v>21</v>
      </c>
    </row>
    <row r="693" spans="1:6">
      <c r="A693" t="str">
        <f>"E1732-4"</f>
        <v>E1732-4</v>
      </c>
      <c r="B693" t="str">
        <f>"VIA SAN GIACOMO E FILIPPO  8R-"</f>
        <v>VIA SAN GIACOMO E FILIPPO  8R-</v>
      </c>
      <c r="C693" t="str">
        <f t="shared" si="76"/>
        <v>GEA</v>
      </c>
      <c r="D693">
        <v>105</v>
      </c>
      <c r="E693" t="str">
        <f t="shared" si="77"/>
        <v>199</v>
      </c>
      <c r="F693" t="str">
        <f>"2"</f>
        <v>2</v>
      </c>
    </row>
    <row r="694" spans="1:6">
      <c r="A694" t="str">
        <f>"E1732-18"</f>
        <v>E1732-18</v>
      </c>
      <c r="B694" t="str">
        <f>"VIA SAN GIACOMO E FILIPPO  38R-"</f>
        <v>VIA SAN GIACOMO E FILIPPO  38R-</v>
      </c>
      <c r="C694" t="str">
        <f t="shared" si="76"/>
        <v>GEA</v>
      </c>
      <c r="D694">
        <v>105</v>
      </c>
      <c r="E694" t="str">
        <f t="shared" si="77"/>
        <v>199</v>
      </c>
      <c r="F694" t="str">
        <f>"16"</f>
        <v>16</v>
      </c>
    </row>
    <row r="695" spans="1:6">
      <c r="A695" t="str">
        <f>"E1732-19"</f>
        <v>E1732-19</v>
      </c>
      <c r="B695" t="str">
        <f>"VIA SAN GIACOMO E FILIPPO  42R-"</f>
        <v>VIA SAN GIACOMO E FILIPPO  42R-</v>
      </c>
      <c r="C695" t="str">
        <f t="shared" si="76"/>
        <v>GEA</v>
      </c>
      <c r="D695">
        <v>105</v>
      </c>
      <c r="E695" t="str">
        <f t="shared" si="77"/>
        <v>199</v>
      </c>
      <c r="F695" t="str">
        <f>"17"</f>
        <v>17</v>
      </c>
    </row>
    <row r="696" spans="1:6">
      <c r="A696" t="str">
        <f>"E1732-20"</f>
        <v>E1732-20</v>
      </c>
      <c r="B696" t="str">
        <f>"VIA SAN GIACOMO E FILIPPO  4-"</f>
        <v>VIA SAN GIACOMO E FILIPPO  4-</v>
      </c>
      <c r="C696" t="str">
        <f t="shared" si="76"/>
        <v>GEA</v>
      </c>
      <c r="D696">
        <v>105</v>
      </c>
      <c r="E696" t="str">
        <f t="shared" si="77"/>
        <v>199</v>
      </c>
      <c r="F696" t="str">
        <f>"20"</f>
        <v>20</v>
      </c>
    </row>
    <row r="697" spans="1:6">
      <c r="A697" t="str">
        <f>"E1732-21"</f>
        <v>E1732-21</v>
      </c>
      <c r="B697" t="str">
        <f>"VIA SAN GIACOMO E FILIPPO  2-"</f>
        <v>VIA SAN GIACOMO E FILIPPO  2-</v>
      </c>
      <c r="C697" t="str">
        <f t="shared" si="76"/>
        <v>GEA</v>
      </c>
      <c r="D697">
        <v>105</v>
      </c>
      <c r="E697" t="str">
        <f t="shared" si="77"/>
        <v>199</v>
      </c>
      <c r="F697" t="str">
        <f>"25"</f>
        <v>25</v>
      </c>
    </row>
    <row r="698" spans="1:6">
      <c r="A698" t="str">
        <f>"E1732-22"</f>
        <v>E1732-22</v>
      </c>
      <c r="B698" t="str">
        <f>"VIA SAN GIACOMO E FILIPPO  2-"</f>
        <v>VIA SAN GIACOMO E FILIPPO  2-</v>
      </c>
      <c r="C698" t="str">
        <f t="shared" si="76"/>
        <v>GEA</v>
      </c>
      <c r="D698">
        <v>105</v>
      </c>
      <c r="E698" t="str">
        <f t="shared" si="77"/>
        <v>199</v>
      </c>
      <c r="F698" t="str">
        <f>"26"</f>
        <v>26</v>
      </c>
    </row>
    <row r="699" spans="1:6">
      <c r="A699" t="str">
        <f>"E1732-23"</f>
        <v>E1732-23</v>
      </c>
      <c r="B699" t="str">
        <f>"VIA SAN GIACOMO E FILIPPO  4-"</f>
        <v>VIA SAN GIACOMO E FILIPPO  4-</v>
      </c>
      <c r="C699" t="str">
        <f t="shared" si="76"/>
        <v>GEA</v>
      </c>
      <c r="D699">
        <v>105</v>
      </c>
      <c r="E699" t="str">
        <f t="shared" si="77"/>
        <v>199</v>
      </c>
      <c r="F699" t="str">
        <f>"24"</f>
        <v>24</v>
      </c>
    </row>
    <row r="700" spans="1:6">
      <c r="A700" t="str">
        <f>"E1732-24"</f>
        <v>E1732-24</v>
      </c>
      <c r="B700" t="str">
        <f>"VIA SAN GIACOMO E FILIPPO  2R-"</f>
        <v>VIA SAN GIACOMO E FILIPPO  2R-</v>
      </c>
      <c r="C700" t="str">
        <f t="shared" si="76"/>
        <v>GEA</v>
      </c>
      <c r="D700">
        <v>105</v>
      </c>
      <c r="E700" t="str">
        <f t="shared" si="77"/>
        <v>199</v>
      </c>
      <c r="F700" t="str">
        <f>"22"</f>
        <v>22</v>
      </c>
    </row>
    <row r="701" spans="1:6">
      <c r="A701" t="str">
        <f>"E1733-1"</f>
        <v>E1733-1</v>
      </c>
      <c r="B701" t="str">
        <f>"VIA BARTOLOMEO BIANCO  6-"</f>
        <v>VIA BARTOLOMEO BIANCO  6-</v>
      </c>
      <c r="C701" t="str">
        <f t="shared" ref="C701:C714" si="78">"1"</f>
        <v>1</v>
      </c>
      <c r="D701">
        <v>11</v>
      </c>
      <c r="E701" t="str">
        <f>"253"</f>
        <v>253</v>
      </c>
      <c r="F701" t="str">
        <f t="shared" ref="F701:F725" si="79">"0000"</f>
        <v>0000</v>
      </c>
    </row>
    <row r="702" spans="1:6">
      <c r="A702" t="str">
        <f>"E1733-1"</f>
        <v>E1733-1</v>
      </c>
      <c r="B702" t="str">
        <f>"VIA BARTOLOMEO BIANCO  6-"</f>
        <v>VIA BARTOLOMEO BIANCO  6-</v>
      </c>
      <c r="C702" t="str">
        <f t="shared" si="78"/>
        <v>1</v>
      </c>
      <c r="D702">
        <v>11</v>
      </c>
      <c r="E702" t="str">
        <f>"254"</f>
        <v>254</v>
      </c>
      <c r="F702" t="str">
        <f t="shared" si="79"/>
        <v>0000</v>
      </c>
    </row>
    <row r="703" spans="1:6">
      <c r="C703" t="str">
        <f t="shared" si="78"/>
        <v>1</v>
      </c>
      <c r="D703">
        <v>11</v>
      </c>
      <c r="E703" t="str">
        <f>"255"</f>
        <v>255</v>
      </c>
      <c r="F703" t="str">
        <f t="shared" si="79"/>
        <v>0000</v>
      </c>
    </row>
    <row r="704" spans="1:6">
      <c r="C704" t="str">
        <f t="shared" si="78"/>
        <v>1</v>
      </c>
      <c r="D704">
        <v>11</v>
      </c>
      <c r="E704" t="str">
        <f>"401"</f>
        <v>401</v>
      </c>
      <c r="F704" t="str">
        <f t="shared" si="79"/>
        <v>0000</v>
      </c>
    </row>
    <row r="705" spans="1:6">
      <c r="C705" t="str">
        <f t="shared" si="78"/>
        <v>1</v>
      </c>
      <c r="D705">
        <v>11</v>
      </c>
      <c r="E705" t="str">
        <f>"99999"</f>
        <v>99999</v>
      </c>
      <c r="F705" t="str">
        <f t="shared" si="79"/>
        <v>0000</v>
      </c>
    </row>
    <row r="706" spans="1:6">
      <c r="C706" t="str">
        <f t="shared" si="78"/>
        <v>1</v>
      </c>
      <c r="D706">
        <v>11</v>
      </c>
      <c r="E706" t="str">
        <f>"473"</f>
        <v>473</v>
      </c>
      <c r="F706" t="str">
        <f t="shared" si="79"/>
        <v>0000</v>
      </c>
    </row>
    <row r="707" spans="1:6">
      <c r="C707" t="str">
        <f t="shared" si="78"/>
        <v>1</v>
      </c>
      <c r="D707">
        <v>11</v>
      </c>
      <c r="E707" t="str">
        <f>"400"</f>
        <v>400</v>
      </c>
      <c r="F707" t="str">
        <f t="shared" si="79"/>
        <v>0000</v>
      </c>
    </row>
    <row r="708" spans="1:6">
      <c r="A708" t="str">
        <f>"E1733-2"</f>
        <v>E1733-2</v>
      </c>
      <c r="B708" t="str">
        <f>"VIA BARTOLOMEO BIANCO  8-"</f>
        <v>VIA BARTOLOMEO BIANCO  8-</v>
      </c>
      <c r="C708" t="str">
        <f t="shared" si="78"/>
        <v>1</v>
      </c>
      <c r="D708">
        <v>11</v>
      </c>
      <c r="E708" t="str">
        <f>"253"</f>
        <v>253</v>
      </c>
      <c r="F708" t="str">
        <f t="shared" si="79"/>
        <v>0000</v>
      </c>
    </row>
    <row r="709" spans="1:6">
      <c r="C709" t="str">
        <f t="shared" si="78"/>
        <v>1</v>
      </c>
      <c r="D709">
        <v>11</v>
      </c>
      <c r="E709" t="str">
        <f>"254"</f>
        <v>254</v>
      </c>
      <c r="F709" t="str">
        <f t="shared" si="79"/>
        <v>0000</v>
      </c>
    </row>
    <row r="710" spans="1:6">
      <c r="C710" t="str">
        <f t="shared" si="78"/>
        <v>1</v>
      </c>
      <c r="D710">
        <v>11</v>
      </c>
      <c r="E710" t="str">
        <f>"255"</f>
        <v>255</v>
      </c>
      <c r="F710" t="str">
        <f t="shared" si="79"/>
        <v>0000</v>
      </c>
    </row>
    <row r="711" spans="1:6">
      <c r="C711" t="str">
        <f t="shared" si="78"/>
        <v>1</v>
      </c>
      <c r="D711">
        <v>11</v>
      </c>
      <c r="E711" t="str">
        <f>"400"</f>
        <v>400</v>
      </c>
      <c r="F711" t="str">
        <f t="shared" si="79"/>
        <v>0000</v>
      </c>
    </row>
    <row r="712" spans="1:6">
      <c r="C712" t="str">
        <f t="shared" si="78"/>
        <v>1</v>
      </c>
      <c r="D712">
        <v>11</v>
      </c>
      <c r="E712" t="str">
        <f>"473"</f>
        <v>473</v>
      </c>
      <c r="F712" t="str">
        <f t="shared" si="79"/>
        <v>0000</v>
      </c>
    </row>
    <row r="713" spans="1:6">
      <c r="C713" t="str">
        <f t="shared" si="78"/>
        <v>1</v>
      </c>
      <c r="D713">
        <v>11</v>
      </c>
      <c r="E713" t="str">
        <f>"99999"</f>
        <v>99999</v>
      </c>
      <c r="F713" t="str">
        <f t="shared" si="79"/>
        <v>0000</v>
      </c>
    </row>
    <row r="714" spans="1:6">
      <c r="C714" t="str">
        <f t="shared" si="78"/>
        <v>1</v>
      </c>
      <c r="D714">
        <v>11</v>
      </c>
      <c r="E714" t="str">
        <f>"401"</f>
        <v>401</v>
      </c>
      <c r="F714" t="str">
        <f t="shared" si="79"/>
        <v>0000</v>
      </c>
    </row>
    <row r="715" spans="1:6">
      <c r="A715" t="str">
        <f>"E1734-1"</f>
        <v>E1734-1</v>
      </c>
      <c r="B715" t="str">
        <f>"CORSO AURELIO SAFFI  71R-"</f>
        <v>CORSO AURELIO SAFFI  71R-</v>
      </c>
      <c r="C715" t="str">
        <f t="shared" ref="C715:C727" si="80">"GEA"</f>
        <v>GEA</v>
      </c>
      <c r="D715">
        <v>88</v>
      </c>
      <c r="E715" t="str">
        <f>"16"</f>
        <v>16</v>
      </c>
      <c r="F715" t="str">
        <f t="shared" si="79"/>
        <v>0000</v>
      </c>
    </row>
    <row r="716" spans="1:6">
      <c r="C716" t="str">
        <f t="shared" si="80"/>
        <v>GEA</v>
      </c>
      <c r="D716">
        <v>88</v>
      </c>
      <c r="E716" t="str">
        <f>"34"</f>
        <v>34</v>
      </c>
      <c r="F716" t="str">
        <f t="shared" si="79"/>
        <v>0000</v>
      </c>
    </row>
    <row r="717" spans="1:6">
      <c r="C717" t="str">
        <f t="shared" si="80"/>
        <v>GEA</v>
      </c>
      <c r="D717">
        <v>88</v>
      </c>
      <c r="E717" t="str">
        <f>"33"</f>
        <v>33</v>
      </c>
      <c r="F717" t="str">
        <f t="shared" si="79"/>
        <v>0000</v>
      </c>
    </row>
    <row r="718" spans="1:6">
      <c r="C718" t="str">
        <f t="shared" si="80"/>
        <v>GEA</v>
      </c>
      <c r="D718">
        <v>88</v>
      </c>
      <c r="E718" t="str">
        <f>"32"</f>
        <v>32</v>
      </c>
      <c r="F718" t="str">
        <f t="shared" si="79"/>
        <v>0000</v>
      </c>
    </row>
    <row r="719" spans="1:6">
      <c r="C719" t="str">
        <f t="shared" si="80"/>
        <v>GEA</v>
      </c>
      <c r="D719">
        <v>88</v>
      </c>
      <c r="E719" t="str">
        <f>"35"</f>
        <v>35</v>
      </c>
      <c r="F719" t="str">
        <f t="shared" si="79"/>
        <v>0000</v>
      </c>
    </row>
    <row r="720" spans="1:6">
      <c r="C720" t="str">
        <f t="shared" si="80"/>
        <v>GEA</v>
      </c>
      <c r="D720">
        <v>88</v>
      </c>
      <c r="E720" t="str">
        <f>"37"</f>
        <v>37</v>
      </c>
      <c r="F720" t="str">
        <f t="shared" si="79"/>
        <v>0000</v>
      </c>
    </row>
    <row r="721" spans="1:6">
      <c r="C721" t="str">
        <f t="shared" si="80"/>
        <v>GEA</v>
      </c>
      <c r="D721">
        <v>88</v>
      </c>
      <c r="E721" t="str">
        <f>"39"</f>
        <v>39</v>
      </c>
      <c r="F721" t="str">
        <f t="shared" si="79"/>
        <v>0000</v>
      </c>
    </row>
    <row r="722" spans="1:6">
      <c r="C722" t="str">
        <f t="shared" si="80"/>
        <v>GEA</v>
      </c>
      <c r="D722">
        <v>88</v>
      </c>
      <c r="E722" t="str">
        <f>"43"</f>
        <v>43</v>
      </c>
      <c r="F722" t="str">
        <f t="shared" si="79"/>
        <v>0000</v>
      </c>
    </row>
    <row r="723" spans="1:6">
      <c r="C723" t="str">
        <f t="shared" si="80"/>
        <v>GEA</v>
      </c>
      <c r="D723">
        <v>88</v>
      </c>
      <c r="E723" t="str">
        <f>"40"</f>
        <v>40</v>
      </c>
      <c r="F723" t="str">
        <f t="shared" si="79"/>
        <v>0000</v>
      </c>
    </row>
    <row r="724" spans="1:6">
      <c r="C724" t="str">
        <f t="shared" si="80"/>
        <v>GEA</v>
      </c>
      <c r="D724">
        <v>88</v>
      </c>
      <c r="E724" t="str">
        <f>"38"</f>
        <v>38</v>
      </c>
      <c r="F724" t="str">
        <f t="shared" si="79"/>
        <v>0000</v>
      </c>
    </row>
    <row r="725" spans="1:6">
      <c r="C725" t="str">
        <f t="shared" si="80"/>
        <v>GEA</v>
      </c>
      <c r="D725">
        <v>88</v>
      </c>
      <c r="E725" t="str">
        <f>"36"</f>
        <v>36</v>
      </c>
      <c r="F725" t="str">
        <f t="shared" si="79"/>
        <v>0000</v>
      </c>
    </row>
    <row r="726" spans="1:6">
      <c r="A726" t="str">
        <f>"E1735-1"</f>
        <v>E1735-1</v>
      </c>
      <c r="B726" t="str">
        <f>"VIA DELLA MADRE DI DIO  12-"</f>
        <v>VIA DELLA MADRE DI DIO  12-</v>
      </c>
      <c r="C726" t="str">
        <f t="shared" si="80"/>
        <v>GEA</v>
      </c>
      <c r="D726">
        <v>85</v>
      </c>
      <c r="E726" t="str">
        <f>"180"</f>
        <v>180</v>
      </c>
      <c r="F726" t="str">
        <f>"6"</f>
        <v>6</v>
      </c>
    </row>
    <row r="727" spans="1:6">
      <c r="A727" t="str">
        <f>"E1735-2"</f>
        <v>E1735-2</v>
      </c>
      <c r="B727" t="str">
        <f>"VIA DELLA MADRE DI DIO  12-"</f>
        <v>VIA DELLA MADRE DI DIO  12-</v>
      </c>
      <c r="C727" t="str">
        <f t="shared" si="80"/>
        <v>GEA</v>
      </c>
      <c r="D727">
        <v>85</v>
      </c>
      <c r="E727" t="str">
        <f>"180"</f>
        <v>180</v>
      </c>
      <c r="F727" t="str">
        <f>"8"</f>
        <v>8</v>
      </c>
    </row>
    <row r="728" spans="1:6">
      <c r="A728" t="str">
        <f>"E1736-1"</f>
        <v>E1736-1</v>
      </c>
      <c r="B728" t="str">
        <f>"CORSO AURELIO SAFFI  68R-"</f>
        <v>CORSO AURELIO SAFFI  68R-</v>
      </c>
      <c r="C728" t="str">
        <f t="shared" ref="C728:C737" si="81">"1"</f>
        <v>1</v>
      </c>
      <c r="D728">
        <v>83</v>
      </c>
      <c r="E728" t="str">
        <f>"425"</f>
        <v>425</v>
      </c>
      <c r="F728" t="str">
        <f t="shared" ref="F728:F763" si="82">"0000"</f>
        <v>0000</v>
      </c>
    </row>
    <row r="729" spans="1:6">
      <c r="C729" t="str">
        <f t="shared" si="81"/>
        <v>1</v>
      </c>
      <c r="D729">
        <v>83</v>
      </c>
      <c r="E729" t="str">
        <f>"428"</f>
        <v>428</v>
      </c>
      <c r="F729" t="str">
        <f t="shared" si="82"/>
        <v>0000</v>
      </c>
    </row>
    <row r="730" spans="1:6">
      <c r="C730" t="str">
        <f t="shared" si="81"/>
        <v>1</v>
      </c>
      <c r="D730">
        <v>83</v>
      </c>
      <c r="E730" t="str">
        <f>"429"</f>
        <v>429</v>
      </c>
      <c r="F730" t="str">
        <f t="shared" si="82"/>
        <v>0000</v>
      </c>
    </row>
    <row r="731" spans="1:6">
      <c r="C731" t="str">
        <f t="shared" si="81"/>
        <v>1</v>
      </c>
      <c r="D731">
        <v>83</v>
      </c>
      <c r="E731" t="str">
        <f>"427"</f>
        <v>427</v>
      </c>
      <c r="F731" t="str">
        <f t="shared" si="82"/>
        <v>0000</v>
      </c>
    </row>
    <row r="732" spans="1:6">
      <c r="C732" t="str">
        <f t="shared" si="81"/>
        <v>1</v>
      </c>
      <c r="D732">
        <v>83</v>
      </c>
      <c r="E732" t="str">
        <f>"426"</f>
        <v>426</v>
      </c>
      <c r="F732" t="str">
        <f t="shared" si="82"/>
        <v>0000</v>
      </c>
    </row>
    <row r="733" spans="1:6">
      <c r="A733" t="str">
        <f>"E1736-2"</f>
        <v>E1736-2</v>
      </c>
      <c r="B733" t="str">
        <f>"CORSO AURELIO SAFFI  70R-"</f>
        <v>CORSO AURELIO SAFFI  70R-</v>
      </c>
      <c r="C733" t="str">
        <f t="shared" si="81"/>
        <v>1</v>
      </c>
      <c r="D733">
        <v>83</v>
      </c>
      <c r="E733" t="str">
        <f>"425"</f>
        <v>425</v>
      </c>
      <c r="F733" t="str">
        <f t="shared" si="82"/>
        <v>0000</v>
      </c>
    </row>
    <row r="734" spans="1:6">
      <c r="C734" t="str">
        <f t="shared" si="81"/>
        <v>1</v>
      </c>
      <c r="D734">
        <v>83</v>
      </c>
      <c r="E734" t="str">
        <f>"426"</f>
        <v>426</v>
      </c>
      <c r="F734" t="str">
        <f t="shared" si="82"/>
        <v>0000</v>
      </c>
    </row>
    <row r="735" spans="1:6">
      <c r="C735" t="str">
        <f t="shared" si="81"/>
        <v>1</v>
      </c>
      <c r="D735">
        <v>83</v>
      </c>
      <c r="E735" t="str">
        <f>"427"</f>
        <v>427</v>
      </c>
      <c r="F735" t="str">
        <f t="shared" si="82"/>
        <v>0000</v>
      </c>
    </row>
    <row r="736" spans="1:6">
      <c r="C736" t="str">
        <f t="shared" si="81"/>
        <v>1</v>
      </c>
      <c r="D736">
        <v>83</v>
      </c>
      <c r="E736" t="str">
        <f>"429"</f>
        <v>429</v>
      </c>
      <c r="F736" t="str">
        <f t="shared" si="82"/>
        <v>0000</v>
      </c>
    </row>
    <row r="737" spans="1:6">
      <c r="C737" t="str">
        <f t="shared" si="81"/>
        <v>1</v>
      </c>
      <c r="D737">
        <v>83</v>
      </c>
      <c r="E737" t="str">
        <f>"428"</f>
        <v>428</v>
      </c>
      <c r="F737" t="str">
        <f t="shared" si="82"/>
        <v>0000</v>
      </c>
    </row>
    <row r="738" spans="1:6">
      <c r="A738" t="str">
        <f>"E1737-1"</f>
        <v>E1737-1</v>
      </c>
      <c r="B738" t="str">
        <f>"CORSO AURELIO SAFFI  67R-"</f>
        <v>CORSO AURELIO SAFFI  67R-</v>
      </c>
      <c r="C738" t="str">
        <f>"GEA"</f>
        <v>GEA</v>
      </c>
      <c r="D738">
        <v>99</v>
      </c>
      <c r="E738" t="str">
        <f>"195"</f>
        <v>195</v>
      </c>
      <c r="F738" t="str">
        <f t="shared" si="82"/>
        <v>0000</v>
      </c>
    </row>
    <row r="739" spans="1:6">
      <c r="A739" t="str">
        <f>"E1737-2"</f>
        <v>E1737-2</v>
      </c>
      <c r="B739" t="str">
        <f>"CORSO AURELIO SAFFI VICINO AL 65R-"</f>
        <v>CORSO AURELIO SAFFI VICINO AL 65R-</v>
      </c>
      <c r="C739" t="str">
        <f t="shared" ref="C739:C758" si="83">"1"</f>
        <v>1</v>
      </c>
      <c r="D739">
        <v>83</v>
      </c>
      <c r="E739" t="str">
        <f>"456"</f>
        <v>456</v>
      </c>
      <c r="F739" t="str">
        <f t="shared" si="82"/>
        <v>0000</v>
      </c>
    </row>
    <row r="740" spans="1:6">
      <c r="C740" t="str">
        <f t="shared" si="83"/>
        <v>1</v>
      </c>
      <c r="D740">
        <v>83</v>
      </c>
      <c r="E740" t="str">
        <f>"568"</f>
        <v>568</v>
      </c>
      <c r="F740" t="str">
        <f t="shared" si="82"/>
        <v>0000</v>
      </c>
    </row>
    <row r="741" spans="1:6">
      <c r="C741" t="str">
        <f t="shared" si="83"/>
        <v>1</v>
      </c>
      <c r="D741">
        <v>83</v>
      </c>
      <c r="E741" t="str">
        <f>"458"</f>
        <v>458</v>
      </c>
      <c r="F741" t="str">
        <f t="shared" si="82"/>
        <v>0000</v>
      </c>
    </row>
    <row r="742" spans="1:6">
      <c r="C742" t="str">
        <f t="shared" si="83"/>
        <v>1</v>
      </c>
      <c r="D742">
        <v>83</v>
      </c>
      <c r="E742" t="str">
        <f>"457"</f>
        <v>457</v>
      </c>
      <c r="F742" t="str">
        <f t="shared" si="82"/>
        <v>0000</v>
      </c>
    </row>
    <row r="743" spans="1:6">
      <c r="C743" t="str">
        <f t="shared" si="83"/>
        <v>1</v>
      </c>
      <c r="D743">
        <v>83</v>
      </c>
      <c r="E743" t="str">
        <f>"570"</f>
        <v>570</v>
      </c>
      <c r="F743" t="str">
        <f t="shared" si="82"/>
        <v>0000</v>
      </c>
    </row>
    <row r="744" spans="1:6">
      <c r="A744" t="str">
        <f>"E1737-3"</f>
        <v>E1737-3</v>
      </c>
      <c r="B744" t="str">
        <f>"CORSO AURELIO SAFFI  65R-"</f>
        <v>CORSO AURELIO SAFFI  65R-</v>
      </c>
      <c r="C744" t="str">
        <f t="shared" si="83"/>
        <v>1</v>
      </c>
      <c r="D744">
        <v>83</v>
      </c>
      <c r="E744" t="str">
        <f>"456"</f>
        <v>456</v>
      </c>
      <c r="F744" t="str">
        <f t="shared" si="82"/>
        <v>0000</v>
      </c>
    </row>
    <row r="745" spans="1:6">
      <c r="C745" t="str">
        <f t="shared" si="83"/>
        <v>1</v>
      </c>
      <c r="D745">
        <v>83</v>
      </c>
      <c r="E745" t="str">
        <f>"568"</f>
        <v>568</v>
      </c>
      <c r="F745" t="str">
        <f t="shared" si="82"/>
        <v>0000</v>
      </c>
    </row>
    <row r="746" spans="1:6">
      <c r="C746" t="str">
        <f t="shared" si="83"/>
        <v>1</v>
      </c>
      <c r="D746">
        <v>83</v>
      </c>
      <c r="E746" t="str">
        <f>"570"</f>
        <v>570</v>
      </c>
      <c r="F746" t="str">
        <f t="shared" si="82"/>
        <v>0000</v>
      </c>
    </row>
    <row r="747" spans="1:6">
      <c r="C747" t="str">
        <f t="shared" si="83"/>
        <v>1</v>
      </c>
      <c r="D747">
        <v>83</v>
      </c>
      <c r="E747" t="str">
        <f>"458"</f>
        <v>458</v>
      </c>
      <c r="F747" t="str">
        <f t="shared" si="82"/>
        <v>0000</v>
      </c>
    </row>
    <row r="748" spans="1:6">
      <c r="C748" t="str">
        <f t="shared" si="83"/>
        <v>1</v>
      </c>
      <c r="D748">
        <v>83</v>
      </c>
      <c r="E748" t="str">
        <f>"457"</f>
        <v>457</v>
      </c>
      <c r="F748" t="str">
        <f t="shared" si="82"/>
        <v>0000</v>
      </c>
    </row>
    <row r="749" spans="1:6">
      <c r="A749" t="str">
        <f>"E1737-4"</f>
        <v>E1737-4</v>
      </c>
      <c r="B749" t="str">
        <f>"CORSO AURELIO SAFFI  65R-"</f>
        <v>CORSO AURELIO SAFFI  65R-</v>
      </c>
      <c r="C749" t="str">
        <f t="shared" si="83"/>
        <v>1</v>
      </c>
      <c r="D749">
        <v>83</v>
      </c>
      <c r="E749" t="str">
        <f>"456"</f>
        <v>456</v>
      </c>
      <c r="F749" t="str">
        <f t="shared" si="82"/>
        <v>0000</v>
      </c>
    </row>
    <row r="750" spans="1:6">
      <c r="C750" t="str">
        <f t="shared" si="83"/>
        <v>1</v>
      </c>
      <c r="D750">
        <v>83</v>
      </c>
      <c r="E750" t="str">
        <f>"457"</f>
        <v>457</v>
      </c>
      <c r="F750" t="str">
        <f t="shared" si="82"/>
        <v>0000</v>
      </c>
    </row>
    <row r="751" spans="1:6">
      <c r="C751" t="str">
        <f t="shared" si="83"/>
        <v>1</v>
      </c>
      <c r="D751">
        <v>83</v>
      </c>
      <c r="E751" t="str">
        <f>"458"</f>
        <v>458</v>
      </c>
      <c r="F751" t="str">
        <f t="shared" si="82"/>
        <v>0000</v>
      </c>
    </row>
    <row r="752" spans="1:6">
      <c r="C752" t="str">
        <f t="shared" si="83"/>
        <v>1</v>
      </c>
      <c r="D752">
        <v>83</v>
      </c>
      <c r="E752" t="str">
        <f>"570"</f>
        <v>570</v>
      </c>
      <c r="F752" t="str">
        <f t="shared" si="82"/>
        <v>0000</v>
      </c>
    </row>
    <row r="753" spans="1:6">
      <c r="C753" t="str">
        <f t="shared" si="83"/>
        <v>1</v>
      </c>
      <c r="D753">
        <v>83</v>
      </c>
      <c r="E753" t="str">
        <f>"568"</f>
        <v>568</v>
      </c>
      <c r="F753" t="str">
        <f t="shared" si="82"/>
        <v>0000</v>
      </c>
    </row>
    <row r="754" spans="1:6">
      <c r="A754" t="str">
        <f>"E1737-5"</f>
        <v>E1737-5</v>
      </c>
      <c r="B754" t="str">
        <f>"CORSO AURELIO SAFFI VICINO AL 65R-"</f>
        <v>CORSO AURELIO SAFFI VICINO AL 65R-</v>
      </c>
      <c r="C754" t="str">
        <f t="shared" si="83"/>
        <v>1</v>
      </c>
      <c r="D754">
        <v>83</v>
      </c>
      <c r="E754" t="str">
        <f>"456"</f>
        <v>456</v>
      </c>
      <c r="F754" t="str">
        <f t="shared" si="82"/>
        <v>0000</v>
      </c>
    </row>
    <row r="755" spans="1:6">
      <c r="C755" t="str">
        <f t="shared" si="83"/>
        <v>1</v>
      </c>
      <c r="D755">
        <v>83</v>
      </c>
      <c r="E755" t="str">
        <f>"457"</f>
        <v>457</v>
      </c>
      <c r="F755" t="str">
        <f t="shared" si="82"/>
        <v>0000</v>
      </c>
    </row>
    <row r="756" spans="1:6">
      <c r="C756" t="str">
        <f t="shared" si="83"/>
        <v>1</v>
      </c>
      <c r="D756">
        <v>83</v>
      </c>
      <c r="E756" t="str">
        <f>"570"</f>
        <v>570</v>
      </c>
      <c r="F756" t="str">
        <f t="shared" si="82"/>
        <v>0000</v>
      </c>
    </row>
    <row r="757" spans="1:6">
      <c r="C757" t="str">
        <f t="shared" si="83"/>
        <v>1</v>
      </c>
      <c r="D757">
        <v>83</v>
      </c>
      <c r="E757" t="str">
        <f>"568"</f>
        <v>568</v>
      </c>
      <c r="F757" t="str">
        <f t="shared" si="82"/>
        <v>0000</v>
      </c>
    </row>
    <row r="758" spans="1:6">
      <c r="C758" t="str">
        <f t="shared" si="83"/>
        <v>1</v>
      </c>
      <c r="D758">
        <v>83</v>
      </c>
      <c r="E758" t="str">
        <f>"458"</f>
        <v>458</v>
      </c>
      <c r="F758" t="str">
        <f t="shared" si="82"/>
        <v>0000</v>
      </c>
    </row>
    <row r="759" spans="1:6">
      <c r="A759" t="str">
        <f>"E1738-1"</f>
        <v>E1738-1</v>
      </c>
      <c r="B759" t="str">
        <f>"VIA FIODOR  2-"</f>
        <v>VIA FIODOR  2-</v>
      </c>
      <c r="C759" t="str">
        <f>"GEA"</f>
        <v>GEA</v>
      </c>
      <c r="D759">
        <v>99</v>
      </c>
      <c r="E759" t="str">
        <f>"55"</f>
        <v>55</v>
      </c>
      <c r="F759" t="str">
        <f t="shared" si="82"/>
        <v>0000</v>
      </c>
    </row>
    <row r="760" spans="1:6">
      <c r="A760" t="str">
        <f>"E1742-1"</f>
        <v>E1742-1</v>
      </c>
      <c r="B760" t="str">
        <f>"VIA BARTOLOMEO BOSCO VICINO AL 57-"</f>
        <v>VIA BARTOLOMEO BOSCO VICINO AL 57-</v>
      </c>
      <c r="C760" t="str">
        <f>"1"</f>
        <v>1</v>
      </c>
      <c r="D760">
        <v>68</v>
      </c>
      <c r="E760" t="str">
        <f>"99999"</f>
        <v>99999</v>
      </c>
      <c r="F760" t="str">
        <f t="shared" si="82"/>
        <v>0000</v>
      </c>
    </row>
    <row r="761" spans="1:6">
      <c r="A761" t="str">
        <f>"E1743-1"</f>
        <v>E1743-1</v>
      </c>
      <c r="B761" t="str">
        <f>"POGGIO GIOVINE ITALIA  1-"</f>
        <v>POGGIO GIOVINE ITALIA  1-</v>
      </c>
      <c r="C761" t="str">
        <f>"GEA"</f>
        <v>GEA</v>
      </c>
      <c r="D761">
        <v>99</v>
      </c>
      <c r="E761" t="str">
        <f>"239"</f>
        <v>239</v>
      </c>
      <c r="F761" t="str">
        <f t="shared" si="82"/>
        <v>0000</v>
      </c>
    </row>
    <row r="762" spans="1:6">
      <c r="A762" t="str">
        <f>"E1743-2"</f>
        <v>E1743-2</v>
      </c>
      <c r="B762" t="str">
        <f>"CORSO AURELIO SAFFI  62R-"</f>
        <v>CORSO AURELIO SAFFI  62R-</v>
      </c>
      <c r="C762" t="str">
        <f>"GEA"</f>
        <v>GEA</v>
      </c>
      <c r="D762">
        <v>99</v>
      </c>
      <c r="E762" t="str">
        <f>"238"</f>
        <v>238</v>
      </c>
      <c r="F762" t="str">
        <f t="shared" si="82"/>
        <v>0000</v>
      </c>
    </row>
    <row r="763" spans="1:6">
      <c r="A763" t="str">
        <f>"E1743-3"</f>
        <v>E1743-3</v>
      </c>
      <c r="B763" t="str">
        <f>"CORSO AURELIO SAFFI  64R-"</f>
        <v>CORSO AURELIO SAFFI  64R-</v>
      </c>
      <c r="C763" t="str">
        <f>"GEA"</f>
        <v>GEA</v>
      </c>
      <c r="D763">
        <v>99</v>
      </c>
      <c r="E763" t="str">
        <f>"237"</f>
        <v>237</v>
      </c>
      <c r="F763" t="str">
        <f t="shared" si="82"/>
        <v>0000</v>
      </c>
    </row>
    <row r="764" spans="1:6">
      <c r="A764" t="str">
        <f>"E1744-4"</f>
        <v>E1744-4</v>
      </c>
      <c r="B764" t="str">
        <f>"VIA DEGLI ARCHI  19R-"</f>
        <v>VIA DEGLI ARCHI  19R-</v>
      </c>
      <c r="C764" t="str">
        <f>"GEA"</f>
        <v>GEA</v>
      </c>
      <c r="D764">
        <v>106</v>
      </c>
      <c r="E764" t="str">
        <f>"485"</f>
        <v>485</v>
      </c>
      <c r="F764" t="str">
        <f>"11"</f>
        <v>11</v>
      </c>
    </row>
    <row r="765" spans="1:6">
      <c r="A765" t="str">
        <f>"E1745-3"</f>
        <v>E1745-3</v>
      </c>
      <c r="B765" t="str">
        <f>"VIA DEGLI ARCHI  27R-"</f>
        <v>VIA DEGLI ARCHI  27R-</v>
      </c>
      <c r="C765" t="str">
        <f>"1"</f>
        <v>1</v>
      </c>
      <c r="D765">
        <v>84</v>
      </c>
      <c r="E765" t="str">
        <f>"3"</f>
        <v>3</v>
      </c>
      <c r="F765" t="str">
        <f>"0000"</f>
        <v>0000</v>
      </c>
    </row>
    <row r="766" spans="1:6">
      <c r="A766" t="str">
        <f>"E1746-1"</f>
        <v>E1746-1</v>
      </c>
      <c r="B766" t="str">
        <f>"VIA DEGLI ARCHI  39R-"</f>
        <v>VIA DEGLI ARCHI  39R-</v>
      </c>
      <c r="C766" t="str">
        <f t="shared" ref="C766:C772" si="84">"GEA"</f>
        <v>GEA</v>
      </c>
      <c r="D766">
        <v>98</v>
      </c>
      <c r="E766" t="str">
        <f t="shared" ref="E766:E771" si="85">"208"</f>
        <v>208</v>
      </c>
      <c r="F766" t="str">
        <f>"10"</f>
        <v>10</v>
      </c>
    </row>
    <row r="767" spans="1:6">
      <c r="A767" t="str">
        <f>"E1746-2"</f>
        <v>E1746-2</v>
      </c>
      <c r="B767" t="str">
        <f>"VIA DEGLI ARCHI  39R-"</f>
        <v>VIA DEGLI ARCHI  39R-</v>
      </c>
      <c r="C767" t="str">
        <f t="shared" si="84"/>
        <v>GEA</v>
      </c>
      <c r="D767">
        <v>98</v>
      </c>
      <c r="E767" t="str">
        <f t="shared" si="85"/>
        <v>208</v>
      </c>
      <c r="F767" t="str">
        <f>"11"</f>
        <v>11</v>
      </c>
    </row>
    <row r="768" spans="1:6">
      <c r="A768" t="str">
        <f>"E1746-3"</f>
        <v>E1746-3</v>
      </c>
      <c r="B768" t="str">
        <f>"VIA DEGLI ARCHI  41R-"</f>
        <v>VIA DEGLI ARCHI  41R-</v>
      </c>
      <c r="C768" t="str">
        <f t="shared" si="84"/>
        <v>GEA</v>
      </c>
      <c r="D768">
        <v>98</v>
      </c>
      <c r="E768" t="str">
        <f t="shared" si="85"/>
        <v>208</v>
      </c>
      <c r="F768" t="str">
        <f>"12"</f>
        <v>12</v>
      </c>
    </row>
    <row r="769" spans="1:6">
      <c r="A769" t="str">
        <f>"E1746-9"</f>
        <v>E1746-9</v>
      </c>
      <c r="B769" t="str">
        <f>"VIA DEGLI ARCHI  51R-"</f>
        <v>VIA DEGLI ARCHI  51R-</v>
      </c>
      <c r="C769" t="str">
        <f t="shared" si="84"/>
        <v>GEA</v>
      </c>
      <c r="D769">
        <v>98</v>
      </c>
      <c r="E769" t="str">
        <f t="shared" si="85"/>
        <v>208</v>
      </c>
      <c r="F769" t="str">
        <f>"18"</f>
        <v>18</v>
      </c>
    </row>
    <row r="770" spans="1:6">
      <c r="A770" t="str">
        <f>"E1746-10"</f>
        <v>E1746-10</v>
      </c>
      <c r="B770" t="str">
        <f>"VIA DEGLI ARCHI  47R-"</f>
        <v>VIA DEGLI ARCHI  47R-</v>
      </c>
      <c r="C770" t="str">
        <f t="shared" si="84"/>
        <v>GEA</v>
      </c>
      <c r="D770">
        <v>98</v>
      </c>
      <c r="E770" t="str">
        <f t="shared" si="85"/>
        <v>208</v>
      </c>
      <c r="F770" t="str">
        <f>"16"</f>
        <v>16</v>
      </c>
    </row>
    <row r="771" spans="1:6">
      <c r="C771" t="str">
        <f t="shared" si="84"/>
        <v>GEA</v>
      </c>
      <c r="D771">
        <v>98</v>
      </c>
      <c r="E771" t="str">
        <f t="shared" si="85"/>
        <v>208</v>
      </c>
      <c r="F771" t="str">
        <f>"17"</f>
        <v>17</v>
      </c>
    </row>
    <row r="772" spans="1:6">
      <c r="A772" t="str">
        <f>"E1747-1"</f>
        <v>E1747-1</v>
      </c>
      <c r="B772" t="str">
        <f>"VIA INNOCENZO FRUGONI  51R-"</f>
        <v>VIA INNOCENZO FRUGONI  51R-</v>
      </c>
      <c r="C772" t="str">
        <f t="shared" si="84"/>
        <v>GEA</v>
      </c>
      <c r="D772">
        <v>98</v>
      </c>
      <c r="E772" t="str">
        <f>"224"</f>
        <v>224</v>
      </c>
      <c r="F772" t="str">
        <f>"1"</f>
        <v>1</v>
      </c>
    </row>
    <row r="773" spans="1:6">
      <c r="A773" t="str">
        <f>"E1755-1"</f>
        <v>E1755-1</v>
      </c>
      <c r="B773" t="str">
        <f>"VIA OBERTO CANCELLIERE VICINO AL 18-"</f>
        <v>VIA OBERTO CANCELLIERE VICINO AL 18-</v>
      </c>
      <c r="C773" t="str">
        <f>"GEC"</f>
        <v>GEC</v>
      </c>
      <c r="D773">
        <v>12</v>
      </c>
      <c r="E773" t="str">
        <f>"257"</f>
        <v>257</v>
      </c>
      <c r="F773" t="str">
        <f t="shared" ref="F773:F783" si="86">"0000"</f>
        <v>0000</v>
      </c>
    </row>
    <row r="774" spans="1:6">
      <c r="A774" t="str">
        <f>"E1758-1"</f>
        <v>E1758-1</v>
      </c>
      <c r="B774" t="str">
        <f>"VIA SAN BARTOLOMEO ARMENI VICINO AL 36-"</f>
        <v>VIA SAN BARTOLOMEO ARMENI VICINO AL 36-</v>
      </c>
      <c r="C774" t="str">
        <f>"1"</f>
        <v>1</v>
      </c>
      <c r="D774">
        <v>47</v>
      </c>
      <c r="E774" t="str">
        <f>"99999"</f>
        <v>99999</v>
      </c>
      <c r="F774" t="str">
        <f t="shared" si="86"/>
        <v>0000</v>
      </c>
    </row>
    <row r="775" spans="1:6">
      <c r="A775" t="str">
        <f>"E1759-1"</f>
        <v>E1759-1</v>
      </c>
      <c r="B775" t="str">
        <f>"SALITA DI SAN GEROLAMO VICINO AL 4-"</f>
        <v>SALITA DI SAN GEROLAMO VICINO AL 4-</v>
      </c>
      <c r="C775" t="str">
        <f>"1"</f>
        <v>1</v>
      </c>
      <c r="D775">
        <v>46</v>
      </c>
      <c r="E775" t="str">
        <f>"99999"</f>
        <v>99999</v>
      </c>
      <c r="F775" t="str">
        <f t="shared" si="86"/>
        <v>0000</v>
      </c>
    </row>
    <row r="776" spans="1:6">
      <c r="A776" t="str">
        <f>"E1762-1"</f>
        <v>E1762-1</v>
      </c>
      <c r="B776" t="str">
        <f>"CORSO DOGALI VICINO AL 11A-"</f>
        <v>CORSO DOGALI VICINO AL 11A-</v>
      </c>
      <c r="C776" t="str">
        <f>"1"</f>
        <v>1</v>
      </c>
      <c r="D776">
        <v>32</v>
      </c>
      <c r="E776" t="str">
        <f>"99999"</f>
        <v>99999</v>
      </c>
      <c r="F776" t="str">
        <f t="shared" si="86"/>
        <v>0000</v>
      </c>
    </row>
    <row r="777" spans="1:6">
      <c r="A777" t="str">
        <f>"E1767-1"</f>
        <v>E1767-1</v>
      </c>
      <c r="B777" t="str">
        <f>"VIA PARCO DEL PERALTO VICINO AL 30-"</f>
        <v>VIA PARCO DEL PERALTO VICINO AL 30-</v>
      </c>
      <c r="C777" t="str">
        <f>"GEC"</f>
        <v>GEC</v>
      </c>
      <c r="D777">
        <v>1</v>
      </c>
      <c r="E777" t="str">
        <f>"B"</f>
        <v>B</v>
      </c>
      <c r="F777" t="str">
        <f t="shared" si="86"/>
        <v>0000</v>
      </c>
    </row>
    <row r="778" spans="1:6">
      <c r="A778" t="str">
        <f>"E1768-1"</f>
        <v>E1768-1</v>
      </c>
      <c r="B778" t="str">
        <f>"VIA PARCO DEL PERALTO VICINO AL 30-"</f>
        <v>VIA PARCO DEL PERALTO VICINO AL 30-</v>
      </c>
      <c r="C778" t="str">
        <f>"GEC"</f>
        <v>GEC</v>
      </c>
      <c r="D778">
        <v>1</v>
      </c>
      <c r="E778" t="str">
        <f>"10"</f>
        <v>10</v>
      </c>
      <c r="F778" t="str">
        <f t="shared" si="86"/>
        <v>0000</v>
      </c>
    </row>
    <row r="779" spans="1:6">
      <c r="A779" t="str">
        <f>"E1769-1"</f>
        <v>E1769-1</v>
      </c>
      <c r="B779" t="str">
        <f>"VIA PARCO DEL PERALTO  30-"</f>
        <v>VIA PARCO DEL PERALTO  30-</v>
      </c>
      <c r="C779" t="str">
        <f>"GEC"</f>
        <v>GEC</v>
      </c>
      <c r="D779">
        <v>1</v>
      </c>
      <c r="E779" t="str">
        <f>"131"</f>
        <v>131</v>
      </c>
      <c r="F779" t="str">
        <f t="shared" si="86"/>
        <v>0000</v>
      </c>
    </row>
    <row r="780" spans="1:6">
      <c r="A780" t="str">
        <f>"E1770-1"</f>
        <v>E1770-1</v>
      </c>
      <c r="B780" t="str">
        <f>"VIA DEL PERALTO  4-"</f>
        <v>VIA DEL PERALTO  4-</v>
      </c>
      <c r="C780" t="str">
        <f>"1"</f>
        <v>1</v>
      </c>
      <c r="D780">
        <v>7</v>
      </c>
      <c r="E780" t="str">
        <f>"62"</f>
        <v>62</v>
      </c>
      <c r="F780" t="str">
        <f t="shared" si="86"/>
        <v>0000</v>
      </c>
    </row>
    <row r="781" spans="1:6">
      <c r="A781" t="str">
        <f>"E1770-2"</f>
        <v>E1770-2</v>
      </c>
      <c r="B781" t="str">
        <f>"VIA DEL PERALTO  6-"</f>
        <v>VIA DEL PERALTO  6-</v>
      </c>
      <c r="C781" t="str">
        <f>"1"</f>
        <v>1</v>
      </c>
      <c r="D781">
        <v>7</v>
      </c>
      <c r="E781" t="str">
        <f>"62"</f>
        <v>62</v>
      </c>
      <c r="F781" t="str">
        <f t="shared" si="86"/>
        <v>0000</v>
      </c>
    </row>
    <row r="782" spans="1:6">
      <c r="A782" t="str">
        <f>"E1770-3"</f>
        <v>E1770-3</v>
      </c>
      <c r="B782" t="str">
        <f>"VIA DEL PERALTO VICINO AL 6-"</f>
        <v>VIA DEL PERALTO VICINO AL 6-</v>
      </c>
      <c r="C782" t="str">
        <f>"1"</f>
        <v>1</v>
      </c>
      <c r="D782">
        <v>7</v>
      </c>
      <c r="E782" t="str">
        <f>"62"</f>
        <v>62</v>
      </c>
      <c r="F782" t="str">
        <f t="shared" si="86"/>
        <v>0000</v>
      </c>
    </row>
    <row r="783" spans="1:6">
      <c r="A783" t="str">
        <f>"E1772-1"</f>
        <v>E1772-1</v>
      </c>
      <c r="B783" t="str">
        <f>"VIA ADAMO CENTURIONE  58R-"</f>
        <v>VIA ADAMO CENTURIONE  58R-</v>
      </c>
      <c r="C783" t="str">
        <f>"1"</f>
        <v>1</v>
      </c>
      <c r="D783">
        <v>31</v>
      </c>
      <c r="E783" t="str">
        <f>"99999"</f>
        <v>99999</v>
      </c>
      <c r="F783" t="str">
        <f t="shared" si="86"/>
        <v>0000</v>
      </c>
    </row>
    <row r="784" spans="1:6">
      <c r="A784" t="str">
        <f>"E1773-2"</f>
        <v>E1773-2</v>
      </c>
      <c r="B784" t="str">
        <f>"PIAZZA DEL PORTELLO  4-"</f>
        <v>PIAZZA DEL PORTELLO  4-</v>
      </c>
      <c r="C784" t="str">
        <f>"GEA"</f>
        <v>GEA</v>
      </c>
      <c r="D784">
        <v>95</v>
      </c>
      <c r="E784" t="str">
        <f>"87"</f>
        <v>87</v>
      </c>
      <c r="F784" t="str">
        <f>"2"</f>
        <v>2</v>
      </c>
    </row>
    <row r="785" spans="1:6">
      <c r="A785" t="str">
        <f>"E1773-3"</f>
        <v>E1773-3</v>
      </c>
      <c r="B785" t="str">
        <f>"PIAZZA DEL PORTELLO  4-"</f>
        <v>PIAZZA DEL PORTELLO  4-</v>
      </c>
      <c r="C785" t="str">
        <f>"GEA"</f>
        <v>GEA</v>
      </c>
      <c r="D785">
        <v>95</v>
      </c>
      <c r="E785" t="str">
        <f>"87"</f>
        <v>87</v>
      </c>
      <c r="F785" t="str">
        <f>"3"</f>
        <v>3</v>
      </c>
    </row>
    <row r="786" spans="1:6">
      <c r="A786" t="str">
        <f>"E1773-4"</f>
        <v>E1773-4</v>
      </c>
      <c r="B786" t="str">
        <f>"PIAZZA DEL PORTELLO  4-"</f>
        <v>PIAZZA DEL PORTELLO  4-</v>
      </c>
      <c r="C786" t="str">
        <f>"GEA"</f>
        <v>GEA</v>
      </c>
      <c r="D786">
        <v>95</v>
      </c>
      <c r="E786" t="str">
        <f>"87"</f>
        <v>87</v>
      </c>
      <c r="F786" t="str">
        <f>"4"</f>
        <v>4</v>
      </c>
    </row>
    <row r="787" spans="1:6">
      <c r="A787" t="str">
        <f>"E1774-1"</f>
        <v>E1774-1</v>
      </c>
      <c r="B787" t="str">
        <f>"PIAZZA MANIN  24R-"</f>
        <v>PIAZZA MANIN  24R-</v>
      </c>
      <c r="C787" t="str">
        <f>"1"</f>
        <v>1</v>
      </c>
      <c r="D787">
        <v>36</v>
      </c>
      <c r="E787" t="str">
        <f>"99999"</f>
        <v>99999</v>
      </c>
      <c r="F787" t="str">
        <f>"0000"</f>
        <v>0000</v>
      </c>
    </row>
    <row r="788" spans="1:6">
      <c r="A788" t="str">
        <f>"E1777-2"</f>
        <v>E1777-2</v>
      </c>
      <c r="B788" t="str">
        <f>"SAL S MARIA DELLA SANITA'  45-"</f>
        <v>SAL S MARIA DELLA SANITA'  45-</v>
      </c>
      <c r="C788" t="str">
        <f t="shared" ref="C788:C796" si="87">"GEC"</f>
        <v>GEC</v>
      </c>
      <c r="D788">
        <v>13</v>
      </c>
      <c r="E788" t="str">
        <f>"61"</f>
        <v>61</v>
      </c>
      <c r="F788" t="str">
        <f>"2"</f>
        <v>2</v>
      </c>
    </row>
    <row r="789" spans="1:6">
      <c r="A789" t="str">
        <f>"E1777-3"</f>
        <v>E1777-3</v>
      </c>
      <c r="B789" t="str">
        <f>"SAL S MARIA DELLA SANITA'  45-"</f>
        <v>SAL S MARIA DELLA SANITA'  45-</v>
      </c>
      <c r="C789" t="str">
        <f t="shared" si="87"/>
        <v>GEC</v>
      </c>
      <c r="D789">
        <v>13</v>
      </c>
      <c r="E789" t="str">
        <f>"61"</f>
        <v>61</v>
      </c>
      <c r="F789" t="str">
        <f>"3"</f>
        <v>3</v>
      </c>
    </row>
    <row r="790" spans="1:6">
      <c r="A790" t="str">
        <f>"E1777-4"</f>
        <v>E1777-4</v>
      </c>
      <c r="B790" t="str">
        <f>"SAL S MARIA DELLA SANITA'  45-"</f>
        <v>SAL S MARIA DELLA SANITA'  45-</v>
      </c>
      <c r="C790" t="str">
        <f t="shared" si="87"/>
        <v>GEC</v>
      </c>
      <c r="D790">
        <v>13</v>
      </c>
      <c r="E790" t="str">
        <f>"61"</f>
        <v>61</v>
      </c>
      <c r="F790" t="str">
        <f>"4"</f>
        <v>4</v>
      </c>
    </row>
    <row r="791" spans="1:6">
      <c r="A791" t="str">
        <f>"E1778-1"</f>
        <v>E1778-1</v>
      </c>
      <c r="B791" t="str">
        <f>"CORSO SOLFERINO  29-"</f>
        <v>CORSO SOLFERINO  29-</v>
      </c>
      <c r="C791" t="str">
        <f t="shared" si="87"/>
        <v>GEC</v>
      </c>
      <c r="D791">
        <v>13</v>
      </c>
      <c r="E791" t="str">
        <f>"416"</f>
        <v>416</v>
      </c>
      <c r="F791" t="str">
        <f t="shared" ref="F791:F800" si="88">"0000"</f>
        <v>0000</v>
      </c>
    </row>
    <row r="792" spans="1:6">
      <c r="C792" t="str">
        <f t="shared" si="87"/>
        <v>GEC</v>
      </c>
      <c r="D792">
        <v>13</v>
      </c>
      <c r="E792" t="str">
        <f>"63"</f>
        <v>63</v>
      </c>
      <c r="F792" t="str">
        <f t="shared" si="88"/>
        <v>0000</v>
      </c>
    </row>
    <row r="793" spans="1:6">
      <c r="C793" t="str">
        <f t="shared" si="87"/>
        <v>GEC</v>
      </c>
      <c r="D793">
        <v>13</v>
      </c>
      <c r="E793" t="str">
        <f>"64"</f>
        <v>64</v>
      </c>
      <c r="F793" t="str">
        <f t="shared" si="88"/>
        <v>0000</v>
      </c>
    </row>
    <row r="794" spans="1:6">
      <c r="C794" t="str">
        <f t="shared" si="87"/>
        <v>GEC</v>
      </c>
      <c r="D794">
        <v>13</v>
      </c>
      <c r="E794" t="str">
        <f>"62"</f>
        <v>62</v>
      </c>
      <c r="F794" t="str">
        <f t="shared" si="88"/>
        <v>0000</v>
      </c>
    </row>
    <row r="795" spans="1:6">
      <c r="A795" t="str">
        <f>"E1779-1"</f>
        <v>E1779-1</v>
      </c>
      <c r="B795" t="str">
        <f>"CORSO SOLFERINO VICINO AL 27-"</f>
        <v>CORSO SOLFERINO VICINO AL 27-</v>
      </c>
      <c r="C795" t="str">
        <f t="shared" si="87"/>
        <v>GEC</v>
      </c>
      <c r="D795">
        <v>13</v>
      </c>
      <c r="E795" t="str">
        <f>"66"</f>
        <v>66</v>
      </c>
      <c r="F795" t="str">
        <f t="shared" si="88"/>
        <v>0000</v>
      </c>
    </row>
    <row r="796" spans="1:6">
      <c r="C796" t="str">
        <f t="shared" si="87"/>
        <v>GEC</v>
      </c>
      <c r="D796">
        <v>13</v>
      </c>
      <c r="E796" t="str">
        <f>"928"</f>
        <v>928</v>
      </c>
      <c r="F796" t="str">
        <f t="shared" si="88"/>
        <v>0000</v>
      </c>
    </row>
    <row r="797" spans="1:6">
      <c r="A797" t="str">
        <f>"E1780-2"</f>
        <v>E1780-2</v>
      </c>
      <c r="B797" t="str">
        <f>"CORSO SOLFERINO VICINO AL 27-"</f>
        <v>CORSO SOLFERINO VICINO AL 27-</v>
      </c>
      <c r="C797" t="str">
        <f>"1"</f>
        <v>1</v>
      </c>
      <c r="D797">
        <v>36</v>
      </c>
      <c r="E797" t="str">
        <f>"408"</f>
        <v>408</v>
      </c>
      <c r="F797" t="str">
        <f t="shared" si="88"/>
        <v>0000</v>
      </c>
    </row>
    <row r="798" spans="1:6">
      <c r="C798" t="str">
        <f>"1"</f>
        <v>1</v>
      </c>
      <c r="D798">
        <v>36</v>
      </c>
      <c r="E798" t="str">
        <f>"67"</f>
        <v>67</v>
      </c>
      <c r="F798" t="str">
        <f t="shared" si="88"/>
        <v>0000</v>
      </c>
    </row>
    <row r="799" spans="1:6">
      <c r="A799" t="str">
        <f>"E1780-3"</f>
        <v>E1780-3</v>
      </c>
      <c r="B799" t="str">
        <f>"CORSO SOLFERINO  27-"</f>
        <v>CORSO SOLFERINO  27-</v>
      </c>
      <c r="C799" t="str">
        <f>"GEC"</f>
        <v>GEC</v>
      </c>
      <c r="D799">
        <v>13</v>
      </c>
      <c r="E799" t="str">
        <f>"417"</f>
        <v>417</v>
      </c>
      <c r="F799" t="str">
        <f t="shared" si="88"/>
        <v>0000</v>
      </c>
    </row>
    <row r="800" spans="1:6">
      <c r="C800" t="str">
        <f>"GEC"</f>
        <v>GEC</v>
      </c>
      <c r="D800">
        <v>13</v>
      </c>
      <c r="E800" t="str">
        <f>"464"</f>
        <v>464</v>
      </c>
      <c r="F800" t="str">
        <f t="shared" si="88"/>
        <v>0000</v>
      </c>
    </row>
    <row r="801" spans="1:6">
      <c r="A801" t="str">
        <f>"E1781-1"</f>
        <v>E1781-1</v>
      </c>
      <c r="B801" t="str">
        <f>"P.ZA DELLA POSTA VECCHIA  3-"</f>
        <v>P.ZA DELLA POSTA VECCHIA  3-</v>
      </c>
      <c r="C801" t="str">
        <f>"GEA"</f>
        <v>GEA</v>
      </c>
      <c r="D801">
        <v>95</v>
      </c>
      <c r="E801" t="str">
        <f>"132"</f>
        <v>132</v>
      </c>
      <c r="F801" t="str">
        <f>"15"</f>
        <v>15</v>
      </c>
    </row>
    <row r="802" spans="1:6">
      <c r="A802" t="str">
        <f>"E1781-2"</f>
        <v>E1781-2</v>
      </c>
      <c r="B802" t="str">
        <f>"P.ZA DELLA POSTA VECCHIA  3-"</f>
        <v>P.ZA DELLA POSTA VECCHIA  3-</v>
      </c>
      <c r="C802" t="str">
        <f>"GEA"</f>
        <v>GEA</v>
      </c>
      <c r="D802">
        <v>95</v>
      </c>
      <c r="E802" t="str">
        <f>"132"</f>
        <v>132</v>
      </c>
      <c r="F802" t="str">
        <f>"12"</f>
        <v>12</v>
      </c>
    </row>
    <row r="803" spans="1:6">
      <c r="A803" t="str">
        <f>"E1781-3"</f>
        <v>E1781-3</v>
      </c>
      <c r="B803" t="str">
        <f>"P.ZA DELLA POSTA VECCHIA  3-"</f>
        <v>P.ZA DELLA POSTA VECCHIA  3-</v>
      </c>
      <c r="C803" t="str">
        <f>"GEA"</f>
        <v>GEA</v>
      </c>
      <c r="D803">
        <v>95</v>
      </c>
      <c r="E803" t="str">
        <f>"132"</f>
        <v>132</v>
      </c>
      <c r="F803" t="str">
        <f>"16"</f>
        <v>16</v>
      </c>
    </row>
    <row r="804" spans="1:6">
      <c r="A804" t="str">
        <f>"E1781-4"</f>
        <v>E1781-4</v>
      </c>
      <c r="B804" t="str">
        <f>"P.ZA DELLA POSTA VECCHIA  3-"</f>
        <v>P.ZA DELLA POSTA VECCHIA  3-</v>
      </c>
      <c r="C804" t="str">
        <f>"GEA"</f>
        <v>GEA</v>
      </c>
      <c r="D804">
        <v>95</v>
      </c>
      <c r="E804" t="str">
        <f>"132"</f>
        <v>132</v>
      </c>
      <c r="F804" t="str">
        <f>"25"</f>
        <v>25</v>
      </c>
    </row>
    <row r="805" spans="1:6">
      <c r="A805" t="str">
        <f>"E1783-1"</f>
        <v>E1783-1</v>
      </c>
      <c r="B805" t="str">
        <f>"VICO DRITTO DI PONTICELLO  0X-"</f>
        <v>VICO DRITTO DI PONTICELLO  0X-</v>
      </c>
      <c r="C805" t="str">
        <f>"1"</f>
        <v>1</v>
      </c>
      <c r="D805">
        <v>67</v>
      </c>
      <c r="E805" t="str">
        <f>"366"</f>
        <v>366</v>
      </c>
      <c r="F805" t="str">
        <f>"0000"</f>
        <v>0000</v>
      </c>
    </row>
    <row r="806" spans="1:6">
      <c r="C806" t="str">
        <f>"1"</f>
        <v>1</v>
      </c>
      <c r="D806">
        <v>67</v>
      </c>
      <c r="E806" t="str">
        <f>"O"</f>
        <v>O</v>
      </c>
      <c r="F806" t="str">
        <f>"0000"</f>
        <v>0000</v>
      </c>
    </row>
    <row r="807" spans="1:6">
      <c r="C807" t="str">
        <f>"1"</f>
        <v>1</v>
      </c>
      <c r="D807">
        <v>67</v>
      </c>
      <c r="E807" t="str">
        <f>"P"</f>
        <v>P</v>
      </c>
      <c r="F807" t="str">
        <f>"0000"</f>
        <v>0000</v>
      </c>
    </row>
    <row r="808" spans="1:6">
      <c r="A808" t="str">
        <f>"E1784-1"</f>
        <v>E1784-1</v>
      </c>
      <c r="B808" t="str">
        <f>"CORSO MAGENTA VICINO AL 25-"</f>
        <v>CORSO MAGENTA VICINO AL 25-</v>
      </c>
      <c r="C808" t="str">
        <f>"1"</f>
        <v>1</v>
      </c>
      <c r="D808">
        <v>35</v>
      </c>
      <c r="E808" t="str">
        <f>"99999"</f>
        <v>99999</v>
      </c>
      <c r="F808" t="str">
        <f>"0000"</f>
        <v>0000</v>
      </c>
    </row>
    <row r="809" spans="1:6">
      <c r="A809" t="str">
        <f>"E1785-1"</f>
        <v>E1785-1</v>
      </c>
      <c r="B809" t="str">
        <f>"GALLERIA GIUSEPPE SIRI  4-"</f>
        <v>GALLERIA GIUSEPPE SIRI  4-</v>
      </c>
      <c r="C809" t="str">
        <f t="shared" ref="C809:C814" si="89">"GEA"</f>
        <v>GEA</v>
      </c>
      <c r="D809">
        <v>96</v>
      </c>
      <c r="E809" t="str">
        <f>"291"</f>
        <v>291</v>
      </c>
      <c r="F809" t="str">
        <f>"1"</f>
        <v>1</v>
      </c>
    </row>
    <row r="810" spans="1:6">
      <c r="A810" t="str">
        <f>"E1785-2"</f>
        <v>E1785-2</v>
      </c>
      <c r="B810" t="str">
        <f>"GALLERIA GIUSEPPE SIRI  2-"</f>
        <v>GALLERIA GIUSEPPE SIRI  2-</v>
      </c>
      <c r="C810" t="str">
        <f t="shared" si="89"/>
        <v>GEA</v>
      </c>
      <c r="D810">
        <v>96</v>
      </c>
      <c r="E810" t="str">
        <f>"291"</f>
        <v>291</v>
      </c>
      <c r="F810" t="str">
        <f>"4"</f>
        <v>4</v>
      </c>
    </row>
    <row r="811" spans="1:6">
      <c r="A811" t="str">
        <f>"E1785-3"</f>
        <v>E1785-3</v>
      </c>
      <c r="B811" t="str">
        <f>"GALLERIA GIUSEPPE SIRI  8-"</f>
        <v>GALLERIA GIUSEPPE SIRI  8-</v>
      </c>
      <c r="C811" t="str">
        <f t="shared" si="89"/>
        <v>GEA</v>
      </c>
      <c r="D811">
        <v>96</v>
      </c>
      <c r="E811" t="str">
        <f>"291"</f>
        <v>291</v>
      </c>
      <c r="F811" t="str">
        <f>"5"</f>
        <v>5</v>
      </c>
    </row>
    <row r="812" spans="1:6">
      <c r="A812" t="str">
        <f>"E1785-4"</f>
        <v>E1785-4</v>
      </c>
      <c r="B812" t="str">
        <f>"GALLERIA GIUSEPPE SIRI  4-"</f>
        <v>GALLERIA GIUSEPPE SIRI  4-</v>
      </c>
      <c r="C812" t="str">
        <f t="shared" si="89"/>
        <v>GEA</v>
      </c>
      <c r="D812">
        <v>96</v>
      </c>
      <c r="E812" t="str">
        <f>"291"</f>
        <v>291</v>
      </c>
      <c r="F812" t="str">
        <f>"6"</f>
        <v>6</v>
      </c>
    </row>
    <row r="813" spans="1:6">
      <c r="A813" t="str">
        <f>"E1785-5"</f>
        <v>E1785-5</v>
      </c>
      <c r="B813" t="str">
        <f>"GALLERIA GIUSEPPE SIRI  4-"</f>
        <v>GALLERIA GIUSEPPE SIRI  4-</v>
      </c>
      <c r="C813" t="str">
        <f t="shared" si="89"/>
        <v>GEA</v>
      </c>
      <c r="D813">
        <v>96</v>
      </c>
      <c r="E813" t="str">
        <f>"291"</f>
        <v>291</v>
      </c>
      <c r="F813" t="str">
        <f>"8"</f>
        <v>8</v>
      </c>
    </row>
    <row r="814" spans="1:6">
      <c r="A814" t="str">
        <f>"E1786-1"</f>
        <v>E1786-1</v>
      </c>
      <c r="B814" t="str">
        <f>"VIALE GIUSEPPE A BOTTARO  1R-"</f>
        <v>VIALE GIUSEPPE A BOTTARO  1R-</v>
      </c>
      <c r="C814" t="str">
        <f t="shared" si="89"/>
        <v>GEA</v>
      </c>
      <c r="D814">
        <v>101</v>
      </c>
      <c r="E814" t="str">
        <f>"40"</f>
        <v>40</v>
      </c>
      <c r="F814" t="str">
        <f t="shared" ref="F814:F826" si="90">"0000"</f>
        <v>0000</v>
      </c>
    </row>
    <row r="815" spans="1:6">
      <c r="A815" t="str">
        <f>"E1786-2"</f>
        <v>E1786-2</v>
      </c>
      <c r="B815" t="str">
        <f>"VIALE GIUSEPPE A BOTTARO  1AR-"</f>
        <v>VIALE GIUSEPPE A BOTTARO  1AR-</v>
      </c>
      <c r="C815" t="str">
        <f>"1"</f>
        <v>1</v>
      </c>
      <c r="D815">
        <v>46</v>
      </c>
      <c r="E815" t="str">
        <f>"205"</f>
        <v>205</v>
      </c>
      <c r="F815" t="str">
        <f t="shared" si="90"/>
        <v>0000</v>
      </c>
    </row>
    <row r="816" spans="1:6">
      <c r="A816" t="str">
        <f>"E1786-3"</f>
        <v>E1786-3</v>
      </c>
      <c r="B816" t="str">
        <f>"VIALE GIUSEPPE A BOTTARO  1BR-"</f>
        <v>VIALE GIUSEPPE A BOTTARO  1BR-</v>
      </c>
      <c r="C816" t="str">
        <f>"1"</f>
        <v>1</v>
      </c>
      <c r="D816">
        <v>46</v>
      </c>
      <c r="E816" t="str">
        <f>"205"</f>
        <v>205</v>
      </c>
      <c r="F816" t="str">
        <f t="shared" si="90"/>
        <v>0000</v>
      </c>
    </row>
    <row r="817" spans="1:6">
      <c r="A817" t="str">
        <f>"E1786-4"</f>
        <v>E1786-4</v>
      </c>
      <c r="B817" t="str">
        <f>"VIALE GIUSEPPE A BOTTARO  2R-"</f>
        <v>VIALE GIUSEPPE A BOTTARO  2R-</v>
      </c>
      <c r="C817" t="str">
        <f>"GEA"</f>
        <v>GEA</v>
      </c>
      <c r="D817">
        <v>101</v>
      </c>
      <c r="E817" t="str">
        <f>"35"</f>
        <v>35</v>
      </c>
      <c r="F817" t="str">
        <f t="shared" si="90"/>
        <v>0000</v>
      </c>
    </row>
    <row r="818" spans="1:6">
      <c r="A818" t="str">
        <f>"E1786-6"</f>
        <v>E1786-6</v>
      </c>
      <c r="B818" t="str">
        <f>"VIALE GIUSEPPE A BOTTARO  3R-"</f>
        <v>VIALE GIUSEPPE A BOTTARO  3R-</v>
      </c>
      <c r="C818" t="str">
        <f>"GEA"</f>
        <v>GEA</v>
      </c>
      <c r="D818">
        <v>101</v>
      </c>
      <c r="E818" t="str">
        <f>"24"</f>
        <v>24</v>
      </c>
      <c r="F818" t="str">
        <f t="shared" si="90"/>
        <v>0000</v>
      </c>
    </row>
    <row r="819" spans="1:6">
      <c r="C819" t="str">
        <f>"GEA"</f>
        <v>GEA</v>
      </c>
      <c r="D819">
        <v>101</v>
      </c>
      <c r="E819" t="str">
        <f>"25"</f>
        <v>25</v>
      </c>
      <c r="F819" t="str">
        <f t="shared" si="90"/>
        <v>0000</v>
      </c>
    </row>
    <row r="820" spans="1:6">
      <c r="C820" t="str">
        <f>"GEA"</f>
        <v>GEA</v>
      </c>
      <c r="D820">
        <v>101</v>
      </c>
      <c r="E820" t="str">
        <f>"26"</f>
        <v>26</v>
      </c>
      <c r="F820" t="str">
        <f t="shared" si="90"/>
        <v>0000</v>
      </c>
    </row>
    <row r="821" spans="1:6">
      <c r="A821" t="str">
        <f>"E1786-7"</f>
        <v>E1786-7</v>
      </c>
      <c r="B821" t="str">
        <f>"VIALE GIUSEPPE A BOTTARO  7BR-"</f>
        <v>VIALE GIUSEPPE A BOTTARO  7BR-</v>
      </c>
      <c r="C821" t="str">
        <f t="shared" ref="C821:C826" si="91">"1"</f>
        <v>1</v>
      </c>
      <c r="D821">
        <v>46</v>
      </c>
      <c r="E821" t="str">
        <f>"205"</f>
        <v>205</v>
      </c>
      <c r="F821" t="str">
        <f t="shared" si="90"/>
        <v>0000</v>
      </c>
    </row>
    <row r="822" spans="1:6">
      <c r="A822" t="str">
        <f>"E1786-8"</f>
        <v>E1786-8</v>
      </c>
      <c r="B822" t="str">
        <f>"VIALE GIUSEPPE A BOTTARO  7CR-"</f>
        <v>VIALE GIUSEPPE A BOTTARO  7CR-</v>
      </c>
      <c r="C822" t="str">
        <f t="shared" si="91"/>
        <v>1</v>
      </c>
      <c r="D822">
        <v>46</v>
      </c>
      <c r="E822" t="str">
        <f>"205"</f>
        <v>205</v>
      </c>
      <c r="F822" t="str">
        <f t="shared" si="90"/>
        <v>0000</v>
      </c>
    </row>
    <row r="823" spans="1:6">
      <c r="A823" t="str">
        <f>"E1786-9"</f>
        <v>E1786-9</v>
      </c>
      <c r="B823" t="str">
        <f>"VIALE GIUSEPPE A BOTTARO  7DR-"</f>
        <v>VIALE GIUSEPPE A BOTTARO  7DR-</v>
      </c>
      <c r="C823" t="str">
        <f t="shared" si="91"/>
        <v>1</v>
      </c>
      <c r="D823">
        <v>46</v>
      </c>
      <c r="E823" t="str">
        <f>"205"</f>
        <v>205</v>
      </c>
      <c r="F823" t="str">
        <f t="shared" si="90"/>
        <v>0000</v>
      </c>
    </row>
    <row r="824" spans="1:6">
      <c r="A824" t="str">
        <f>"E1786-10"</f>
        <v>E1786-10</v>
      </c>
      <c r="B824" t="str">
        <f>"VIALE GIUSEPPE A BOTTARO  7ER-"</f>
        <v>VIALE GIUSEPPE A BOTTARO  7ER-</v>
      </c>
      <c r="C824" t="str">
        <f t="shared" si="91"/>
        <v>1</v>
      </c>
      <c r="D824">
        <v>46</v>
      </c>
      <c r="E824" t="str">
        <f>"205"</f>
        <v>205</v>
      </c>
      <c r="F824" t="str">
        <f t="shared" si="90"/>
        <v>0000</v>
      </c>
    </row>
    <row r="825" spans="1:6">
      <c r="A825" t="str">
        <f>"E1787-1"</f>
        <v>E1787-1</v>
      </c>
      <c r="B825" t="str">
        <f>"VIA DI PORTA SOPRANA VICINO AL 12-"</f>
        <v>VIA DI PORTA SOPRANA VICINO AL 12-</v>
      </c>
      <c r="C825" t="str">
        <f t="shared" si="91"/>
        <v>1</v>
      </c>
      <c r="D825">
        <v>67</v>
      </c>
      <c r="E825" t="str">
        <f>"429"</f>
        <v>429</v>
      </c>
      <c r="F825" t="str">
        <f t="shared" si="90"/>
        <v>0000</v>
      </c>
    </row>
    <row r="826" spans="1:6">
      <c r="C826" t="str">
        <f t="shared" si="91"/>
        <v>1</v>
      </c>
      <c r="D826">
        <v>67</v>
      </c>
      <c r="E826" t="str">
        <f>"483"</f>
        <v>483</v>
      </c>
      <c r="F826" t="str">
        <f t="shared" si="90"/>
        <v>0000</v>
      </c>
    </row>
    <row r="827" spans="1:6">
      <c r="A827" t="str">
        <f>"E1788-1"</f>
        <v>E1788-1</v>
      </c>
      <c r="B827" t="str">
        <f>"VICO A DESTRA S PANCRAZIO  3-"</f>
        <v>VICO A DESTRA S PANCRAZIO  3-</v>
      </c>
      <c r="C827" t="str">
        <f t="shared" ref="C827:C833" si="92">"GEA"</f>
        <v>GEA</v>
      </c>
      <c r="D827">
        <v>81</v>
      </c>
      <c r="E827" t="str">
        <f>"149"</f>
        <v>149</v>
      </c>
      <c r="F827" t="str">
        <f>"45"</f>
        <v>45</v>
      </c>
    </row>
    <row r="828" spans="1:6">
      <c r="A828" t="str">
        <f>"E1788-2"</f>
        <v>E1788-2</v>
      </c>
      <c r="B828" t="str">
        <f>"PIAZZA FOSSATELLO  1-"</f>
        <v>PIAZZA FOSSATELLO  1-</v>
      </c>
      <c r="C828" t="str">
        <f t="shared" si="92"/>
        <v>GEA</v>
      </c>
      <c r="D828">
        <v>81</v>
      </c>
      <c r="E828" t="str">
        <f>"149"</f>
        <v>149</v>
      </c>
      <c r="F828" t="str">
        <f>"46"</f>
        <v>46</v>
      </c>
    </row>
    <row r="829" spans="1:6">
      <c r="A829" t="str">
        <f>"E1789-1"</f>
        <v>E1789-1</v>
      </c>
      <c r="B829" t="str">
        <f>"PIAZZA ACQUAVERDE VICINO AL 5-"</f>
        <v>PIAZZA ACQUAVERDE VICINO AL 5-</v>
      </c>
      <c r="C829" t="str">
        <f t="shared" si="92"/>
        <v>GEA</v>
      </c>
      <c r="D829">
        <v>79</v>
      </c>
      <c r="E829" t="str">
        <f>"456"</f>
        <v>456</v>
      </c>
      <c r="F829" t="str">
        <f>"0000"</f>
        <v>0000</v>
      </c>
    </row>
    <row r="830" spans="1:6">
      <c r="A830" t="str">
        <f>"E1791-1"</f>
        <v>E1791-1</v>
      </c>
      <c r="B830" t="str">
        <f>"VICO DELLE MONACHETTE  4-"</f>
        <v>VICO DELLE MONACHETTE  4-</v>
      </c>
      <c r="C830" t="str">
        <f t="shared" si="92"/>
        <v>GEA</v>
      </c>
      <c r="D830">
        <v>79</v>
      </c>
      <c r="E830" t="str">
        <f>"136"</f>
        <v>136</v>
      </c>
      <c r="F830" t="str">
        <f>"4"</f>
        <v>4</v>
      </c>
    </row>
    <row r="831" spans="1:6">
      <c r="C831" t="str">
        <f t="shared" si="92"/>
        <v>GEA</v>
      </c>
      <c r="D831">
        <v>79</v>
      </c>
      <c r="E831" t="str">
        <f>"149"</f>
        <v>149</v>
      </c>
      <c r="F831" t="str">
        <f>"0000"</f>
        <v>0000</v>
      </c>
    </row>
    <row r="832" spans="1:6">
      <c r="C832" t="str">
        <f t="shared" si="92"/>
        <v>GEA</v>
      </c>
      <c r="D832">
        <v>79</v>
      </c>
      <c r="E832" t="str">
        <f>"150"</f>
        <v>150</v>
      </c>
      <c r="F832" t="str">
        <f>"2"</f>
        <v>2</v>
      </c>
    </row>
    <row r="833" spans="1:6">
      <c r="C833" t="str">
        <f t="shared" si="92"/>
        <v>GEA</v>
      </c>
      <c r="D833">
        <v>79</v>
      </c>
      <c r="E833" t="str">
        <f>"136"</f>
        <v>136</v>
      </c>
      <c r="F833" t="str">
        <f>"2"</f>
        <v>2</v>
      </c>
    </row>
    <row r="834" spans="1:6">
      <c r="A834" t="str">
        <f>"E1794-1"</f>
        <v>E1794-1</v>
      </c>
      <c r="B834" t="str">
        <f>"VIALE QUATTRO NOVEMBRE VICINO AL 6-"</f>
        <v>VIALE QUATTRO NOVEMBRE VICINO AL 6-</v>
      </c>
      <c r="C834" t="str">
        <f>"1"</f>
        <v>1</v>
      </c>
      <c r="D834">
        <v>69</v>
      </c>
      <c r="E834" t="str">
        <f>"96"</f>
        <v>96</v>
      </c>
      <c r="F834" t="str">
        <f>"0000"</f>
        <v>0000</v>
      </c>
    </row>
    <row r="835" spans="1:6">
      <c r="A835" t="str">
        <f>"E1794-2"</f>
        <v>E1794-2</v>
      </c>
      <c r="B835" t="str">
        <f>"VIALE QUATTRO NOVEMBRE VICINO AL 6-"</f>
        <v>VIALE QUATTRO NOVEMBRE VICINO AL 6-</v>
      </c>
      <c r="C835" t="str">
        <f>"1"</f>
        <v>1</v>
      </c>
      <c r="D835">
        <v>69</v>
      </c>
      <c r="E835" t="str">
        <f>"96"</f>
        <v>96</v>
      </c>
      <c r="F835" t="str">
        <f>"0000"</f>
        <v>0000</v>
      </c>
    </row>
    <row r="836" spans="1:6">
      <c r="A836" t="str">
        <f>"E1795-1"</f>
        <v>E1795-1</v>
      </c>
      <c r="B836" t="str">
        <f>"VIALE QUATTRO NOVEMBRE VICINO AL 6-"</f>
        <v>VIALE QUATTRO NOVEMBRE VICINO AL 6-</v>
      </c>
      <c r="C836" t="str">
        <f>"1"</f>
        <v>1</v>
      </c>
      <c r="D836">
        <v>69</v>
      </c>
      <c r="E836" t="str">
        <f>"99999"</f>
        <v>99999</v>
      </c>
      <c r="F836" t="str">
        <f>"0000"</f>
        <v>0000</v>
      </c>
    </row>
    <row r="837" spans="1:6">
      <c r="A837" t="str">
        <f>"E1796-1"</f>
        <v>E1796-1</v>
      </c>
      <c r="B837" t="str">
        <f>"VIALE QUATTRO NOVEMBRE VICINO AL 6-"</f>
        <v>VIALE QUATTRO NOVEMBRE VICINO AL 6-</v>
      </c>
      <c r="C837" t="str">
        <f>"1"</f>
        <v>1</v>
      </c>
      <c r="D837">
        <v>69</v>
      </c>
      <c r="E837" t="str">
        <f>"99999"</f>
        <v>99999</v>
      </c>
      <c r="F837" t="str">
        <f>"0000"</f>
        <v>0000</v>
      </c>
    </row>
    <row r="838" spans="1:6">
      <c r="A838" t="str">
        <f>"E1805-1"</f>
        <v>E1805-1</v>
      </c>
      <c r="B838" t="str">
        <f>"SCALINATA CAMILLO POLI  1-"</f>
        <v>SCALINATA CAMILLO POLI  1-</v>
      </c>
      <c r="C838" t="str">
        <f t="shared" ref="C838:C876" si="93">"GEA"</f>
        <v>GEA</v>
      </c>
      <c r="D838">
        <v>98</v>
      </c>
      <c r="E838" t="str">
        <f>"233"</f>
        <v>233</v>
      </c>
      <c r="F838" t="str">
        <f>"0000"</f>
        <v>0000</v>
      </c>
    </row>
    <row r="839" spans="1:6">
      <c r="A839" t="str">
        <f>"E1806-1"</f>
        <v>E1806-1</v>
      </c>
      <c r="B839" t="str">
        <f>"PIAZZA CAVOUR  49R-"</f>
        <v>PIAZZA CAVOUR  49R-</v>
      </c>
      <c r="C839" t="str">
        <f t="shared" si="93"/>
        <v>GEA</v>
      </c>
      <c r="D839">
        <v>84</v>
      </c>
      <c r="E839" t="str">
        <f>"146"</f>
        <v>146</v>
      </c>
      <c r="F839" t="str">
        <f>"1"</f>
        <v>1</v>
      </c>
    </row>
    <row r="840" spans="1:6">
      <c r="A840" t="str">
        <f>"E1806-2"</f>
        <v>E1806-2</v>
      </c>
      <c r="B840" t="str">
        <f>"PIAZZA CAVOUR  51R-"</f>
        <v>PIAZZA CAVOUR  51R-</v>
      </c>
      <c r="C840" t="str">
        <f t="shared" si="93"/>
        <v>GEA</v>
      </c>
      <c r="D840">
        <v>84</v>
      </c>
      <c r="E840" t="str">
        <f>"146"</f>
        <v>146</v>
      </c>
      <c r="F840" t="str">
        <f>"2"</f>
        <v>2</v>
      </c>
    </row>
    <row r="841" spans="1:6">
      <c r="A841" t="str">
        <f>"E1807-1"</f>
        <v>E1807-1</v>
      </c>
      <c r="B841" t="str">
        <f>"VIA SEMINARIO  12-"</f>
        <v>VIA SEMINARIO  12-</v>
      </c>
      <c r="C841" t="str">
        <f t="shared" si="93"/>
        <v>GEA</v>
      </c>
      <c r="D841">
        <v>97</v>
      </c>
      <c r="E841" t="str">
        <f>"423"</f>
        <v>423</v>
      </c>
      <c r="F841" t="str">
        <f>"0000"</f>
        <v>0000</v>
      </c>
    </row>
    <row r="842" spans="1:6">
      <c r="C842" t="str">
        <f t="shared" si="93"/>
        <v>GEA</v>
      </c>
      <c r="D842">
        <v>97</v>
      </c>
      <c r="E842" t="str">
        <f>"436"</f>
        <v>436</v>
      </c>
      <c r="F842" t="str">
        <f>"9"</f>
        <v>9</v>
      </c>
    </row>
    <row r="843" spans="1:6">
      <c r="C843" t="str">
        <f t="shared" si="93"/>
        <v>GEA</v>
      </c>
      <c r="D843">
        <v>97</v>
      </c>
      <c r="E843" t="str">
        <f>"461"</f>
        <v>461</v>
      </c>
      <c r="F843" t="str">
        <f>"0000"</f>
        <v>0000</v>
      </c>
    </row>
    <row r="844" spans="1:6">
      <c r="A844" t="str">
        <f>"E1807-2"</f>
        <v>E1807-2</v>
      </c>
      <c r="B844" t="str">
        <f>"VIA SEMINARIO  16-"</f>
        <v>VIA SEMINARIO  16-</v>
      </c>
      <c r="C844" t="str">
        <f t="shared" si="93"/>
        <v>GEA</v>
      </c>
      <c r="D844">
        <v>97</v>
      </c>
      <c r="E844" t="str">
        <f>"436"</f>
        <v>436</v>
      </c>
      <c r="F844" t="str">
        <f>"10"</f>
        <v>10</v>
      </c>
    </row>
    <row r="845" spans="1:6">
      <c r="A845" t="str">
        <f>"E1807-3"</f>
        <v>E1807-3</v>
      </c>
      <c r="B845" t="str">
        <f>"VIA SEMINARIO  14-"</f>
        <v>VIA SEMINARIO  14-</v>
      </c>
      <c r="C845" t="str">
        <f t="shared" si="93"/>
        <v>GEA</v>
      </c>
      <c r="D845">
        <v>97</v>
      </c>
      <c r="E845" t="str">
        <f>"436"</f>
        <v>436</v>
      </c>
      <c r="F845" t="str">
        <f>"11"</f>
        <v>11</v>
      </c>
    </row>
    <row r="846" spans="1:6">
      <c r="A846" t="str">
        <f>"E1816-1"</f>
        <v>E1816-1</v>
      </c>
      <c r="B846" t="str">
        <f>"VICO LARGO  2-"</f>
        <v>VICO LARGO  2-</v>
      </c>
      <c r="C846" t="str">
        <f t="shared" si="93"/>
        <v>GEA</v>
      </c>
      <c r="D846">
        <v>80</v>
      </c>
      <c r="E846" t="str">
        <f>"128"</f>
        <v>128</v>
      </c>
      <c r="F846" t="str">
        <f>"3"</f>
        <v>3</v>
      </c>
    </row>
    <row r="847" spans="1:6">
      <c r="A847" t="str">
        <f>"E1817-4"</f>
        <v>E1817-4</v>
      </c>
      <c r="B847" t="str">
        <f>"VIA DI PRE  12-"</f>
        <v>VIA DI PRE  12-</v>
      </c>
      <c r="C847" t="str">
        <f t="shared" si="93"/>
        <v>GEA</v>
      </c>
      <c r="D847">
        <v>80</v>
      </c>
      <c r="E847" t="str">
        <f>"158"</f>
        <v>158</v>
      </c>
      <c r="F847" t="str">
        <f>"7"</f>
        <v>7</v>
      </c>
    </row>
    <row r="848" spans="1:6">
      <c r="A848" t="str">
        <f>"E1817-5"</f>
        <v>E1817-5</v>
      </c>
      <c r="B848" t="str">
        <f>"VIA DI PRE  12-"</f>
        <v>VIA DI PRE  12-</v>
      </c>
      <c r="C848" t="str">
        <f t="shared" si="93"/>
        <v>GEA</v>
      </c>
      <c r="D848">
        <v>80</v>
      </c>
      <c r="E848" t="str">
        <f>"158"</f>
        <v>158</v>
      </c>
      <c r="F848" t="str">
        <f>"8"</f>
        <v>8</v>
      </c>
    </row>
    <row r="849" spans="1:6">
      <c r="A849" t="str">
        <f>"E1817-6"</f>
        <v>E1817-6</v>
      </c>
      <c r="B849" t="str">
        <f>"VIA DI PRE  12-"</f>
        <v>VIA DI PRE  12-</v>
      </c>
      <c r="C849" t="str">
        <f t="shared" si="93"/>
        <v>GEA</v>
      </c>
      <c r="D849">
        <v>80</v>
      </c>
      <c r="E849" t="str">
        <f>"158"</f>
        <v>158</v>
      </c>
      <c r="F849" t="str">
        <f>"9"</f>
        <v>9</v>
      </c>
    </row>
    <row r="850" spans="1:6">
      <c r="A850" t="str">
        <f>"E1818-1"</f>
        <v>E1818-1</v>
      </c>
      <c r="B850" t="str">
        <f>"VIA DI PRE  12-"</f>
        <v>VIA DI PRE  12-</v>
      </c>
      <c r="C850" t="str">
        <f t="shared" si="93"/>
        <v>GEA</v>
      </c>
      <c r="D850">
        <v>80</v>
      </c>
      <c r="E850" t="str">
        <f>"159"</f>
        <v>159</v>
      </c>
      <c r="F850" t="str">
        <f>"3"</f>
        <v>3</v>
      </c>
    </row>
    <row r="851" spans="1:6">
      <c r="A851" t="str">
        <f>"E1818-2"</f>
        <v>E1818-2</v>
      </c>
      <c r="B851" t="str">
        <f>"VIA DI PRE  22R-"</f>
        <v>VIA DI PRE  22R-</v>
      </c>
      <c r="C851" t="str">
        <f t="shared" si="93"/>
        <v>GEA</v>
      </c>
      <c r="D851">
        <v>80</v>
      </c>
      <c r="E851" t="str">
        <f>"159"</f>
        <v>159</v>
      </c>
      <c r="F851" t="str">
        <f>"9"</f>
        <v>9</v>
      </c>
    </row>
    <row r="852" spans="1:6">
      <c r="A852" t="str">
        <f>"E1818-3"</f>
        <v>E1818-3</v>
      </c>
      <c r="B852" t="str">
        <f>"VIA DI PRE  12-"</f>
        <v>VIA DI PRE  12-</v>
      </c>
      <c r="C852" t="str">
        <f t="shared" si="93"/>
        <v>GEA</v>
      </c>
      <c r="D852">
        <v>80</v>
      </c>
      <c r="E852" t="str">
        <f>"159"</f>
        <v>159</v>
      </c>
      <c r="F852" t="str">
        <f>"4"</f>
        <v>4</v>
      </c>
    </row>
    <row r="853" spans="1:6">
      <c r="A853" t="str">
        <f>"E1819-1"</f>
        <v>E1819-1</v>
      </c>
      <c r="B853" t="str">
        <f>"VICO CROCE BIANCA  26R-"</f>
        <v>VICO CROCE BIANCA  26R-</v>
      </c>
      <c r="C853" t="str">
        <f t="shared" si="93"/>
        <v>GEA</v>
      </c>
      <c r="D853">
        <v>81</v>
      </c>
      <c r="E853" t="str">
        <f>"64"</f>
        <v>64</v>
      </c>
      <c r="F853" t="str">
        <f>"1"</f>
        <v>1</v>
      </c>
    </row>
    <row r="854" spans="1:6">
      <c r="A854" t="str">
        <f>"E1819-2"</f>
        <v>E1819-2</v>
      </c>
      <c r="B854" t="str">
        <f>"VICO CROCE BIANCA  26R-"</f>
        <v>VICO CROCE BIANCA  26R-</v>
      </c>
      <c r="C854" t="str">
        <f t="shared" si="93"/>
        <v>GEA</v>
      </c>
      <c r="D854">
        <v>81</v>
      </c>
      <c r="E854" t="str">
        <f>"88"</f>
        <v>88</v>
      </c>
      <c r="F854" t="str">
        <f>"1"</f>
        <v>1</v>
      </c>
    </row>
    <row r="855" spans="1:6">
      <c r="A855" t="str">
        <f>"E1820-1"</f>
        <v>E1820-1</v>
      </c>
      <c r="B855" t="str">
        <f>"VICO DI SAN FILIPPO  31R-"</f>
        <v>VICO DI SAN FILIPPO  31R-</v>
      </c>
      <c r="C855" t="str">
        <f t="shared" si="93"/>
        <v>GEA</v>
      </c>
      <c r="D855">
        <v>81</v>
      </c>
      <c r="E855" t="str">
        <f t="shared" ref="E855:E861" si="94">"65"</f>
        <v>65</v>
      </c>
      <c r="F855" t="str">
        <f>"2"</f>
        <v>2</v>
      </c>
    </row>
    <row r="856" spans="1:6">
      <c r="A856" t="str">
        <f>"E1820-2"</f>
        <v>E1820-2</v>
      </c>
      <c r="B856" t="str">
        <f>"VICO DI SAN FILIPPO  33R-"</f>
        <v>VICO DI SAN FILIPPO  33R-</v>
      </c>
      <c r="C856" t="str">
        <f t="shared" si="93"/>
        <v>GEA</v>
      </c>
      <c r="D856">
        <v>81</v>
      </c>
      <c r="E856" t="str">
        <f t="shared" si="94"/>
        <v>65</v>
      </c>
      <c r="F856" t="str">
        <f>"3"</f>
        <v>3</v>
      </c>
    </row>
    <row r="857" spans="1:6">
      <c r="A857" t="str">
        <f>"E1820-3"</f>
        <v>E1820-3</v>
      </c>
      <c r="B857" t="str">
        <f>"VICO DI SAN FILIPPO  35R-"</f>
        <v>VICO DI SAN FILIPPO  35R-</v>
      </c>
      <c r="C857" t="str">
        <f t="shared" si="93"/>
        <v>GEA</v>
      </c>
      <c r="D857">
        <v>81</v>
      </c>
      <c r="E857" t="str">
        <f t="shared" si="94"/>
        <v>65</v>
      </c>
      <c r="F857" t="str">
        <f>"4"</f>
        <v>4</v>
      </c>
    </row>
    <row r="858" spans="1:6">
      <c r="A858" t="str">
        <f>"E1820-4"</f>
        <v>E1820-4</v>
      </c>
      <c r="B858" t="str">
        <f>"VICO CROCE BIANCA  32AR-"</f>
        <v>VICO CROCE BIANCA  32AR-</v>
      </c>
      <c r="C858" t="str">
        <f t="shared" si="93"/>
        <v>GEA</v>
      </c>
      <c r="D858">
        <v>81</v>
      </c>
      <c r="E858" t="str">
        <f t="shared" si="94"/>
        <v>65</v>
      </c>
      <c r="F858" t="str">
        <f>"6"</f>
        <v>6</v>
      </c>
    </row>
    <row r="859" spans="1:6">
      <c r="A859" t="str">
        <f>"E1820-5"</f>
        <v>E1820-5</v>
      </c>
      <c r="B859" t="str">
        <f>"VICO CROCE BIANCA  32AR-"</f>
        <v>VICO CROCE BIANCA  32AR-</v>
      </c>
      <c r="C859" t="str">
        <f t="shared" si="93"/>
        <v>GEA</v>
      </c>
      <c r="D859">
        <v>81</v>
      </c>
      <c r="E859" t="str">
        <f t="shared" si="94"/>
        <v>65</v>
      </c>
      <c r="F859" t="str">
        <f>"7"</f>
        <v>7</v>
      </c>
    </row>
    <row r="860" spans="1:6">
      <c r="A860" t="str">
        <f>"E1820-6"</f>
        <v>E1820-6</v>
      </c>
      <c r="B860" t="str">
        <f>"VICO CROCE BIANCA  10-"</f>
        <v>VICO CROCE BIANCA  10-</v>
      </c>
      <c r="C860" t="str">
        <f t="shared" si="93"/>
        <v>GEA</v>
      </c>
      <c r="D860">
        <v>81</v>
      </c>
      <c r="E860" t="str">
        <f t="shared" si="94"/>
        <v>65</v>
      </c>
      <c r="F860" t="str">
        <f>"9"</f>
        <v>9</v>
      </c>
    </row>
    <row r="861" spans="1:6">
      <c r="A861" t="str">
        <f>"E1820-7"</f>
        <v>E1820-7</v>
      </c>
      <c r="B861" t="str">
        <f>"VICO CROCE BIANCA  10-"</f>
        <v>VICO CROCE BIANCA  10-</v>
      </c>
      <c r="C861" t="str">
        <f t="shared" si="93"/>
        <v>GEA</v>
      </c>
      <c r="D861">
        <v>81</v>
      </c>
      <c r="E861" t="str">
        <f t="shared" si="94"/>
        <v>65</v>
      </c>
      <c r="F861" t="str">
        <f>"10"</f>
        <v>10</v>
      </c>
    </row>
    <row r="862" spans="1:6">
      <c r="A862" t="str">
        <f>"E1825-1"</f>
        <v>E1825-1</v>
      </c>
      <c r="B862" t="str">
        <f>"SALITA A PIETRAMINUTA  8-"</f>
        <v>SALITA A PIETRAMINUTA  8-</v>
      </c>
      <c r="C862" t="str">
        <f t="shared" si="93"/>
        <v>GEA</v>
      </c>
      <c r="D862">
        <v>80</v>
      </c>
      <c r="E862" t="str">
        <f>"210"</f>
        <v>210</v>
      </c>
      <c r="F862" t="str">
        <f>"11"</f>
        <v>11</v>
      </c>
    </row>
    <row r="863" spans="1:6">
      <c r="A863" t="str">
        <f>"E1825-1"</f>
        <v>E1825-1</v>
      </c>
      <c r="B863" t="str">
        <f>"SALITA A PIETRAMINUTA  8-"</f>
        <v>SALITA A PIETRAMINUTA  8-</v>
      </c>
      <c r="C863" t="str">
        <f t="shared" si="93"/>
        <v>GEA</v>
      </c>
      <c r="D863">
        <v>80</v>
      </c>
      <c r="E863" t="str">
        <f>"697"</f>
        <v>697</v>
      </c>
      <c r="F863" t="str">
        <f>"3"</f>
        <v>3</v>
      </c>
    </row>
    <row r="864" spans="1:6">
      <c r="A864" t="str">
        <f>"E1826-1"</f>
        <v>E1826-1</v>
      </c>
      <c r="B864" t="str">
        <f>"VIA BALBI  16-"</f>
        <v>VIA BALBI  16-</v>
      </c>
      <c r="C864" t="str">
        <f t="shared" si="93"/>
        <v>GEA</v>
      </c>
      <c r="D864">
        <v>31</v>
      </c>
      <c r="E864" t="str">
        <f>"31"</f>
        <v>31</v>
      </c>
      <c r="F864" t="str">
        <f>"8"</f>
        <v>8</v>
      </c>
    </row>
    <row r="865" spans="1:6">
      <c r="A865" t="str">
        <f>"E1826-2"</f>
        <v>E1826-2</v>
      </c>
      <c r="B865" t="str">
        <f>"VIA BALBI  16-"</f>
        <v>VIA BALBI  16-</v>
      </c>
      <c r="C865" t="str">
        <f t="shared" si="93"/>
        <v>GEA</v>
      </c>
      <c r="D865">
        <v>80</v>
      </c>
      <c r="E865" t="str">
        <f>"31"</f>
        <v>31</v>
      </c>
      <c r="F865" t="str">
        <f>"9"</f>
        <v>9</v>
      </c>
    </row>
    <row r="866" spans="1:6">
      <c r="A866" t="str">
        <f>"E1827-1"</f>
        <v>E1827-1</v>
      </c>
      <c r="B866" t="str">
        <f t="shared" ref="B866:B876" si="95">"VIA DI CANNETO IL CURTO  2-"</f>
        <v>VIA DI CANNETO IL CURTO  2-</v>
      </c>
      <c r="C866" t="str">
        <f t="shared" si="93"/>
        <v>GEA</v>
      </c>
      <c r="D866">
        <v>84</v>
      </c>
      <c r="E866" t="str">
        <f t="shared" ref="E866:E876" si="96">"479"</f>
        <v>479</v>
      </c>
      <c r="F866" t="str">
        <f>"13"</f>
        <v>13</v>
      </c>
    </row>
    <row r="867" spans="1:6">
      <c r="A867" t="str">
        <f>"E1827-2"</f>
        <v>E1827-2</v>
      </c>
      <c r="B867" t="str">
        <f t="shared" si="95"/>
        <v>VIA DI CANNETO IL CURTO  2-</v>
      </c>
      <c r="C867" t="str">
        <f t="shared" si="93"/>
        <v>GEA</v>
      </c>
      <c r="D867">
        <v>84</v>
      </c>
      <c r="E867" t="str">
        <f t="shared" si="96"/>
        <v>479</v>
      </c>
      <c r="F867" t="str">
        <f>"14"</f>
        <v>14</v>
      </c>
    </row>
    <row r="868" spans="1:6">
      <c r="A868" t="str">
        <f>"E1827-3"</f>
        <v>E1827-3</v>
      </c>
      <c r="B868" t="str">
        <f t="shared" si="95"/>
        <v>VIA DI CANNETO IL CURTO  2-</v>
      </c>
      <c r="C868" t="str">
        <f t="shared" si="93"/>
        <v>GEA</v>
      </c>
      <c r="D868">
        <v>84</v>
      </c>
      <c r="E868" t="str">
        <f t="shared" si="96"/>
        <v>479</v>
      </c>
      <c r="F868" t="str">
        <f>"15"</f>
        <v>15</v>
      </c>
    </row>
    <row r="869" spans="1:6">
      <c r="A869" t="str">
        <f>"E1827-4"</f>
        <v>E1827-4</v>
      </c>
      <c r="B869" t="str">
        <f t="shared" si="95"/>
        <v>VIA DI CANNETO IL CURTO  2-</v>
      </c>
      <c r="C869" t="str">
        <f t="shared" si="93"/>
        <v>GEA</v>
      </c>
      <c r="D869">
        <v>84</v>
      </c>
      <c r="E869" t="str">
        <f t="shared" si="96"/>
        <v>479</v>
      </c>
      <c r="F869" t="str">
        <f>"19"</f>
        <v>19</v>
      </c>
    </row>
    <row r="870" spans="1:6">
      <c r="A870" t="str">
        <f>"E1827-5"</f>
        <v>E1827-5</v>
      </c>
      <c r="B870" t="str">
        <f t="shared" si="95"/>
        <v>VIA DI CANNETO IL CURTO  2-</v>
      </c>
      <c r="C870" t="str">
        <f t="shared" si="93"/>
        <v>GEA</v>
      </c>
      <c r="D870">
        <v>84</v>
      </c>
      <c r="E870" t="str">
        <f t="shared" si="96"/>
        <v>479</v>
      </c>
      <c r="F870" t="str">
        <f>"21"</f>
        <v>21</v>
      </c>
    </row>
    <row r="871" spans="1:6">
      <c r="A871" t="str">
        <f>"E1827-6"</f>
        <v>E1827-6</v>
      </c>
      <c r="B871" t="str">
        <f t="shared" si="95"/>
        <v>VIA DI CANNETO IL CURTO  2-</v>
      </c>
      <c r="C871" t="str">
        <f t="shared" si="93"/>
        <v>GEA</v>
      </c>
      <c r="D871">
        <v>84</v>
      </c>
      <c r="E871" t="str">
        <f t="shared" si="96"/>
        <v>479</v>
      </c>
      <c r="F871" t="str">
        <f>"22"</f>
        <v>22</v>
      </c>
    </row>
    <row r="872" spans="1:6">
      <c r="A872" t="str">
        <f>"E1827-7"</f>
        <v>E1827-7</v>
      </c>
      <c r="B872" t="str">
        <f t="shared" si="95"/>
        <v>VIA DI CANNETO IL CURTO  2-</v>
      </c>
      <c r="C872" t="str">
        <f t="shared" si="93"/>
        <v>GEA</v>
      </c>
      <c r="D872">
        <v>84</v>
      </c>
      <c r="E872" t="str">
        <f t="shared" si="96"/>
        <v>479</v>
      </c>
      <c r="F872" t="str">
        <f>"23"</f>
        <v>23</v>
      </c>
    </row>
    <row r="873" spans="1:6">
      <c r="A873" t="str">
        <f>"E1827-8"</f>
        <v>E1827-8</v>
      </c>
      <c r="B873" t="str">
        <f t="shared" si="95"/>
        <v>VIA DI CANNETO IL CURTO  2-</v>
      </c>
      <c r="C873" t="str">
        <f t="shared" si="93"/>
        <v>GEA</v>
      </c>
      <c r="D873">
        <v>84</v>
      </c>
      <c r="E873" t="str">
        <f t="shared" si="96"/>
        <v>479</v>
      </c>
      <c r="F873" t="str">
        <f>"28"</f>
        <v>28</v>
      </c>
    </row>
    <row r="874" spans="1:6">
      <c r="A874" t="str">
        <f>"E1827-9"</f>
        <v>E1827-9</v>
      </c>
      <c r="B874" t="str">
        <f t="shared" si="95"/>
        <v>VIA DI CANNETO IL CURTO  2-</v>
      </c>
      <c r="C874" t="str">
        <f t="shared" si="93"/>
        <v>GEA</v>
      </c>
      <c r="D874">
        <v>84</v>
      </c>
      <c r="E874" t="str">
        <f t="shared" si="96"/>
        <v>479</v>
      </c>
      <c r="F874" t="str">
        <f>"35"</f>
        <v>35</v>
      </c>
    </row>
    <row r="875" spans="1:6">
      <c r="A875" t="str">
        <f>"E1827-10"</f>
        <v>E1827-10</v>
      </c>
      <c r="B875" t="str">
        <f t="shared" si="95"/>
        <v>VIA DI CANNETO IL CURTO  2-</v>
      </c>
      <c r="C875" t="str">
        <f t="shared" si="93"/>
        <v>GEA</v>
      </c>
      <c r="D875">
        <v>84</v>
      </c>
      <c r="E875" t="str">
        <f t="shared" si="96"/>
        <v>479</v>
      </c>
      <c r="F875" t="str">
        <f>"40"</f>
        <v>40</v>
      </c>
    </row>
    <row r="876" spans="1:6">
      <c r="A876" t="str">
        <f>"E1827-11"</f>
        <v>E1827-11</v>
      </c>
      <c r="B876" t="str">
        <f t="shared" si="95"/>
        <v>VIA DI CANNETO IL CURTO  2-</v>
      </c>
      <c r="C876" t="str">
        <f t="shared" si="93"/>
        <v>GEA</v>
      </c>
      <c r="D876">
        <v>84</v>
      </c>
      <c r="E876" t="str">
        <f t="shared" si="96"/>
        <v>479</v>
      </c>
      <c r="F876" t="str">
        <f>"41"</f>
        <v>41</v>
      </c>
    </row>
    <row r="877" spans="1:6">
      <c r="A877" t="str">
        <f>"E1828-1"</f>
        <v>E1828-1</v>
      </c>
      <c r="B877" t="str">
        <f>"VIA BARTOLOMEO BIANCO VICINO AL 4-"</f>
        <v>VIA BARTOLOMEO BIANCO VICINO AL 4-</v>
      </c>
      <c r="C877" t="str">
        <f>"GEC"</f>
        <v>GEC</v>
      </c>
      <c r="D877">
        <v>2</v>
      </c>
      <c r="E877" t="str">
        <f>"199"</f>
        <v>199</v>
      </c>
      <c r="F877" t="str">
        <f>"1"</f>
        <v>1</v>
      </c>
    </row>
    <row r="878" spans="1:6">
      <c r="A878" t="str">
        <f>"E1828-2"</f>
        <v>E1828-2</v>
      </c>
      <c r="B878" t="str">
        <f>"VIA BARTOLOMEO BIANCO VICINO AL 4-"</f>
        <v>VIA BARTOLOMEO BIANCO VICINO AL 4-</v>
      </c>
      <c r="C878" t="str">
        <f>"GEC"</f>
        <v>GEC</v>
      </c>
      <c r="D878">
        <v>2</v>
      </c>
      <c r="E878" t="str">
        <f>"199"</f>
        <v>199</v>
      </c>
      <c r="F878" t="str">
        <f>"2"</f>
        <v>2</v>
      </c>
    </row>
    <row r="879" spans="1:6">
      <c r="A879" t="str">
        <f>"E1829-1"</f>
        <v>E1829-1</v>
      </c>
      <c r="B879" t="str">
        <f>"VICO DEL CORALLO  19R-"</f>
        <v>VICO DEL CORALLO  19R-</v>
      </c>
      <c r="C879" t="str">
        <f t="shared" ref="C879:C884" si="97">"GEA"</f>
        <v>GEA</v>
      </c>
      <c r="D879">
        <v>106</v>
      </c>
      <c r="E879" t="str">
        <f t="shared" ref="E879:E884" si="98">"467"</f>
        <v>467</v>
      </c>
      <c r="F879" t="str">
        <f>"18"</f>
        <v>18</v>
      </c>
    </row>
    <row r="880" spans="1:6">
      <c r="A880" t="str">
        <f>"E1829-2"</f>
        <v>E1829-2</v>
      </c>
      <c r="B880" t="str">
        <f>"VIA EDMONDO DE AMICIS  2-"</f>
        <v>VIA EDMONDO DE AMICIS  2-</v>
      </c>
      <c r="C880" t="str">
        <f t="shared" si="97"/>
        <v>GEA</v>
      </c>
      <c r="D880">
        <v>106</v>
      </c>
      <c r="E880" t="str">
        <f t="shared" si="98"/>
        <v>467</v>
      </c>
      <c r="F880" t="str">
        <f>"20"</f>
        <v>20</v>
      </c>
    </row>
    <row r="881" spans="1:6">
      <c r="A881" t="str">
        <f>"E1829-3"</f>
        <v>E1829-3</v>
      </c>
      <c r="B881" t="str">
        <f>"VIA VARESE  2-"</f>
        <v>VIA VARESE  2-</v>
      </c>
      <c r="C881" t="str">
        <f t="shared" si="97"/>
        <v>GEA</v>
      </c>
      <c r="D881">
        <v>106</v>
      </c>
      <c r="E881" t="str">
        <f t="shared" si="98"/>
        <v>467</v>
      </c>
      <c r="F881" t="str">
        <f>"21"</f>
        <v>21</v>
      </c>
    </row>
    <row r="882" spans="1:6">
      <c r="A882" t="str">
        <f>"E1829-4"</f>
        <v>E1829-4</v>
      </c>
      <c r="B882" t="str">
        <f>"VIA EDMONDO DE AMICIS  2-"</f>
        <v>VIA EDMONDO DE AMICIS  2-</v>
      </c>
      <c r="C882" t="str">
        <f t="shared" si="97"/>
        <v>GEA</v>
      </c>
      <c r="D882">
        <v>106</v>
      </c>
      <c r="E882" t="str">
        <f t="shared" si="98"/>
        <v>467</v>
      </c>
      <c r="F882" t="str">
        <f>"8"</f>
        <v>8</v>
      </c>
    </row>
    <row r="883" spans="1:6">
      <c r="A883" t="str">
        <f>"E1829-5"</f>
        <v>E1829-5</v>
      </c>
      <c r="B883" t="str">
        <f>"VIA EDMONDO DE AMICIS  2-"</f>
        <v>VIA EDMONDO DE AMICIS  2-</v>
      </c>
      <c r="C883" t="str">
        <f t="shared" si="97"/>
        <v>GEA</v>
      </c>
      <c r="D883">
        <v>106</v>
      </c>
      <c r="E883" t="str">
        <f t="shared" si="98"/>
        <v>467</v>
      </c>
      <c r="F883" t="str">
        <f>"9"</f>
        <v>9</v>
      </c>
    </row>
    <row r="884" spans="1:6">
      <c r="A884" t="str">
        <f>"E1829-6"</f>
        <v>E1829-6</v>
      </c>
      <c r="B884" t="str">
        <f>"VIA EDMONDO DE AMICIS  2-"</f>
        <v>VIA EDMONDO DE AMICIS  2-</v>
      </c>
      <c r="C884" t="str">
        <f t="shared" si="97"/>
        <v>GEA</v>
      </c>
      <c r="D884">
        <v>106</v>
      </c>
      <c r="E884" t="str">
        <f t="shared" si="98"/>
        <v>467</v>
      </c>
      <c r="F884" t="str">
        <f>"10"</f>
        <v>10</v>
      </c>
    </row>
    <row r="885" spans="1:6">
      <c r="A885" t="str">
        <f>"E1832-1"</f>
        <v>E1832-1</v>
      </c>
      <c r="B885" t="str">
        <f>"VIA BARI  41-"</f>
        <v>VIA BARI  41-</v>
      </c>
      <c r="C885" t="str">
        <f>"GEC"</f>
        <v>GEC</v>
      </c>
      <c r="D885">
        <v>4</v>
      </c>
      <c r="E885" t="str">
        <f>"1374"</f>
        <v>1374</v>
      </c>
      <c r="F885" t="str">
        <f>"73"</f>
        <v>73</v>
      </c>
    </row>
    <row r="886" spans="1:6">
      <c r="A886" t="str">
        <f>"E1833-1"</f>
        <v>E1833-1</v>
      </c>
      <c r="B886" t="str">
        <f>"SALITA DI FAMAGOSTA  1R-"</f>
        <v>SALITA DI FAMAGOSTA  1R-</v>
      </c>
      <c r="C886" t="str">
        <f t="shared" ref="C886:C917" si="99">"GEA"</f>
        <v>GEA</v>
      </c>
      <c r="D886">
        <v>79</v>
      </c>
      <c r="E886" t="str">
        <f>"357"</f>
        <v>357</v>
      </c>
      <c r="F886" t="str">
        <f>"1"</f>
        <v>1</v>
      </c>
    </row>
    <row r="887" spans="1:6">
      <c r="C887" t="str">
        <f t="shared" si="99"/>
        <v>GEA</v>
      </c>
      <c r="D887">
        <v>79</v>
      </c>
      <c r="E887" t="str">
        <f>"360"</f>
        <v>360</v>
      </c>
      <c r="F887" t="str">
        <f>"0000"</f>
        <v>0000</v>
      </c>
    </row>
    <row r="888" spans="1:6">
      <c r="C888" t="str">
        <f t="shared" si="99"/>
        <v>GEA</v>
      </c>
      <c r="D888">
        <v>79</v>
      </c>
      <c r="E888" t="str">
        <f>"550"</f>
        <v>550</v>
      </c>
      <c r="F888" t="str">
        <f>"0000"</f>
        <v>0000</v>
      </c>
    </row>
    <row r="889" spans="1:6">
      <c r="A889" t="str">
        <f>"E1838-1"</f>
        <v>E1838-1</v>
      </c>
      <c r="B889" t="str">
        <f>"SALITA DEL PRIONE  14R-"</f>
        <v>SALITA DEL PRIONE  14R-</v>
      </c>
      <c r="C889" t="str">
        <f t="shared" si="99"/>
        <v>GEA</v>
      </c>
      <c r="D889">
        <v>97</v>
      </c>
      <c r="E889" t="str">
        <f t="shared" ref="E889:E902" si="100">"1501"</f>
        <v>1501</v>
      </c>
      <c r="F889" t="str">
        <f>"2"</f>
        <v>2</v>
      </c>
    </row>
    <row r="890" spans="1:6">
      <c r="A890" t="str">
        <f>"E1838-2"</f>
        <v>E1838-2</v>
      </c>
      <c r="B890" t="str">
        <f t="shared" ref="B890:B902" si="101">"SALITA DEL PRIONE  20-"</f>
        <v>SALITA DEL PRIONE  20-</v>
      </c>
      <c r="C890" t="str">
        <f t="shared" si="99"/>
        <v>GEA</v>
      </c>
      <c r="D890">
        <v>97</v>
      </c>
      <c r="E890" t="str">
        <f t="shared" si="100"/>
        <v>1501</v>
      </c>
      <c r="F890" t="str">
        <f>"3"</f>
        <v>3</v>
      </c>
    </row>
    <row r="891" spans="1:6">
      <c r="A891" t="str">
        <f>"E1838-3"</f>
        <v>E1838-3</v>
      </c>
      <c r="B891" t="str">
        <f t="shared" si="101"/>
        <v>SALITA DEL PRIONE  20-</v>
      </c>
      <c r="C891" t="str">
        <f t="shared" si="99"/>
        <v>GEA</v>
      </c>
      <c r="D891">
        <v>97</v>
      </c>
      <c r="E891" t="str">
        <f t="shared" si="100"/>
        <v>1501</v>
      </c>
      <c r="F891" t="str">
        <f>"4"</f>
        <v>4</v>
      </c>
    </row>
    <row r="892" spans="1:6">
      <c r="A892" t="str">
        <f>"E1838-4"</f>
        <v>E1838-4</v>
      </c>
      <c r="B892" t="str">
        <f t="shared" si="101"/>
        <v>SALITA DEL PRIONE  20-</v>
      </c>
      <c r="C892" t="str">
        <f t="shared" si="99"/>
        <v>GEA</v>
      </c>
      <c r="D892">
        <v>97</v>
      </c>
      <c r="E892" t="str">
        <f t="shared" si="100"/>
        <v>1501</v>
      </c>
      <c r="F892" t="str">
        <f>"5"</f>
        <v>5</v>
      </c>
    </row>
    <row r="893" spans="1:6">
      <c r="A893" t="str">
        <f>"E1838-5"</f>
        <v>E1838-5</v>
      </c>
      <c r="B893" t="str">
        <f t="shared" si="101"/>
        <v>SALITA DEL PRIONE  20-</v>
      </c>
      <c r="C893" t="str">
        <f t="shared" si="99"/>
        <v>GEA</v>
      </c>
      <c r="D893">
        <v>97</v>
      </c>
      <c r="E893" t="str">
        <f t="shared" si="100"/>
        <v>1501</v>
      </c>
      <c r="F893" t="str">
        <f>"6"</f>
        <v>6</v>
      </c>
    </row>
    <row r="894" spans="1:6">
      <c r="A894" t="str">
        <f>"E1838-6"</f>
        <v>E1838-6</v>
      </c>
      <c r="B894" t="str">
        <f t="shared" si="101"/>
        <v>SALITA DEL PRIONE  20-</v>
      </c>
      <c r="C894" t="str">
        <f t="shared" si="99"/>
        <v>GEA</v>
      </c>
      <c r="D894">
        <v>97</v>
      </c>
      <c r="E894" t="str">
        <f t="shared" si="100"/>
        <v>1501</v>
      </c>
      <c r="F894" t="str">
        <f>"7"</f>
        <v>7</v>
      </c>
    </row>
    <row r="895" spans="1:6">
      <c r="A895" t="str">
        <f>"E1838-7"</f>
        <v>E1838-7</v>
      </c>
      <c r="B895" t="str">
        <f t="shared" si="101"/>
        <v>SALITA DEL PRIONE  20-</v>
      </c>
      <c r="C895" t="str">
        <f t="shared" si="99"/>
        <v>GEA</v>
      </c>
      <c r="D895">
        <v>97</v>
      </c>
      <c r="E895" t="str">
        <f t="shared" si="100"/>
        <v>1501</v>
      </c>
      <c r="F895" t="str">
        <f>"8"</f>
        <v>8</v>
      </c>
    </row>
    <row r="896" spans="1:6">
      <c r="A896" t="str">
        <f>"E1838-8"</f>
        <v>E1838-8</v>
      </c>
      <c r="B896" t="str">
        <f t="shared" si="101"/>
        <v>SALITA DEL PRIONE  20-</v>
      </c>
      <c r="C896" t="str">
        <f t="shared" si="99"/>
        <v>GEA</v>
      </c>
      <c r="D896">
        <v>97</v>
      </c>
      <c r="E896" t="str">
        <f t="shared" si="100"/>
        <v>1501</v>
      </c>
      <c r="F896" t="str">
        <f>"9"</f>
        <v>9</v>
      </c>
    </row>
    <row r="897" spans="1:6">
      <c r="A897" t="str">
        <f>"E1838-9"</f>
        <v>E1838-9</v>
      </c>
      <c r="B897" t="str">
        <f t="shared" si="101"/>
        <v>SALITA DEL PRIONE  20-</v>
      </c>
      <c r="C897" t="str">
        <f t="shared" si="99"/>
        <v>GEA</v>
      </c>
      <c r="D897">
        <v>97</v>
      </c>
      <c r="E897" t="str">
        <f t="shared" si="100"/>
        <v>1501</v>
      </c>
      <c r="F897" t="str">
        <f>"10"</f>
        <v>10</v>
      </c>
    </row>
    <row r="898" spans="1:6">
      <c r="A898" t="str">
        <f>"E1838-10"</f>
        <v>E1838-10</v>
      </c>
      <c r="B898" t="str">
        <f t="shared" si="101"/>
        <v>SALITA DEL PRIONE  20-</v>
      </c>
      <c r="C898" t="str">
        <f t="shared" si="99"/>
        <v>GEA</v>
      </c>
      <c r="D898">
        <v>97</v>
      </c>
      <c r="E898" t="str">
        <f t="shared" si="100"/>
        <v>1501</v>
      </c>
      <c r="F898" t="str">
        <f>"11"</f>
        <v>11</v>
      </c>
    </row>
    <row r="899" spans="1:6">
      <c r="A899" t="str">
        <f>"E1838-11"</f>
        <v>E1838-11</v>
      </c>
      <c r="B899" t="str">
        <f t="shared" si="101"/>
        <v>SALITA DEL PRIONE  20-</v>
      </c>
      <c r="C899" t="str">
        <f t="shared" si="99"/>
        <v>GEA</v>
      </c>
      <c r="D899">
        <v>97</v>
      </c>
      <c r="E899" t="str">
        <f t="shared" si="100"/>
        <v>1501</v>
      </c>
      <c r="F899" t="str">
        <f>"12"</f>
        <v>12</v>
      </c>
    </row>
    <row r="900" spans="1:6">
      <c r="A900" t="str">
        <f>"E1838-12"</f>
        <v>E1838-12</v>
      </c>
      <c r="B900" t="str">
        <f t="shared" si="101"/>
        <v>SALITA DEL PRIONE  20-</v>
      </c>
      <c r="C900" t="str">
        <f t="shared" si="99"/>
        <v>GEA</v>
      </c>
      <c r="D900">
        <v>97</v>
      </c>
      <c r="E900" t="str">
        <f t="shared" si="100"/>
        <v>1501</v>
      </c>
      <c r="F900" t="str">
        <f>"13"</f>
        <v>13</v>
      </c>
    </row>
    <row r="901" spans="1:6">
      <c r="A901" t="str">
        <f>"E1838-13"</f>
        <v>E1838-13</v>
      </c>
      <c r="B901" t="str">
        <f t="shared" si="101"/>
        <v>SALITA DEL PRIONE  20-</v>
      </c>
      <c r="C901" t="str">
        <f t="shared" si="99"/>
        <v>GEA</v>
      </c>
      <c r="D901">
        <v>97</v>
      </c>
      <c r="E901" t="str">
        <f t="shared" si="100"/>
        <v>1501</v>
      </c>
      <c r="F901" t="str">
        <f>"14"</f>
        <v>14</v>
      </c>
    </row>
    <row r="902" spans="1:6">
      <c r="A902" t="str">
        <f>"E1838-14"</f>
        <v>E1838-14</v>
      </c>
      <c r="B902" t="str">
        <f t="shared" si="101"/>
        <v>SALITA DEL PRIONE  20-</v>
      </c>
      <c r="C902" t="str">
        <f t="shared" si="99"/>
        <v>GEA</v>
      </c>
      <c r="D902">
        <v>97</v>
      </c>
      <c r="E902" t="str">
        <f t="shared" si="100"/>
        <v>1501</v>
      </c>
      <c r="F902" t="str">
        <f>"15"</f>
        <v>15</v>
      </c>
    </row>
    <row r="903" spans="1:6">
      <c r="A903" t="str">
        <f>"E1839-1"</f>
        <v>E1839-1</v>
      </c>
      <c r="B903" t="str">
        <f t="shared" ref="B903:B914" si="102">"SALITA DEL PRIONE  22-"</f>
        <v>SALITA DEL PRIONE  22-</v>
      </c>
      <c r="C903" t="str">
        <f t="shared" si="99"/>
        <v>GEA</v>
      </c>
      <c r="D903">
        <v>97</v>
      </c>
      <c r="E903" t="str">
        <f t="shared" ref="E903:E914" si="103">"597"</f>
        <v>597</v>
      </c>
      <c r="F903" t="str">
        <f>"2"</f>
        <v>2</v>
      </c>
    </row>
    <row r="904" spans="1:6">
      <c r="A904" t="str">
        <f>"E1839-2"</f>
        <v>E1839-2</v>
      </c>
      <c r="B904" t="str">
        <f t="shared" si="102"/>
        <v>SALITA DEL PRIONE  22-</v>
      </c>
      <c r="C904" t="str">
        <f t="shared" si="99"/>
        <v>GEA</v>
      </c>
      <c r="D904">
        <v>97</v>
      </c>
      <c r="E904" t="str">
        <f t="shared" si="103"/>
        <v>597</v>
      </c>
      <c r="F904" t="str">
        <f>"3"</f>
        <v>3</v>
      </c>
    </row>
    <row r="905" spans="1:6">
      <c r="A905" t="str">
        <f>"E1839-3"</f>
        <v>E1839-3</v>
      </c>
      <c r="B905" t="str">
        <f t="shared" si="102"/>
        <v>SALITA DEL PRIONE  22-</v>
      </c>
      <c r="C905" t="str">
        <f t="shared" si="99"/>
        <v>GEA</v>
      </c>
      <c r="D905">
        <v>97</v>
      </c>
      <c r="E905" t="str">
        <f t="shared" si="103"/>
        <v>597</v>
      </c>
      <c r="F905" t="str">
        <f>"4"</f>
        <v>4</v>
      </c>
    </row>
    <row r="906" spans="1:6">
      <c r="A906" t="str">
        <f>"E1839-4"</f>
        <v>E1839-4</v>
      </c>
      <c r="B906" t="str">
        <f t="shared" si="102"/>
        <v>SALITA DEL PRIONE  22-</v>
      </c>
      <c r="C906" t="str">
        <f t="shared" si="99"/>
        <v>GEA</v>
      </c>
      <c r="D906">
        <v>97</v>
      </c>
      <c r="E906" t="str">
        <f t="shared" si="103"/>
        <v>597</v>
      </c>
      <c r="F906" t="str">
        <f>"5"</f>
        <v>5</v>
      </c>
    </row>
    <row r="907" spans="1:6">
      <c r="A907" t="str">
        <f>"E1839-5"</f>
        <v>E1839-5</v>
      </c>
      <c r="B907" t="str">
        <f t="shared" si="102"/>
        <v>SALITA DEL PRIONE  22-</v>
      </c>
      <c r="C907" t="str">
        <f t="shared" si="99"/>
        <v>GEA</v>
      </c>
      <c r="D907">
        <v>97</v>
      </c>
      <c r="E907" t="str">
        <f t="shared" si="103"/>
        <v>597</v>
      </c>
      <c r="F907" t="str">
        <f>"6"</f>
        <v>6</v>
      </c>
    </row>
    <row r="908" spans="1:6">
      <c r="A908" t="str">
        <f>"E1839-6"</f>
        <v>E1839-6</v>
      </c>
      <c r="B908" t="str">
        <f t="shared" si="102"/>
        <v>SALITA DEL PRIONE  22-</v>
      </c>
      <c r="C908" t="str">
        <f t="shared" si="99"/>
        <v>GEA</v>
      </c>
      <c r="D908">
        <v>97</v>
      </c>
      <c r="E908" t="str">
        <f t="shared" si="103"/>
        <v>597</v>
      </c>
      <c r="F908" t="str">
        <f>"7"</f>
        <v>7</v>
      </c>
    </row>
    <row r="909" spans="1:6">
      <c r="A909" t="str">
        <f>"E1839-7"</f>
        <v>E1839-7</v>
      </c>
      <c r="B909" t="str">
        <f t="shared" si="102"/>
        <v>SALITA DEL PRIONE  22-</v>
      </c>
      <c r="C909" t="str">
        <f t="shared" si="99"/>
        <v>GEA</v>
      </c>
      <c r="D909">
        <v>97</v>
      </c>
      <c r="E909" t="str">
        <f t="shared" si="103"/>
        <v>597</v>
      </c>
      <c r="F909" t="str">
        <f>"8"</f>
        <v>8</v>
      </c>
    </row>
    <row r="910" spans="1:6">
      <c r="A910" t="str">
        <f>"E1839-8"</f>
        <v>E1839-8</v>
      </c>
      <c r="B910" t="str">
        <f t="shared" si="102"/>
        <v>SALITA DEL PRIONE  22-</v>
      </c>
      <c r="C910" t="str">
        <f t="shared" si="99"/>
        <v>GEA</v>
      </c>
      <c r="D910">
        <v>97</v>
      </c>
      <c r="E910" t="str">
        <f t="shared" si="103"/>
        <v>597</v>
      </c>
      <c r="F910" t="str">
        <f>"9"</f>
        <v>9</v>
      </c>
    </row>
    <row r="911" spans="1:6">
      <c r="A911" t="str">
        <f>"E1839-9"</f>
        <v>E1839-9</v>
      </c>
      <c r="B911" t="str">
        <f t="shared" si="102"/>
        <v>SALITA DEL PRIONE  22-</v>
      </c>
      <c r="C911" t="str">
        <f t="shared" si="99"/>
        <v>GEA</v>
      </c>
      <c r="D911">
        <v>97</v>
      </c>
      <c r="E911" t="str">
        <f t="shared" si="103"/>
        <v>597</v>
      </c>
      <c r="F911" t="str">
        <f>"10"</f>
        <v>10</v>
      </c>
    </row>
    <row r="912" spans="1:6">
      <c r="A912" t="str">
        <f>"E1839-10"</f>
        <v>E1839-10</v>
      </c>
      <c r="B912" t="str">
        <f t="shared" si="102"/>
        <v>SALITA DEL PRIONE  22-</v>
      </c>
      <c r="C912" t="str">
        <f t="shared" si="99"/>
        <v>GEA</v>
      </c>
      <c r="D912">
        <v>97</v>
      </c>
      <c r="E912" t="str">
        <f t="shared" si="103"/>
        <v>597</v>
      </c>
      <c r="F912" t="str">
        <f>"11"</f>
        <v>11</v>
      </c>
    </row>
    <row r="913" spans="1:6">
      <c r="A913" t="str">
        <f>"E1839-11"</f>
        <v>E1839-11</v>
      </c>
      <c r="B913" t="str">
        <f t="shared" si="102"/>
        <v>SALITA DEL PRIONE  22-</v>
      </c>
      <c r="C913" t="str">
        <f t="shared" si="99"/>
        <v>GEA</v>
      </c>
      <c r="D913">
        <v>97</v>
      </c>
      <c r="E913" t="str">
        <f t="shared" si="103"/>
        <v>597</v>
      </c>
      <c r="F913" t="str">
        <f>"12"</f>
        <v>12</v>
      </c>
    </row>
    <row r="914" spans="1:6">
      <c r="A914" t="str">
        <f>"E1839-12"</f>
        <v>E1839-12</v>
      </c>
      <c r="B914" t="str">
        <f t="shared" si="102"/>
        <v>SALITA DEL PRIONE  22-</v>
      </c>
      <c r="C914" t="str">
        <f t="shared" si="99"/>
        <v>GEA</v>
      </c>
      <c r="D914">
        <v>97</v>
      </c>
      <c r="E914" t="str">
        <f t="shared" si="103"/>
        <v>597</v>
      </c>
      <c r="F914" t="str">
        <f>"13"</f>
        <v>13</v>
      </c>
    </row>
    <row r="915" spans="1:6">
      <c r="A915" t="str">
        <f>"E1840-1"</f>
        <v>E1840-1</v>
      </c>
      <c r="B915" t="str">
        <f>"SALITA DEL PRIONE  18R-"</f>
        <v>SALITA DEL PRIONE  18R-</v>
      </c>
      <c r="C915" t="str">
        <f t="shared" si="99"/>
        <v>GEA</v>
      </c>
      <c r="D915">
        <v>97</v>
      </c>
      <c r="E915" t="str">
        <f t="shared" ref="E915:E927" si="104">"598"</f>
        <v>598</v>
      </c>
      <c r="F915" t="str">
        <f>"2"</f>
        <v>2</v>
      </c>
    </row>
    <row r="916" spans="1:6">
      <c r="A916" t="str">
        <f>"E1840-2"</f>
        <v>E1840-2</v>
      </c>
      <c r="B916" t="str">
        <f t="shared" ref="B916:B927" si="105">"SALITA DEL PRIONE  24-"</f>
        <v>SALITA DEL PRIONE  24-</v>
      </c>
      <c r="C916" t="str">
        <f t="shared" si="99"/>
        <v>GEA</v>
      </c>
      <c r="D916">
        <v>97</v>
      </c>
      <c r="E916" t="str">
        <f t="shared" si="104"/>
        <v>598</v>
      </c>
      <c r="F916" t="str">
        <f>"3"</f>
        <v>3</v>
      </c>
    </row>
    <row r="917" spans="1:6">
      <c r="A917" t="str">
        <f>"E1840-3"</f>
        <v>E1840-3</v>
      </c>
      <c r="B917" t="str">
        <f t="shared" si="105"/>
        <v>SALITA DEL PRIONE  24-</v>
      </c>
      <c r="C917" t="str">
        <f t="shared" si="99"/>
        <v>GEA</v>
      </c>
      <c r="D917">
        <v>97</v>
      </c>
      <c r="E917" t="str">
        <f t="shared" si="104"/>
        <v>598</v>
      </c>
      <c r="F917" t="str">
        <f>"4"</f>
        <v>4</v>
      </c>
    </row>
    <row r="918" spans="1:6">
      <c r="A918" t="str">
        <f>"E1840-4"</f>
        <v>E1840-4</v>
      </c>
      <c r="B918" t="str">
        <f t="shared" si="105"/>
        <v>SALITA DEL PRIONE  24-</v>
      </c>
      <c r="C918" t="str">
        <f t="shared" ref="C918:C949" si="106">"GEA"</f>
        <v>GEA</v>
      </c>
      <c r="D918">
        <v>97</v>
      </c>
      <c r="E918" t="str">
        <f t="shared" si="104"/>
        <v>598</v>
      </c>
      <c r="F918" t="str">
        <f>"5"</f>
        <v>5</v>
      </c>
    </row>
    <row r="919" spans="1:6">
      <c r="A919" t="str">
        <f>"E1840-5"</f>
        <v>E1840-5</v>
      </c>
      <c r="B919" t="str">
        <f t="shared" si="105"/>
        <v>SALITA DEL PRIONE  24-</v>
      </c>
      <c r="C919" t="str">
        <f t="shared" si="106"/>
        <v>GEA</v>
      </c>
      <c r="D919">
        <v>97</v>
      </c>
      <c r="E919" t="str">
        <f t="shared" si="104"/>
        <v>598</v>
      </c>
      <c r="F919" t="str">
        <f>"6"</f>
        <v>6</v>
      </c>
    </row>
    <row r="920" spans="1:6">
      <c r="A920" t="str">
        <f>"E1840-6"</f>
        <v>E1840-6</v>
      </c>
      <c r="B920" t="str">
        <f t="shared" si="105"/>
        <v>SALITA DEL PRIONE  24-</v>
      </c>
      <c r="C920" t="str">
        <f t="shared" si="106"/>
        <v>GEA</v>
      </c>
      <c r="D920">
        <v>97</v>
      </c>
      <c r="E920" t="str">
        <f t="shared" si="104"/>
        <v>598</v>
      </c>
      <c r="F920" t="str">
        <f>"7"</f>
        <v>7</v>
      </c>
    </row>
    <row r="921" spans="1:6">
      <c r="A921" t="str">
        <f>"E1840-7"</f>
        <v>E1840-7</v>
      </c>
      <c r="B921" t="str">
        <f t="shared" si="105"/>
        <v>SALITA DEL PRIONE  24-</v>
      </c>
      <c r="C921" t="str">
        <f t="shared" si="106"/>
        <v>GEA</v>
      </c>
      <c r="D921">
        <v>97</v>
      </c>
      <c r="E921" t="str">
        <f t="shared" si="104"/>
        <v>598</v>
      </c>
      <c r="F921" t="str">
        <f>"8"</f>
        <v>8</v>
      </c>
    </row>
    <row r="922" spans="1:6">
      <c r="A922" t="str">
        <f>"E1840-8"</f>
        <v>E1840-8</v>
      </c>
      <c r="B922" t="str">
        <f t="shared" si="105"/>
        <v>SALITA DEL PRIONE  24-</v>
      </c>
      <c r="C922" t="str">
        <f t="shared" si="106"/>
        <v>GEA</v>
      </c>
      <c r="D922">
        <v>97</v>
      </c>
      <c r="E922" t="str">
        <f t="shared" si="104"/>
        <v>598</v>
      </c>
      <c r="F922" t="str">
        <f>"9"</f>
        <v>9</v>
      </c>
    </row>
    <row r="923" spans="1:6">
      <c r="A923" t="str">
        <f>"E1840-9"</f>
        <v>E1840-9</v>
      </c>
      <c r="B923" t="str">
        <f t="shared" si="105"/>
        <v>SALITA DEL PRIONE  24-</v>
      </c>
      <c r="C923" t="str">
        <f t="shared" si="106"/>
        <v>GEA</v>
      </c>
      <c r="D923">
        <v>97</v>
      </c>
      <c r="E923" t="str">
        <f t="shared" si="104"/>
        <v>598</v>
      </c>
      <c r="F923" t="str">
        <f>"10"</f>
        <v>10</v>
      </c>
    </row>
    <row r="924" spans="1:6">
      <c r="A924" t="str">
        <f>"E1840-10"</f>
        <v>E1840-10</v>
      </c>
      <c r="B924" t="str">
        <f t="shared" si="105"/>
        <v>SALITA DEL PRIONE  24-</v>
      </c>
      <c r="C924" t="str">
        <f t="shared" si="106"/>
        <v>GEA</v>
      </c>
      <c r="D924">
        <v>97</v>
      </c>
      <c r="E924" t="str">
        <f t="shared" si="104"/>
        <v>598</v>
      </c>
      <c r="F924" t="str">
        <f>"11"</f>
        <v>11</v>
      </c>
    </row>
    <row r="925" spans="1:6">
      <c r="A925" t="str">
        <f>"E1840-11"</f>
        <v>E1840-11</v>
      </c>
      <c r="B925" t="str">
        <f t="shared" si="105"/>
        <v>SALITA DEL PRIONE  24-</v>
      </c>
      <c r="C925" t="str">
        <f t="shared" si="106"/>
        <v>GEA</v>
      </c>
      <c r="D925">
        <v>97</v>
      </c>
      <c r="E925" t="str">
        <f t="shared" si="104"/>
        <v>598</v>
      </c>
      <c r="F925" t="str">
        <f>"12"</f>
        <v>12</v>
      </c>
    </row>
    <row r="926" spans="1:6">
      <c r="A926" t="str">
        <f>"E1840-12"</f>
        <v>E1840-12</v>
      </c>
      <c r="B926" t="str">
        <f t="shared" si="105"/>
        <v>SALITA DEL PRIONE  24-</v>
      </c>
      <c r="C926" t="str">
        <f t="shared" si="106"/>
        <v>GEA</v>
      </c>
      <c r="D926">
        <v>97</v>
      </c>
      <c r="E926" t="str">
        <f t="shared" si="104"/>
        <v>598</v>
      </c>
      <c r="F926" t="str">
        <f>"13"</f>
        <v>13</v>
      </c>
    </row>
    <row r="927" spans="1:6">
      <c r="A927" t="str">
        <f>"E1840-13"</f>
        <v>E1840-13</v>
      </c>
      <c r="B927" t="str">
        <f t="shared" si="105"/>
        <v>SALITA DEL PRIONE  24-</v>
      </c>
      <c r="C927" t="str">
        <f t="shared" si="106"/>
        <v>GEA</v>
      </c>
      <c r="D927">
        <v>97</v>
      </c>
      <c r="E927" t="str">
        <f t="shared" si="104"/>
        <v>598</v>
      </c>
      <c r="F927" t="str">
        <f>"14"</f>
        <v>14</v>
      </c>
    </row>
    <row r="928" spans="1:6">
      <c r="A928" t="str">
        <f>"E1841-1"</f>
        <v>E1841-1</v>
      </c>
      <c r="B928" t="str">
        <f>"SALITA DEL PRIONE  20R-"</f>
        <v>SALITA DEL PRIONE  20R-</v>
      </c>
      <c r="C928" t="str">
        <f t="shared" si="106"/>
        <v>GEA</v>
      </c>
      <c r="D928">
        <v>97</v>
      </c>
      <c r="E928" t="str">
        <f t="shared" ref="E928:E961" si="107">"596"</f>
        <v>596</v>
      </c>
      <c r="F928" t="str">
        <f>"3"</f>
        <v>3</v>
      </c>
    </row>
    <row r="929" spans="1:6">
      <c r="A929" t="str">
        <f>"E1841-2"</f>
        <v>E1841-2</v>
      </c>
      <c r="B929" t="str">
        <f>"SALITA DEL PRIONE  24R-"</f>
        <v>SALITA DEL PRIONE  24R-</v>
      </c>
      <c r="C929" t="str">
        <f t="shared" si="106"/>
        <v>GEA</v>
      </c>
      <c r="D929">
        <v>97</v>
      </c>
      <c r="E929" t="str">
        <f t="shared" si="107"/>
        <v>596</v>
      </c>
      <c r="F929" t="str">
        <f>"4"</f>
        <v>4</v>
      </c>
    </row>
    <row r="930" spans="1:6">
      <c r="A930" t="str">
        <f>"E1841-3"</f>
        <v>E1841-3</v>
      </c>
      <c r="B930" t="str">
        <f>"VICO DELLE CARABAGHE  3-"</f>
        <v>VICO DELLE CARABAGHE  3-</v>
      </c>
      <c r="C930" t="str">
        <f t="shared" si="106"/>
        <v>GEA</v>
      </c>
      <c r="D930">
        <v>97</v>
      </c>
      <c r="E930" t="str">
        <f t="shared" si="107"/>
        <v>596</v>
      </c>
      <c r="F930" t="str">
        <f>"5"</f>
        <v>5</v>
      </c>
    </row>
    <row r="931" spans="1:6">
      <c r="A931" t="str">
        <f>"E1841-4"</f>
        <v>E1841-4</v>
      </c>
      <c r="B931" t="str">
        <f t="shared" ref="B931:B938" si="108">"SALITA DEL PRIONE  26-"</f>
        <v>SALITA DEL PRIONE  26-</v>
      </c>
      <c r="C931" t="str">
        <f t="shared" si="106"/>
        <v>GEA</v>
      </c>
      <c r="D931">
        <v>97</v>
      </c>
      <c r="E931" t="str">
        <f t="shared" si="107"/>
        <v>596</v>
      </c>
      <c r="F931" t="str">
        <f>"6"</f>
        <v>6</v>
      </c>
    </row>
    <row r="932" spans="1:6">
      <c r="A932" t="str">
        <f>"E1841-5"</f>
        <v>E1841-5</v>
      </c>
      <c r="B932" t="str">
        <f t="shared" si="108"/>
        <v>SALITA DEL PRIONE  26-</v>
      </c>
      <c r="C932" t="str">
        <f t="shared" si="106"/>
        <v>GEA</v>
      </c>
      <c r="D932">
        <v>97</v>
      </c>
      <c r="E932" t="str">
        <f t="shared" si="107"/>
        <v>596</v>
      </c>
      <c r="F932" t="str">
        <f>"7"</f>
        <v>7</v>
      </c>
    </row>
    <row r="933" spans="1:6">
      <c r="A933" t="str">
        <f>"E1841-6"</f>
        <v>E1841-6</v>
      </c>
      <c r="B933" t="str">
        <f t="shared" si="108"/>
        <v>SALITA DEL PRIONE  26-</v>
      </c>
      <c r="C933" t="str">
        <f t="shared" si="106"/>
        <v>GEA</v>
      </c>
      <c r="D933">
        <v>97</v>
      </c>
      <c r="E933" t="str">
        <f t="shared" si="107"/>
        <v>596</v>
      </c>
      <c r="F933" t="str">
        <f>"8"</f>
        <v>8</v>
      </c>
    </row>
    <row r="934" spans="1:6">
      <c r="A934" t="str">
        <f>"E1841-7"</f>
        <v>E1841-7</v>
      </c>
      <c r="B934" t="str">
        <f t="shared" si="108"/>
        <v>SALITA DEL PRIONE  26-</v>
      </c>
      <c r="C934" t="str">
        <f t="shared" si="106"/>
        <v>GEA</v>
      </c>
      <c r="D934">
        <v>97</v>
      </c>
      <c r="E934" t="str">
        <f t="shared" si="107"/>
        <v>596</v>
      </c>
      <c r="F934" t="str">
        <f>"9"</f>
        <v>9</v>
      </c>
    </row>
    <row r="935" spans="1:6">
      <c r="A935" t="str">
        <f>"E1841-8"</f>
        <v>E1841-8</v>
      </c>
      <c r="B935" t="str">
        <f t="shared" si="108"/>
        <v>SALITA DEL PRIONE  26-</v>
      </c>
      <c r="C935" t="str">
        <f t="shared" si="106"/>
        <v>GEA</v>
      </c>
      <c r="D935">
        <v>97</v>
      </c>
      <c r="E935" t="str">
        <f t="shared" si="107"/>
        <v>596</v>
      </c>
      <c r="F935" t="str">
        <f>"10"</f>
        <v>10</v>
      </c>
    </row>
    <row r="936" spans="1:6">
      <c r="A936" t="str">
        <f>"E1841-9"</f>
        <v>E1841-9</v>
      </c>
      <c r="B936" t="str">
        <f t="shared" si="108"/>
        <v>SALITA DEL PRIONE  26-</v>
      </c>
      <c r="C936" t="str">
        <f t="shared" si="106"/>
        <v>GEA</v>
      </c>
      <c r="D936">
        <v>97</v>
      </c>
      <c r="E936" t="str">
        <f t="shared" si="107"/>
        <v>596</v>
      </c>
      <c r="F936" t="str">
        <f>"11"</f>
        <v>11</v>
      </c>
    </row>
    <row r="937" spans="1:6">
      <c r="A937" t="str">
        <f>"E1841-10"</f>
        <v>E1841-10</v>
      </c>
      <c r="B937" t="str">
        <f t="shared" si="108"/>
        <v>SALITA DEL PRIONE  26-</v>
      </c>
      <c r="C937" t="str">
        <f t="shared" si="106"/>
        <v>GEA</v>
      </c>
      <c r="D937">
        <v>97</v>
      </c>
      <c r="E937" t="str">
        <f t="shared" si="107"/>
        <v>596</v>
      </c>
      <c r="F937" t="str">
        <f>"12"</f>
        <v>12</v>
      </c>
    </row>
    <row r="938" spans="1:6">
      <c r="A938" t="str">
        <f>"E1841-11"</f>
        <v>E1841-11</v>
      </c>
      <c r="B938" t="str">
        <f t="shared" si="108"/>
        <v>SALITA DEL PRIONE  26-</v>
      </c>
      <c r="C938" t="str">
        <f t="shared" si="106"/>
        <v>GEA</v>
      </c>
      <c r="D938">
        <v>97</v>
      </c>
      <c r="E938" t="str">
        <f t="shared" si="107"/>
        <v>596</v>
      </c>
      <c r="F938" t="str">
        <f>"13"</f>
        <v>13</v>
      </c>
    </row>
    <row r="939" spans="1:6">
      <c r="A939" t="str">
        <f>"E1841-12"</f>
        <v>E1841-12</v>
      </c>
      <c r="B939" t="str">
        <f>"SALITA DEL PRIONE SITO NEL 28R-"</f>
        <v>SALITA DEL PRIONE SITO NEL 28R-</v>
      </c>
      <c r="C939" t="str">
        <f t="shared" si="106"/>
        <v>GEA</v>
      </c>
      <c r="D939">
        <v>97</v>
      </c>
      <c r="E939" t="str">
        <f t="shared" si="107"/>
        <v>596</v>
      </c>
      <c r="F939" t="str">
        <f>"15"</f>
        <v>15</v>
      </c>
    </row>
    <row r="940" spans="1:6">
      <c r="A940" t="str">
        <f>"E1841-13"</f>
        <v>E1841-13</v>
      </c>
      <c r="B940" t="str">
        <f t="shared" ref="B940:B959" si="109">"SALITA DEL PRIONE  28-"</f>
        <v>SALITA DEL PRIONE  28-</v>
      </c>
      <c r="C940" t="str">
        <f t="shared" si="106"/>
        <v>GEA</v>
      </c>
      <c r="D940">
        <v>97</v>
      </c>
      <c r="E940" t="str">
        <f t="shared" si="107"/>
        <v>596</v>
      </c>
      <c r="F940" t="str">
        <f>"16"</f>
        <v>16</v>
      </c>
    </row>
    <row r="941" spans="1:6">
      <c r="A941" t="str">
        <f>"E1841-14"</f>
        <v>E1841-14</v>
      </c>
      <c r="B941" t="str">
        <f t="shared" si="109"/>
        <v>SALITA DEL PRIONE  28-</v>
      </c>
      <c r="C941" t="str">
        <f t="shared" si="106"/>
        <v>GEA</v>
      </c>
      <c r="D941">
        <v>97</v>
      </c>
      <c r="E941" t="str">
        <f t="shared" si="107"/>
        <v>596</v>
      </c>
      <c r="F941" t="str">
        <f>"17"</f>
        <v>17</v>
      </c>
    </row>
    <row r="942" spans="1:6">
      <c r="A942" t="str">
        <f>"E1841-15"</f>
        <v>E1841-15</v>
      </c>
      <c r="B942" t="str">
        <f t="shared" si="109"/>
        <v>SALITA DEL PRIONE  28-</v>
      </c>
      <c r="C942" t="str">
        <f t="shared" si="106"/>
        <v>GEA</v>
      </c>
      <c r="D942">
        <v>97</v>
      </c>
      <c r="E942" t="str">
        <f t="shared" si="107"/>
        <v>596</v>
      </c>
      <c r="F942" t="str">
        <f>"18"</f>
        <v>18</v>
      </c>
    </row>
    <row r="943" spans="1:6">
      <c r="A943" t="str">
        <f>"E1841-16"</f>
        <v>E1841-16</v>
      </c>
      <c r="B943" t="str">
        <f t="shared" si="109"/>
        <v>SALITA DEL PRIONE  28-</v>
      </c>
      <c r="C943" t="str">
        <f t="shared" si="106"/>
        <v>GEA</v>
      </c>
      <c r="D943">
        <v>97</v>
      </c>
      <c r="E943" t="str">
        <f t="shared" si="107"/>
        <v>596</v>
      </c>
      <c r="F943" t="str">
        <f>"19"</f>
        <v>19</v>
      </c>
    </row>
    <row r="944" spans="1:6">
      <c r="A944" t="str">
        <f>"E1841-17"</f>
        <v>E1841-17</v>
      </c>
      <c r="B944" t="str">
        <f t="shared" si="109"/>
        <v>SALITA DEL PRIONE  28-</v>
      </c>
      <c r="C944" t="str">
        <f t="shared" si="106"/>
        <v>GEA</v>
      </c>
      <c r="D944">
        <v>97</v>
      </c>
      <c r="E944" t="str">
        <f t="shared" si="107"/>
        <v>596</v>
      </c>
      <c r="F944" t="str">
        <f>"20"</f>
        <v>20</v>
      </c>
    </row>
    <row r="945" spans="1:6">
      <c r="A945" t="str">
        <f>"E1841-18"</f>
        <v>E1841-18</v>
      </c>
      <c r="B945" t="str">
        <f t="shared" si="109"/>
        <v>SALITA DEL PRIONE  28-</v>
      </c>
      <c r="C945" t="str">
        <f t="shared" si="106"/>
        <v>GEA</v>
      </c>
      <c r="D945">
        <v>97</v>
      </c>
      <c r="E945" t="str">
        <f t="shared" si="107"/>
        <v>596</v>
      </c>
      <c r="F945" t="str">
        <f>"21"</f>
        <v>21</v>
      </c>
    </row>
    <row r="946" spans="1:6">
      <c r="A946" t="str">
        <f>"E1841-19"</f>
        <v>E1841-19</v>
      </c>
      <c r="B946" t="str">
        <f t="shared" si="109"/>
        <v>SALITA DEL PRIONE  28-</v>
      </c>
      <c r="C946" t="str">
        <f t="shared" si="106"/>
        <v>GEA</v>
      </c>
      <c r="D946">
        <v>97</v>
      </c>
      <c r="E946" t="str">
        <f t="shared" si="107"/>
        <v>596</v>
      </c>
      <c r="F946" t="str">
        <f>"22"</f>
        <v>22</v>
      </c>
    </row>
    <row r="947" spans="1:6">
      <c r="A947" t="str">
        <f>"E1841-20"</f>
        <v>E1841-20</v>
      </c>
      <c r="B947" t="str">
        <f t="shared" si="109"/>
        <v>SALITA DEL PRIONE  28-</v>
      </c>
      <c r="C947" t="str">
        <f t="shared" si="106"/>
        <v>GEA</v>
      </c>
      <c r="D947">
        <v>97</v>
      </c>
      <c r="E947" t="str">
        <f t="shared" si="107"/>
        <v>596</v>
      </c>
      <c r="F947" t="str">
        <f>"23"</f>
        <v>23</v>
      </c>
    </row>
    <row r="948" spans="1:6">
      <c r="A948" t="str">
        <f>"E1841-21"</f>
        <v>E1841-21</v>
      </c>
      <c r="B948" t="str">
        <f t="shared" si="109"/>
        <v>SALITA DEL PRIONE  28-</v>
      </c>
      <c r="C948" t="str">
        <f t="shared" si="106"/>
        <v>GEA</v>
      </c>
      <c r="D948">
        <v>97</v>
      </c>
      <c r="E948" t="str">
        <f t="shared" si="107"/>
        <v>596</v>
      </c>
      <c r="F948" t="str">
        <f>"24"</f>
        <v>24</v>
      </c>
    </row>
    <row r="949" spans="1:6">
      <c r="A949" t="str">
        <f>"E1841-22"</f>
        <v>E1841-22</v>
      </c>
      <c r="B949" t="str">
        <f t="shared" si="109"/>
        <v>SALITA DEL PRIONE  28-</v>
      </c>
      <c r="C949" t="str">
        <f t="shared" si="106"/>
        <v>GEA</v>
      </c>
      <c r="D949">
        <v>97</v>
      </c>
      <c r="E949" t="str">
        <f t="shared" si="107"/>
        <v>596</v>
      </c>
      <c r="F949" t="str">
        <f>"25"</f>
        <v>25</v>
      </c>
    </row>
    <row r="950" spans="1:6">
      <c r="A950" t="str">
        <f>"E1841-23"</f>
        <v>E1841-23</v>
      </c>
      <c r="B950" t="str">
        <f t="shared" si="109"/>
        <v>SALITA DEL PRIONE  28-</v>
      </c>
      <c r="C950" t="str">
        <f t="shared" ref="C950:C981" si="110">"GEA"</f>
        <v>GEA</v>
      </c>
      <c r="D950">
        <v>97</v>
      </c>
      <c r="E950" t="str">
        <f t="shared" si="107"/>
        <v>596</v>
      </c>
      <c r="F950" t="str">
        <f>"26"</f>
        <v>26</v>
      </c>
    </row>
    <row r="951" spans="1:6">
      <c r="A951" t="str">
        <f>"E1841-24"</f>
        <v>E1841-24</v>
      </c>
      <c r="B951" t="str">
        <f t="shared" si="109"/>
        <v>SALITA DEL PRIONE  28-</v>
      </c>
      <c r="C951" t="str">
        <f t="shared" si="110"/>
        <v>GEA</v>
      </c>
      <c r="D951">
        <v>97</v>
      </c>
      <c r="E951" t="str">
        <f t="shared" si="107"/>
        <v>596</v>
      </c>
      <c r="F951" t="str">
        <f>"27"</f>
        <v>27</v>
      </c>
    </row>
    <row r="952" spans="1:6">
      <c r="A952" t="str">
        <f>"E1841-25"</f>
        <v>E1841-25</v>
      </c>
      <c r="B952" t="str">
        <f t="shared" si="109"/>
        <v>SALITA DEL PRIONE  28-</v>
      </c>
      <c r="C952" t="str">
        <f t="shared" si="110"/>
        <v>GEA</v>
      </c>
      <c r="D952">
        <v>97</v>
      </c>
      <c r="E952" t="str">
        <f t="shared" si="107"/>
        <v>596</v>
      </c>
      <c r="F952" t="str">
        <f>"28"</f>
        <v>28</v>
      </c>
    </row>
    <row r="953" spans="1:6">
      <c r="A953" t="str">
        <f>"E1841-26"</f>
        <v>E1841-26</v>
      </c>
      <c r="B953" t="str">
        <f t="shared" si="109"/>
        <v>SALITA DEL PRIONE  28-</v>
      </c>
      <c r="C953" t="str">
        <f t="shared" si="110"/>
        <v>GEA</v>
      </c>
      <c r="D953">
        <v>97</v>
      </c>
      <c r="E953" t="str">
        <f t="shared" si="107"/>
        <v>596</v>
      </c>
      <c r="F953" t="str">
        <f>"29"</f>
        <v>29</v>
      </c>
    </row>
    <row r="954" spans="1:6">
      <c r="A954" t="str">
        <f>"E1841-27"</f>
        <v>E1841-27</v>
      </c>
      <c r="B954" t="str">
        <f t="shared" si="109"/>
        <v>SALITA DEL PRIONE  28-</v>
      </c>
      <c r="C954" t="str">
        <f t="shared" si="110"/>
        <v>GEA</v>
      </c>
      <c r="D954">
        <v>97</v>
      </c>
      <c r="E954" t="str">
        <f t="shared" si="107"/>
        <v>596</v>
      </c>
      <c r="F954" t="str">
        <f>"30"</f>
        <v>30</v>
      </c>
    </row>
    <row r="955" spans="1:6">
      <c r="A955" t="str">
        <f>"E1841-28"</f>
        <v>E1841-28</v>
      </c>
      <c r="B955" t="str">
        <f t="shared" si="109"/>
        <v>SALITA DEL PRIONE  28-</v>
      </c>
      <c r="C955" t="str">
        <f t="shared" si="110"/>
        <v>GEA</v>
      </c>
      <c r="D955">
        <v>97</v>
      </c>
      <c r="E955" t="str">
        <f t="shared" si="107"/>
        <v>596</v>
      </c>
      <c r="F955" t="str">
        <f>"31"</f>
        <v>31</v>
      </c>
    </row>
    <row r="956" spans="1:6">
      <c r="A956" t="str">
        <f>"E1841-29"</f>
        <v>E1841-29</v>
      </c>
      <c r="B956" t="str">
        <f t="shared" si="109"/>
        <v>SALITA DEL PRIONE  28-</v>
      </c>
      <c r="C956" t="str">
        <f t="shared" si="110"/>
        <v>GEA</v>
      </c>
      <c r="D956">
        <v>97</v>
      </c>
      <c r="E956" t="str">
        <f t="shared" si="107"/>
        <v>596</v>
      </c>
      <c r="F956" t="str">
        <f>"32"</f>
        <v>32</v>
      </c>
    </row>
    <row r="957" spans="1:6">
      <c r="A957" t="str">
        <f>"E1841-30"</f>
        <v>E1841-30</v>
      </c>
      <c r="B957" t="str">
        <f t="shared" si="109"/>
        <v>SALITA DEL PRIONE  28-</v>
      </c>
      <c r="C957" t="str">
        <f t="shared" si="110"/>
        <v>GEA</v>
      </c>
      <c r="D957">
        <v>97</v>
      </c>
      <c r="E957" t="str">
        <f t="shared" si="107"/>
        <v>596</v>
      </c>
      <c r="F957" t="str">
        <f>"33"</f>
        <v>33</v>
      </c>
    </row>
    <row r="958" spans="1:6">
      <c r="A958" t="str">
        <f>"E1841-31"</f>
        <v>E1841-31</v>
      </c>
      <c r="B958" t="str">
        <f t="shared" si="109"/>
        <v>SALITA DEL PRIONE  28-</v>
      </c>
      <c r="C958" t="str">
        <f t="shared" si="110"/>
        <v>GEA</v>
      </c>
      <c r="D958">
        <v>97</v>
      </c>
      <c r="E958" t="str">
        <f t="shared" si="107"/>
        <v>596</v>
      </c>
      <c r="F958" t="str">
        <f>"34"</f>
        <v>34</v>
      </c>
    </row>
    <row r="959" spans="1:6">
      <c r="A959" t="str">
        <f>"E1841-32"</f>
        <v>E1841-32</v>
      </c>
      <c r="B959" t="str">
        <f t="shared" si="109"/>
        <v>SALITA DEL PRIONE  28-</v>
      </c>
      <c r="C959" t="str">
        <f t="shared" si="110"/>
        <v>GEA</v>
      </c>
      <c r="D959">
        <v>97</v>
      </c>
      <c r="E959" t="str">
        <f t="shared" si="107"/>
        <v>596</v>
      </c>
      <c r="F959" t="str">
        <f>"35"</f>
        <v>35</v>
      </c>
    </row>
    <row r="960" spans="1:6">
      <c r="A960" t="str">
        <f>"E1841-33"</f>
        <v>E1841-33</v>
      </c>
      <c r="B960" t="str">
        <f>"VICO DELLE CARABAGHE VICINO AL 3-"</f>
        <v>VICO DELLE CARABAGHE VICINO AL 3-</v>
      </c>
      <c r="C960" t="str">
        <f t="shared" si="110"/>
        <v>GEA</v>
      </c>
      <c r="D960">
        <v>97</v>
      </c>
      <c r="E960" t="str">
        <f t="shared" si="107"/>
        <v>596</v>
      </c>
      <c r="F960" t="str">
        <f>"36"</f>
        <v>36</v>
      </c>
    </row>
    <row r="961" spans="1:6">
      <c r="A961" t="str">
        <f>"E1841-34"</f>
        <v>E1841-34</v>
      </c>
      <c r="B961" t="str">
        <f>"VICO DELLE CARABAGHE  1-"</f>
        <v>VICO DELLE CARABAGHE  1-</v>
      </c>
      <c r="C961" t="str">
        <f t="shared" si="110"/>
        <v>GEA</v>
      </c>
      <c r="D961">
        <v>97</v>
      </c>
      <c r="E961" t="str">
        <f t="shared" si="107"/>
        <v>596</v>
      </c>
      <c r="F961" t="str">
        <f>"38"</f>
        <v>38</v>
      </c>
    </row>
    <row r="962" spans="1:6">
      <c r="A962" t="str">
        <f>"E1842-1"</f>
        <v>E1842-1</v>
      </c>
      <c r="B962" t="str">
        <f>"SALITA DEL PRIONE  34R-"</f>
        <v>SALITA DEL PRIONE  34R-</v>
      </c>
      <c r="C962" t="str">
        <f t="shared" si="110"/>
        <v>GEA</v>
      </c>
      <c r="D962">
        <v>97</v>
      </c>
      <c r="E962" t="str">
        <f t="shared" ref="E962:E988" si="111">"599"</f>
        <v>599</v>
      </c>
      <c r="F962" t="str">
        <f>"2"</f>
        <v>2</v>
      </c>
    </row>
    <row r="963" spans="1:6">
      <c r="A963" t="str">
        <f>"E1842-2"</f>
        <v>E1842-2</v>
      </c>
      <c r="B963" t="str">
        <f>"SALITA DEL PRIONE  40R-"</f>
        <v>SALITA DEL PRIONE  40R-</v>
      </c>
      <c r="C963" t="str">
        <f t="shared" si="110"/>
        <v>GEA</v>
      </c>
      <c r="D963">
        <v>97</v>
      </c>
      <c r="E963" t="str">
        <f t="shared" si="111"/>
        <v>599</v>
      </c>
      <c r="F963" t="str">
        <f>"3"</f>
        <v>3</v>
      </c>
    </row>
    <row r="964" spans="1:6">
      <c r="A964" t="str">
        <f>"E1842-3"</f>
        <v>E1842-3</v>
      </c>
      <c r="B964" t="str">
        <f>"SALITA DEL PRIONE  36R-"</f>
        <v>SALITA DEL PRIONE  36R-</v>
      </c>
      <c r="C964" t="str">
        <f t="shared" si="110"/>
        <v>GEA</v>
      </c>
      <c r="D964">
        <v>67</v>
      </c>
      <c r="E964" t="str">
        <f t="shared" si="111"/>
        <v>599</v>
      </c>
      <c r="F964" t="str">
        <f>"4"</f>
        <v>4</v>
      </c>
    </row>
    <row r="965" spans="1:6">
      <c r="A965" t="str">
        <f>"E1842-4"</f>
        <v>E1842-4</v>
      </c>
      <c r="B965" t="str">
        <f t="shared" ref="B965:B988" si="112">"SALITA DEL PRIONE  30-"</f>
        <v>SALITA DEL PRIONE  30-</v>
      </c>
      <c r="C965" t="str">
        <f t="shared" si="110"/>
        <v>GEA</v>
      </c>
      <c r="D965">
        <v>97</v>
      </c>
      <c r="E965" t="str">
        <f t="shared" si="111"/>
        <v>599</v>
      </c>
      <c r="F965" t="str">
        <f>"5"</f>
        <v>5</v>
      </c>
    </row>
    <row r="966" spans="1:6">
      <c r="A966" t="str">
        <f>"E1842-5"</f>
        <v>E1842-5</v>
      </c>
      <c r="B966" t="str">
        <f t="shared" si="112"/>
        <v>SALITA DEL PRIONE  30-</v>
      </c>
      <c r="C966" t="str">
        <f t="shared" si="110"/>
        <v>GEA</v>
      </c>
      <c r="D966">
        <v>97</v>
      </c>
      <c r="E966" t="str">
        <f t="shared" si="111"/>
        <v>599</v>
      </c>
      <c r="F966" t="str">
        <f>"6"</f>
        <v>6</v>
      </c>
    </row>
    <row r="967" spans="1:6">
      <c r="A967" t="str">
        <f>"E1842-6"</f>
        <v>E1842-6</v>
      </c>
      <c r="B967" t="str">
        <f t="shared" si="112"/>
        <v>SALITA DEL PRIONE  30-</v>
      </c>
      <c r="C967" t="str">
        <f t="shared" si="110"/>
        <v>GEA</v>
      </c>
      <c r="D967">
        <v>97</v>
      </c>
      <c r="E967" t="str">
        <f t="shared" si="111"/>
        <v>599</v>
      </c>
      <c r="F967" t="str">
        <f>"7"</f>
        <v>7</v>
      </c>
    </row>
    <row r="968" spans="1:6">
      <c r="A968" t="str">
        <f>"E1842-7"</f>
        <v>E1842-7</v>
      </c>
      <c r="B968" t="str">
        <f t="shared" si="112"/>
        <v>SALITA DEL PRIONE  30-</v>
      </c>
      <c r="C968" t="str">
        <f t="shared" si="110"/>
        <v>GEA</v>
      </c>
      <c r="D968">
        <v>97</v>
      </c>
      <c r="E968" t="str">
        <f t="shared" si="111"/>
        <v>599</v>
      </c>
      <c r="F968" t="str">
        <f>"8"</f>
        <v>8</v>
      </c>
    </row>
    <row r="969" spans="1:6">
      <c r="A969" t="str">
        <f>"E1842-8"</f>
        <v>E1842-8</v>
      </c>
      <c r="B969" t="str">
        <f t="shared" si="112"/>
        <v>SALITA DEL PRIONE  30-</v>
      </c>
      <c r="C969" t="str">
        <f t="shared" si="110"/>
        <v>GEA</v>
      </c>
      <c r="D969">
        <v>97</v>
      </c>
      <c r="E969" t="str">
        <f t="shared" si="111"/>
        <v>599</v>
      </c>
      <c r="F969" t="str">
        <f>"9"</f>
        <v>9</v>
      </c>
    </row>
    <row r="970" spans="1:6">
      <c r="A970" t="str">
        <f>"E1842-9"</f>
        <v>E1842-9</v>
      </c>
      <c r="B970" t="str">
        <f t="shared" si="112"/>
        <v>SALITA DEL PRIONE  30-</v>
      </c>
      <c r="C970" t="str">
        <f t="shared" si="110"/>
        <v>GEA</v>
      </c>
      <c r="D970">
        <v>97</v>
      </c>
      <c r="E970" t="str">
        <f t="shared" si="111"/>
        <v>599</v>
      </c>
      <c r="F970" t="str">
        <f>"10"</f>
        <v>10</v>
      </c>
    </row>
    <row r="971" spans="1:6">
      <c r="A971" t="str">
        <f>"E1842-10"</f>
        <v>E1842-10</v>
      </c>
      <c r="B971" t="str">
        <f t="shared" si="112"/>
        <v>SALITA DEL PRIONE  30-</v>
      </c>
      <c r="C971" t="str">
        <f t="shared" si="110"/>
        <v>GEA</v>
      </c>
      <c r="D971">
        <v>97</v>
      </c>
      <c r="E971" t="str">
        <f t="shared" si="111"/>
        <v>599</v>
      </c>
      <c r="F971" t="str">
        <f>"11"</f>
        <v>11</v>
      </c>
    </row>
    <row r="972" spans="1:6">
      <c r="A972" t="str">
        <f>"E1842-11"</f>
        <v>E1842-11</v>
      </c>
      <c r="B972" t="str">
        <f t="shared" si="112"/>
        <v>SALITA DEL PRIONE  30-</v>
      </c>
      <c r="C972" t="str">
        <f t="shared" si="110"/>
        <v>GEA</v>
      </c>
      <c r="D972">
        <v>97</v>
      </c>
      <c r="E972" t="str">
        <f t="shared" si="111"/>
        <v>599</v>
      </c>
      <c r="F972" t="str">
        <f>"12"</f>
        <v>12</v>
      </c>
    </row>
    <row r="973" spans="1:6">
      <c r="A973" t="str">
        <f>"E1842-12"</f>
        <v>E1842-12</v>
      </c>
      <c r="B973" t="str">
        <f t="shared" si="112"/>
        <v>SALITA DEL PRIONE  30-</v>
      </c>
      <c r="C973" t="str">
        <f t="shared" si="110"/>
        <v>GEA</v>
      </c>
      <c r="D973">
        <v>97</v>
      </c>
      <c r="E973" t="str">
        <f t="shared" si="111"/>
        <v>599</v>
      </c>
      <c r="F973" t="str">
        <f>"13"</f>
        <v>13</v>
      </c>
    </row>
    <row r="974" spans="1:6">
      <c r="A974" t="str">
        <f>"E1842-13"</f>
        <v>E1842-13</v>
      </c>
      <c r="B974" t="str">
        <f t="shared" si="112"/>
        <v>SALITA DEL PRIONE  30-</v>
      </c>
      <c r="C974" t="str">
        <f t="shared" si="110"/>
        <v>GEA</v>
      </c>
      <c r="D974">
        <v>97</v>
      </c>
      <c r="E974" t="str">
        <f t="shared" si="111"/>
        <v>599</v>
      </c>
      <c r="F974" t="str">
        <f>"14"</f>
        <v>14</v>
      </c>
    </row>
    <row r="975" spans="1:6">
      <c r="A975" t="str">
        <f>"E1842-14"</f>
        <v>E1842-14</v>
      </c>
      <c r="B975" t="str">
        <f t="shared" si="112"/>
        <v>SALITA DEL PRIONE  30-</v>
      </c>
      <c r="C975" t="str">
        <f t="shared" si="110"/>
        <v>GEA</v>
      </c>
      <c r="D975">
        <v>97</v>
      </c>
      <c r="E975" t="str">
        <f t="shared" si="111"/>
        <v>599</v>
      </c>
      <c r="F975" t="str">
        <f>"15"</f>
        <v>15</v>
      </c>
    </row>
    <row r="976" spans="1:6">
      <c r="A976" t="str">
        <f>"E1842-15"</f>
        <v>E1842-15</v>
      </c>
      <c r="B976" t="str">
        <f t="shared" si="112"/>
        <v>SALITA DEL PRIONE  30-</v>
      </c>
      <c r="C976" t="str">
        <f t="shared" si="110"/>
        <v>GEA</v>
      </c>
      <c r="D976">
        <v>97</v>
      </c>
      <c r="E976" t="str">
        <f t="shared" si="111"/>
        <v>599</v>
      </c>
      <c r="F976" t="str">
        <f>"16"</f>
        <v>16</v>
      </c>
    </row>
    <row r="977" spans="1:6">
      <c r="A977" t="str">
        <f>"E1842-16"</f>
        <v>E1842-16</v>
      </c>
      <c r="B977" t="str">
        <f t="shared" si="112"/>
        <v>SALITA DEL PRIONE  30-</v>
      </c>
      <c r="C977" t="str">
        <f t="shared" si="110"/>
        <v>GEA</v>
      </c>
      <c r="D977">
        <v>97</v>
      </c>
      <c r="E977" t="str">
        <f t="shared" si="111"/>
        <v>599</v>
      </c>
      <c r="F977" t="str">
        <f>"17"</f>
        <v>17</v>
      </c>
    </row>
    <row r="978" spans="1:6">
      <c r="A978" t="str">
        <f>"E1842-17"</f>
        <v>E1842-17</v>
      </c>
      <c r="B978" t="str">
        <f t="shared" si="112"/>
        <v>SALITA DEL PRIONE  30-</v>
      </c>
      <c r="C978" t="str">
        <f t="shared" si="110"/>
        <v>GEA</v>
      </c>
      <c r="D978">
        <v>97</v>
      </c>
      <c r="E978" t="str">
        <f t="shared" si="111"/>
        <v>599</v>
      </c>
      <c r="F978" t="str">
        <f>"18"</f>
        <v>18</v>
      </c>
    </row>
    <row r="979" spans="1:6">
      <c r="A979" t="str">
        <f>"E1842-18"</f>
        <v>E1842-18</v>
      </c>
      <c r="B979" t="str">
        <f t="shared" si="112"/>
        <v>SALITA DEL PRIONE  30-</v>
      </c>
      <c r="C979" t="str">
        <f t="shared" si="110"/>
        <v>GEA</v>
      </c>
      <c r="D979">
        <v>97</v>
      </c>
      <c r="E979" t="str">
        <f t="shared" si="111"/>
        <v>599</v>
      </c>
      <c r="F979" t="str">
        <f>"19"</f>
        <v>19</v>
      </c>
    </row>
    <row r="980" spans="1:6">
      <c r="A980" t="str">
        <f>"E1842-19"</f>
        <v>E1842-19</v>
      </c>
      <c r="B980" t="str">
        <f t="shared" si="112"/>
        <v>SALITA DEL PRIONE  30-</v>
      </c>
      <c r="C980" t="str">
        <f t="shared" si="110"/>
        <v>GEA</v>
      </c>
      <c r="D980">
        <v>97</v>
      </c>
      <c r="E980" t="str">
        <f t="shared" si="111"/>
        <v>599</v>
      </c>
      <c r="F980" t="str">
        <f>"20"</f>
        <v>20</v>
      </c>
    </row>
    <row r="981" spans="1:6">
      <c r="A981" t="str">
        <f>"E1842-20"</f>
        <v>E1842-20</v>
      </c>
      <c r="B981" t="str">
        <f t="shared" si="112"/>
        <v>SALITA DEL PRIONE  30-</v>
      </c>
      <c r="C981" t="str">
        <f t="shared" si="110"/>
        <v>GEA</v>
      </c>
      <c r="D981">
        <v>97</v>
      </c>
      <c r="E981" t="str">
        <f t="shared" si="111"/>
        <v>599</v>
      </c>
      <c r="F981" t="str">
        <f>"21"</f>
        <v>21</v>
      </c>
    </row>
    <row r="982" spans="1:6">
      <c r="A982" t="str">
        <f>"E1842-21"</f>
        <v>E1842-21</v>
      </c>
      <c r="B982" t="str">
        <f t="shared" si="112"/>
        <v>SALITA DEL PRIONE  30-</v>
      </c>
      <c r="C982" t="str">
        <f t="shared" ref="C982:C1013" si="113">"GEA"</f>
        <v>GEA</v>
      </c>
      <c r="D982">
        <v>97</v>
      </c>
      <c r="E982" t="str">
        <f t="shared" si="111"/>
        <v>599</v>
      </c>
      <c r="F982" t="str">
        <f>"22"</f>
        <v>22</v>
      </c>
    </row>
    <row r="983" spans="1:6">
      <c r="A983" t="str">
        <f>"E1842-22"</f>
        <v>E1842-22</v>
      </c>
      <c r="B983" t="str">
        <f t="shared" si="112"/>
        <v>SALITA DEL PRIONE  30-</v>
      </c>
      <c r="C983" t="str">
        <f t="shared" si="113"/>
        <v>GEA</v>
      </c>
      <c r="D983">
        <v>97</v>
      </c>
      <c r="E983" t="str">
        <f t="shared" si="111"/>
        <v>599</v>
      </c>
      <c r="F983" t="str">
        <f>"23"</f>
        <v>23</v>
      </c>
    </row>
    <row r="984" spans="1:6">
      <c r="A984" t="str">
        <f>"E1842-23"</f>
        <v>E1842-23</v>
      </c>
      <c r="B984" t="str">
        <f t="shared" si="112"/>
        <v>SALITA DEL PRIONE  30-</v>
      </c>
      <c r="C984" t="str">
        <f t="shared" si="113"/>
        <v>GEA</v>
      </c>
      <c r="D984">
        <v>97</v>
      </c>
      <c r="E984" t="str">
        <f t="shared" si="111"/>
        <v>599</v>
      </c>
      <c r="F984" t="str">
        <f>"24"</f>
        <v>24</v>
      </c>
    </row>
    <row r="985" spans="1:6">
      <c r="A985" t="str">
        <f>"E1842-24"</f>
        <v>E1842-24</v>
      </c>
      <c r="B985" t="str">
        <f t="shared" si="112"/>
        <v>SALITA DEL PRIONE  30-</v>
      </c>
      <c r="C985" t="str">
        <f t="shared" si="113"/>
        <v>GEA</v>
      </c>
      <c r="D985">
        <v>97</v>
      </c>
      <c r="E985" t="str">
        <f t="shared" si="111"/>
        <v>599</v>
      </c>
      <c r="F985" t="str">
        <f>"25"</f>
        <v>25</v>
      </c>
    </row>
    <row r="986" spans="1:6">
      <c r="A986" t="str">
        <f>"E1842-25"</f>
        <v>E1842-25</v>
      </c>
      <c r="B986" t="str">
        <f t="shared" si="112"/>
        <v>SALITA DEL PRIONE  30-</v>
      </c>
      <c r="C986" t="str">
        <f t="shared" si="113"/>
        <v>GEA</v>
      </c>
      <c r="D986">
        <v>97</v>
      </c>
      <c r="E986" t="str">
        <f t="shared" si="111"/>
        <v>599</v>
      </c>
      <c r="F986" t="str">
        <f>"26"</f>
        <v>26</v>
      </c>
    </row>
    <row r="987" spans="1:6">
      <c r="A987" t="str">
        <f>"E1842-26"</f>
        <v>E1842-26</v>
      </c>
      <c r="B987" t="str">
        <f t="shared" si="112"/>
        <v>SALITA DEL PRIONE  30-</v>
      </c>
      <c r="C987" t="str">
        <f t="shared" si="113"/>
        <v>GEA</v>
      </c>
      <c r="D987">
        <v>97</v>
      </c>
      <c r="E987" t="str">
        <f t="shared" si="111"/>
        <v>599</v>
      </c>
      <c r="F987" t="str">
        <f>"27"</f>
        <v>27</v>
      </c>
    </row>
    <row r="988" spans="1:6">
      <c r="A988" t="str">
        <f>"E1842-27"</f>
        <v>E1842-27</v>
      </c>
      <c r="B988" t="str">
        <f t="shared" si="112"/>
        <v>SALITA DEL PRIONE  30-</v>
      </c>
      <c r="C988" t="str">
        <f t="shared" si="113"/>
        <v>GEA</v>
      </c>
      <c r="D988">
        <v>97</v>
      </c>
      <c r="E988" t="str">
        <f t="shared" si="111"/>
        <v>599</v>
      </c>
      <c r="F988" t="str">
        <f>"28"</f>
        <v>28</v>
      </c>
    </row>
    <row r="989" spans="1:6">
      <c r="A989" t="str">
        <f>"E1843-1"</f>
        <v>E1843-1</v>
      </c>
      <c r="B989" t="str">
        <f>"VIA DEL COLLE  64R-"</f>
        <v>VIA DEL COLLE  64R-</v>
      </c>
      <c r="C989" t="str">
        <f t="shared" si="113"/>
        <v>GEA</v>
      </c>
      <c r="D989">
        <v>97</v>
      </c>
      <c r="E989" t="str">
        <f t="shared" ref="E989:E994" si="114">"178"</f>
        <v>178</v>
      </c>
      <c r="F989" t="str">
        <f>"1"</f>
        <v>1</v>
      </c>
    </row>
    <row r="990" spans="1:6">
      <c r="A990" t="str">
        <f>"E1843-2"</f>
        <v>E1843-2</v>
      </c>
      <c r="B990" t="str">
        <f>"VIA DEL COLLE  48-"</f>
        <v>VIA DEL COLLE  48-</v>
      </c>
      <c r="C990" t="str">
        <f t="shared" si="113"/>
        <v>GEA</v>
      </c>
      <c r="D990">
        <v>97</v>
      </c>
      <c r="E990" t="str">
        <f t="shared" si="114"/>
        <v>178</v>
      </c>
      <c r="F990" t="str">
        <f>"2"</f>
        <v>2</v>
      </c>
    </row>
    <row r="991" spans="1:6">
      <c r="A991" t="str">
        <f>"E1843-3"</f>
        <v>E1843-3</v>
      </c>
      <c r="B991" t="str">
        <f>"VIA DEL COLLE  48-"</f>
        <v>VIA DEL COLLE  48-</v>
      </c>
      <c r="C991" t="str">
        <f t="shared" si="113"/>
        <v>GEA</v>
      </c>
      <c r="D991">
        <v>97</v>
      </c>
      <c r="E991" t="str">
        <f t="shared" si="114"/>
        <v>178</v>
      </c>
      <c r="F991" t="str">
        <f>"3"</f>
        <v>3</v>
      </c>
    </row>
    <row r="992" spans="1:6">
      <c r="A992" t="str">
        <f>"E1843-4"</f>
        <v>E1843-4</v>
      </c>
      <c r="B992" t="str">
        <f>"VIA DEL COLLE  48-"</f>
        <v>VIA DEL COLLE  48-</v>
      </c>
      <c r="C992" t="str">
        <f t="shared" si="113"/>
        <v>GEA</v>
      </c>
      <c r="D992">
        <v>97</v>
      </c>
      <c r="E992" t="str">
        <f t="shared" si="114"/>
        <v>178</v>
      </c>
      <c r="F992" t="str">
        <f>"4"</f>
        <v>4</v>
      </c>
    </row>
    <row r="993" spans="1:6">
      <c r="A993" t="str">
        <f>"E1843-5"</f>
        <v>E1843-5</v>
      </c>
      <c r="B993" t="str">
        <f>"VIA DEL COLLE  48-"</f>
        <v>VIA DEL COLLE  48-</v>
      </c>
      <c r="C993" t="str">
        <f t="shared" si="113"/>
        <v>GEA</v>
      </c>
      <c r="D993">
        <v>97</v>
      </c>
      <c r="E993" t="str">
        <f t="shared" si="114"/>
        <v>178</v>
      </c>
      <c r="F993" t="str">
        <f>"5"</f>
        <v>5</v>
      </c>
    </row>
    <row r="994" spans="1:6">
      <c r="A994" t="str">
        <f>"E1843-6"</f>
        <v>E1843-6</v>
      </c>
      <c r="B994" t="str">
        <f>"VIA DEL COLLE  48-"</f>
        <v>VIA DEL COLLE  48-</v>
      </c>
      <c r="C994" t="str">
        <f t="shared" si="113"/>
        <v>GEA</v>
      </c>
      <c r="D994">
        <v>97</v>
      </c>
      <c r="E994" t="str">
        <f t="shared" si="114"/>
        <v>178</v>
      </c>
      <c r="F994" t="str">
        <f>"6"</f>
        <v>6</v>
      </c>
    </row>
    <row r="995" spans="1:6">
      <c r="A995" t="str">
        <f>"E1844-1"</f>
        <v>E1844-1</v>
      </c>
      <c r="B995" t="str">
        <f>"VIA DEL COLLE SITO NEL 50-"</f>
        <v>VIA DEL COLLE SITO NEL 50-</v>
      </c>
      <c r="C995" t="str">
        <f t="shared" si="113"/>
        <v>GEA</v>
      </c>
      <c r="D995">
        <v>97</v>
      </c>
      <c r="E995" t="str">
        <f t="shared" ref="E995:E1007" si="115">"179"</f>
        <v>179</v>
      </c>
      <c r="F995" t="str">
        <f>"4"</f>
        <v>4</v>
      </c>
    </row>
    <row r="996" spans="1:6">
      <c r="A996" t="str">
        <f>"E1844-2"</f>
        <v>E1844-2</v>
      </c>
      <c r="B996" t="str">
        <f>"VIA DEL COLLE SITO NEL 50-"</f>
        <v>VIA DEL COLLE SITO NEL 50-</v>
      </c>
      <c r="C996" t="str">
        <f t="shared" si="113"/>
        <v>GEA</v>
      </c>
      <c r="D996">
        <v>97</v>
      </c>
      <c r="E996" t="str">
        <f t="shared" si="115"/>
        <v>179</v>
      </c>
      <c r="F996" t="str">
        <f>"5"</f>
        <v>5</v>
      </c>
    </row>
    <row r="997" spans="1:6">
      <c r="A997" t="str">
        <f>"E1844-3"</f>
        <v>E1844-3</v>
      </c>
      <c r="B997" t="str">
        <f>"VIA DEL COLLE  50-"</f>
        <v>VIA DEL COLLE  50-</v>
      </c>
      <c r="C997" t="str">
        <f t="shared" si="113"/>
        <v>GEA</v>
      </c>
      <c r="D997">
        <v>97</v>
      </c>
      <c r="E997" t="str">
        <f t="shared" si="115"/>
        <v>179</v>
      </c>
      <c r="F997" t="str">
        <f>"9"</f>
        <v>9</v>
      </c>
    </row>
    <row r="998" spans="1:6">
      <c r="A998" t="str">
        <f>"E1844-4"</f>
        <v>E1844-4</v>
      </c>
      <c r="B998" t="str">
        <f>"VIA DEL COLLE SITO NEL 50-"</f>
        <v>VIA DEL COLLE SITO NEL 50-</v>
      </c>
      <c r="C998" t="str">
        <f t="shared" si="113"/>
        <v>GEA</v>
      </c>
      <c r="D998">
        <v>97</v>
      </c>
      <c r="E998" t="str">
        <f t="shared" si="115"/>
        <v>179</v>
      </c>
      <c r="F998" t="str">
        <f>"6"</f>
        <v>6</v>
      </c>
    </row>
    <row r="999" spans="1:6">
      <c r="A999" t="str">
        <f>"E1844-5"</f>
        <v>E1844-5</v>
      </c>
      <c r="B999" t="str">
        <f>"VIA DEL COLLE  50-"</f>
        <v>VIA DEL COLLE  50-</v>
      </c>
      <c r="C999" t="str">
        <f t="shared" si="113"/>
        <v>GEA</v>
      </c>
      <c r="D999">
        <v>97</v>
      </c>
      <c r="E999" t="str">
        <f t="shared" si="115"/>
        <v>179</v>
      </c>
      <c r="F999" t="str">
        <f>"10"</f>
        <v>10</v>
      </c>
    </row>
    <row r="1000" spans="1:6">
      <c r="A1000" t="str">
        <f>"E1844-6"</f>
        <v>E1844-6</v>
      </c>
      <c r="B1000" t="str">
        <f>"VIA DEL COLLE SITO NEL 50-"</f>
        <v>VIA DEL COLLE SITO NEL 50-</v>
      </c>
      <c r="C1000" t="str">
        <f t="shared" si="113"/>
        <v>GEA</v>
      </c>
      <c r="D1000">
        <v>97</v>
      </c>
      <c r="E1000" t="str">
        <f t="shared" si="115"/>
        <v>179</v>
      </c>
      <c r="F1000" t="str">
        <f>"7"</f>
        <v>7</v>
      </c>
    </row>
    <row r="1001" spans="1:6">
      <c r="A1001" t="str">
        <f>"E1844-7"</f>
        <v>E1844-7</v>
      </c>
      <c r="B1001" t="str">
        <f>"VIA DEL COLLE  50-"</f>
        <v>VIA DEL COLLE  50-</v>
      </c>
      <c r="C1001" t="str">
        <f t="shared" si="113"/>
        <v>GEA</v>
      </c>
      <c r="D1001">
        <v>97</v>
      </c>
      <c r="E1001" t="str">
        <f t="shared" si="115"/>
        <v>179</v>
      </c>
      <c r="F1001" t="str">
        <f>"11"</f>
        <v>11</v>
      </c>
    </row>
    <row r="1002" spans="1:6">
      <c r="A1002" t="str">
        <f>"E1844-8"</f>
        <v>E1844-8</v>
      </c>
      <c r="B1002" t="str">
        <f>"VIA DEL COLLE SITO NEL 50-"</f>
        <v>VIA DEL COLLE SITO NEL 50-</v>
      </c>
      <c r="C1002" t="str">
        <f t="shared" si="113"/>
        <v>GEA</v>
      </c>
      <c r="D1002">
        <v>97</v>
      </c>
      <c r="E1002" t="str">
        <f t="shared" si="115"/>
        <v>179</v>
      </c>
      <c r="F1002" t="str">
        <f>"16"</f>
        <v>16</v>
      </c>
    </row>
    <row r="1003" spans="1:6">
      <c r="A1003" t="str">
        <f>"E1844-9"</f>
        <v>E1844-9</v>
      </c>
      <c r="B1003" t="str">
        <f>"VIA DEL COLLE SITO NEL 50-"</f>
        <v>VIA DEL COLLE SITO NEL 50-</v>
      </c>
      <c r="C1003" t="str">
        <f t="shared" si="113"/>
        <v>GEA</v>
      </c>
      <c r="D1003">
        <v>97</v>
      </c>
      <c r="E1003" t="str">
        <f t="shared" si="115"/>
        <v>179</v>
      </c>
      <c r="F1003" t="str">
        <f>"17"</f>
        <v>17</v>
      </c>
    </row>
    <row r="1004" spans="1:6">
      <c r="A1004" t="str">
        <f>"E1844-10"</f>
        <v>E1844-10</v>
      </c>
      <c r="B1004" t="str">
        <f>"VIA DEL COLLE  50-"</f>
        <v>VIA DEL COLLE  50-</v>
      </c>
      <c r="C1004" t="str">
        <f t="shared" si="113"/>
        <v>GEA</v>
      </c>
      <c r="D1004">
        <v>97</v>
      </c>
      <c r="E1004" t="str">
        <f t="shared" si="115"/>
        <v>179</v>
      </c>
      <c r="F1004" t="str">
        <f>"12"</f>
        <v>12</v>
      </c>
    </row>
    <row r="1005" spans="1:6">
      <c r="A1005" t="str">
        <f>"E1844-11"</f>
        <v>E1844-11</v>
      </c>
      <c r="B1005" t="str">
        <f>"VIA DEL COLLE  50-"</f>
        <v>VIA DEL COLLE  50-</v>
      </c>
      <c r="C1005" t="str">
        <f t="shared" si="113"/>
        <v>GEA</v>
      </c>
      <c r="D1005">
        <v>97</v>
      </c>
      <c r="E1005" t="str">
        <f t="shared" si="115"/>
        <v>179</v>
      </c>
      <c r="F1005" t="str">
        <f>"13"</f>
        <v>13</v>
      </c>
    </row>
    <row r="1006" spans="1:6">
      <c r="A1006" t="str">
        <f>"E1844-12"</f>
        <v>E1844-12</v>
      </c>
      <c r="B1006" t="str">
        <f>"VIA DEL COLLE A CATASTO 68R-"</f>
        <v>VIA DEL COLLE A CATASTO 68R-</v>
      </c>
      <c r="C1006" t="str">
        <f t="shared" si="113"/>
        <v>GEA</v>
      </c>
      <c r="D1006">
        <v>97</v>
      </c>
      <c r="E1006" t="str">
        <f t="shared" si="115"/>
        <v>179</v>
      </c>
      <c r="F1006" t="str">
        <f>"14"</f>
        <v>14</v>
      </c>
    </row>
    <row r="1007" spans="1:6">
      <c r="A1007" t="str">
        <f>"E1844-13"</f>
        <v>E1844-13</v>
      </c>
      <c r="B1007" t="str">
        <f>"VIA DEL COLLE A CATASTO 66R-"</f>
        <v>VIA DEL COLLE A CATASTO 66R-</v>
      </c>
      <c r="C1007" t="str">
        <f t="shared" si="113"/>
        <v>GEA</v>
      </c>
      <c r="D1007">
        <v>97</v>
      </c>
      <c r="E1007" t="str">
        <f t="shared" si="115"/>
        <v>179</v>
      </c>
      <c r="F1007" t="str">
        <f>"15"</f>
        <v>15</v>
      </c>
    </row>
    <row r="1008" spans="1:6">
      <c r="A1008" t="str">
        <f>"E1845-1"</f>
        <v>E1845-1</v>
      </c>
      <c r="B1008" t="str">
        <f>"VIA DEL COLLE SITO NEL 70R-"</f>
        <v>VIA DEL COLLE SITO NEL 70R-</v>
      </c>
      <c r="C1008" t="str">
        <f t="shared" si="113"/>
        <v>GEA</v>
      </c>
      <c r="D1008">
        <v>97</v>
      </c>
      <c r="E1008" t="str">
        <f>"180"</f>
        <v>180</v>
      </c>
      <c r="F1008" t="str">
        <f>"1"</f>
        <v>1</v>
      </c>
    </row>
    <row r="1009" spans="1:6">
      <c r="C1009" t="str">
        <f t="shared" si="113"/>
        <v>GEA</v>
      </c>
      <c r="D1009">
        <v>97</v>
      </c>
      <c r="E1009" t="str">
        <f>"181"</f>
        <v>181</v>
      </c>
      <c r="F1009" t="str">
        <f>"1"</f>
        <v>1</v>
      </c>
    </row>
    <row r="1010" spans="1:6">
      <c r="A1010" t="str">
        <f>"E1845-2"</f>
        <v>E1845-2</v>
      </c>
      <c r="B1010" t="str">
        <f>"VIA DEL COLLE SITO NEL 52-"</f>
        <v>VIA DEL COLLE SITO NEL 52-</v>
      </c>
      <c r="C1010" t="str">
        <f t="shared" si="113"/>
        <v>GEA</v>
      </c>
      <c r="D1010">
        <v>97</v>
      </c>
      <c r="E1010" t="str">
        <f>"180"</f>
        <v>180</v>
      </c>
      <c r="F1010" t="str">
        <f>"2"</f>
        <v>2</v>
      </c>
    </row>
    <row r="1011" spans="1:6">
      <c r="C1011" t="str">
        <f t="shared" si="113"/>
        <v>GEA</v>
      </c>
      <c r="D1011">
        <v>97</v>
      </c>
      <c r="E1011" t="str">
        <f>"180"</f>
        <v>180</v>
      </c>
      <c r="F1011" t="str">
        <f>"3"</f>
        <v>3</v>
      </c>
    </row>
    <row r="1012" spans="1:6">
      <c r="C1012" t="str">
        <f t="shared" si="113"/>
        <v>GEA</v>
      </c>
      <c r="D1012">
        <v>97</v>
      </c>
      <c r="E1012" t="str">
        <f>"181"</f>
        <v>181</v>
      </c>
      <c r="F1012" t="str">
        <f>"3"</f>
        <v>3</v>
      </c>
    </row>
    <row r="1013" spans="1:6">
      <c r="A1013" t="str">
        <f>"E1845-3"</f>
        <v>E1845-3</v>
      </c>
      <c r="B1013" t="str">
        <f>"VIA DEL COLLE  52-"</f>
        <v>VIA DEL COLLE  52-</v>
      </c>
      <c r="C1013" t="str">
        <f t="shared" si="113"/>
        <v>GEA</v>
      </c>
      <c r="D1013">
        <v>97</v>
      </c>
      <c r="E1013" t="str">
        <f>"180"</f>
        <v>180</v>
      </c>
      <c r="F1013" t="str">
        <f>"2"</f>
        <v>2</v>
      </c>
    </row>
    <row r="1014" spans="1:6">
      <c r="C1014" t="str">
        <f t="shared" ref="C1014:C1034" si="116">"GEA"</f>
        <v>GEA</v>
      </c>
      <c r="D1014">
        <v>97</v>
      </c>
      <c r="E1014" t="str">
        <f>"181"</f>
        <v>181</v>
      </c>
      <c r="F1014" t="str">
        <f>"2"</f>
        <v>2</v>
      </c>
    </row>
    <row r="1015" spans="1:6">
      <c r="A1015" t="str">
        <f>"E1845-4"</f>
        <v>E1845-4</v>
      </c>
      <c r="B1015" t="str">
        <f>"VIA DEL COLLE SITO NEL 52-"</f>
        <v>VIA DEL COLLE SITO NEL 52-</v>
      </c>
      <c r="C1015" t="str">
        <f t="shared" si="116"/>
        <v>GEA</v>
      </c>
      <c r="D1015">
        <v>97</v>
      </c>
      <c r="E1015" t="str">
        <f>"180"</f>
        <v>180</v>
      </c>
      <c r="F1015" t="str">
        <f>"3"</f>
        <v>3</v>
      </c>
    </row>
    <row r="1016" spans="1:6">
      <c r="C1016" t="str">
        <f t="shared" si="116"/>
        <v>GEA</v>
      </c>
      <c r="D1016">
        <v>97</v>
      </c>
      <c r="E1016" t="str">
        <f>"181"</f>
        <v>181</v>
      </c>
      <c r="F1016" t="str">
        <f>"3"</f>
        <v>3</v>
      </c>
    </row>
    <row r="1017" spans="1:6">
      <c r="A1017" t="str">
        <f>"E1845-5"</f>
        <v>E1845-5</v>
      </c>
      <c r="B1017" t="str">
        <f>"VIA DEL COLLE SITO NEL 52-"</f>
        <v>VIA DEL COLLE SITO NEL 52-</v>
      </c>
      <c r="C1017" t="str">
        <f t="shared" si="116"/>
        <v>GEA</v>
      </c>
      <c r="D1017">
        <v>97</v>
      </c>
      <c r="E1017" t="str">
        <f>"180"</f>
        <v>180</v>
      </c>
      <c r="F1017" t="str">
        <f>"4"</f>
        <v>4</v>
      </c>
    </row>
    <row r="1018" spans="1:6">
      <c r="C1018" t="str">
        <f t="shared" si="116"/>
        <v>GEA</v>
      </c>
      <c r="D1018">
        <v>97</v>
      </c>
      <c r="E1018" t="str">
        <f>"181"</f>
        <v>181</v>
      </c>
      <c r="F1018" t="str">
        <f>"5"</f>
        <v>5</v>
      </c>
    </row>
    <row r="1019" spans="1:6">
      <c r="C1019" t="str">
        <f t="shared" si="116"/>
        <v>GEA</v>
      </c>
      <c r="D1019">
        <v>97</v>
      </c>
      <c r="E1019" t="str">
        <f>"180"</f>
        <v>180</v>
      </c>
      <c r="F1019" t="str">
        <f>"5"</f>
        <v>5</v>
      </c>
    </row>
    <row r="1020" spans="1:6">
      <c r="C1020" t="str">
        <f t="shared" si="116"/>
        <v>GEA</v>
      </c>
      <c r="D1020">
        <v>97</v>
      </c>
      <c r="E1020" t="str">
        <f>"181"</f>
        <v>181</v>
      </c>
      <c r="F1020" t="str">
        <f>"4"</f>
        <v>4</v>
      </c>
    </row>
    <row r="1021" spans="1:6">
      <c r="A1021" t="str">
        <f>"E1845-6"</f>
        <v>E1845-6</v>
      </c>
      <c r="B1021" t="str">
        <f>"VIA DEL COLLE  52-"</f>
        <v>VIA DEL COLLE  52-</v>
      </c>
      <c r="C1021" t="str">
        <f t="shared" si="116"/>
        <v>GEA</v>
      </c>
      <c r="D1021">
        <v>97</v>
      </c>
      <c r="E1021" t="str">
        <f>"180"</f>
        <v>180</v>
      </c>
      <c r="F1021" t="str">
        <f>"4"</f>
        <v>4</v>
      </c>
    </row>
    <row r="1022" spans="1:6">
      <c r="C1022" t="str">
        <f t="shared" si="116"/>
        <v>GEA</v>
      </c>
      <c r="D1022">
        <v>97</v>
      </c>
      <c r="E1022" t="str">
        <f>"181"</f>
        <v>181</v>
      </c>
      <c r="F1022" t="str">
        <f>"4"</f>
        <v>4</v>
      </c>
    </row>
    <row r="1023" spans="1:6">
      <c r="A1023" t="str">
        <f>"E1845-7"</f>
        <v>E1845-7</v>
      </c>
      <c r="B1023" t="str">
        <f>"VIA DEL COLLE  52-"</f>
        <v>VIA DEL COLLE  52-</v>
      </c>
      <c r="C1023" t="str">
        <f t="shared" si="116"/>
        <v>GEA</v>
      </c>
      <c r="D1023">
        <v>97</v>
      </c>
      <c r="E1023" t="str">
        <f>"180"</f>
        <v>180</v>
      </c>
      <c r="F1023" t="str">
        <f>"5"</f>
        <v>5</v>
      </c>
    </row>
    <row r="1024" spans="1:6">
      <c r="C1024" t="str">
        <f t="shared" si="116"/>
        <v>GEA</v>
      </c>
      <c r="D1024">
        <v>97</v>
      </c>
      <c r="E1024" t="str">
        <f>"181"</f>
        <v>181</v>
      </c>
      <c r="F1024" t="str">
        <f>"5"</f>
        <v>5</v>
      </c>
    </row>
    <row r="1025" spans="1:6">
      <c r="A1025" t="str">
        <f>"E1845-8"</f>
        <v>E1845-8</v>
      </c>
      <c r="B1025" t="str">
        <f>"VIA DEL COLLE SITO NEL 72R-"</f>
        <v>VIA DEL COLLE SITO NEL 72R-</v>
      </c>
      <c r="C1025" t="str">
        <f t="shared" si="116"/>
        <v>GEA</v>
      </c>
      <c r="D1025">
        <v>97</v>
      </c>
      <c r="E1025" t="str">
        <f>"180"</f>
        <v>180</v>
      </c>
      <c r="F1025" t="str">
        <f>"1"</f>
        <v>1</v>
      </c>
    </row>
    <row r="1026" spans="1:6">
      <c r="C1026" t="str">
        <f t="shared" si="116"/>
        <v>GEA</v>
      </c>
      <c r="D1026">
        <v>97</v>
      </c>
      <c r="E1026" t="str">
        <f>"181"</f>
        <v>181</v>
      </c>
      <c r="F1026" t="str">
        <f>"1"</f>
        <v>1</v>
      </c>
    </row>
    <row r="1027" spans="1:6">
      <c r="A1027" t="str">
        <f>"E1845-9"</f>
        <v>E1845-9</v>
      </c>
      <c r="B1027" t="str">
        <f>"VIA DEL COLLE A CATASTO 50-"</f>
        <v>VIA DEL COLLE A CATASTO 50-</v>
      </c>
      <c r="C1027" t="str">
        <f t="shared" si="116"/>
        <v>GEA</v>
      </c>
      <c r="D1027">
        <v>97</v>
      </c>
      <c r="E1027" t="str">
        <f>"181"</f>
        <v>181</v>
      </c>
      <c r="F1027" t="str">
        <f>"3"</f>
        <v>3</v>
      </c>
    </row>
    <row r="1028" spans="1:6">
      <c r="A1028" t="str">
        <f>"E1845-10"</f>
        <v>E1845-10</v>
      </c>
      <c r="B1028" t="str">
        <f>"VIA DEL COLLE  52-"</f>
        <v>VIA DEL COLLE  52-</v>
      </c>
      <c r="C1028" t="str">
        <f t="shared" si="116"/>
        <v>GEA</v>
      </c>
      <c r="D1028">
        <v>97</v>
      </c>
      <c r="E1028" t="str">
        <f>"180"</f>
        <v>180</v>
      </c>
      <c r="F1028" t="str">
        <f>"6"</f>
        <v>6</v>
      </c>
    </row>
    <row r="1029" spans="1:6">
      <c r="C1029" t="str">
        <f t="shared" si="116"/>
        <v>GEA</v>
      </c>
      <c r="D1029">
        <v>97</v>
      </c>
      <c r="E1029" t="str">
        <f>"180"</f>
        <v>180</v>
      </c>
      <c r="F1029" t="str">
        <f>"7"</f>
        <v>7</v>
      </c>
    </row>
    <row r="1030" spans="1:6">
      <c r="C1030" t="str">
        <f t="shared" si="116"/>
        <v>GEA</v>
      </c>
      <c r="D1030">
        <v>97</v>
      </c>
      <c r="E1030" t="str">
        <f>"181"</f>
        <v>181</v>
      </c>
      <c r="F1030" t="str">
        <f>"6"</f>
        <v>6</v>
      </c>
    </row>
    <row r="1031" spans="1:6">
      <c r="A1031" t="str">
        <f>"E1846-1"</f>
        <v>E1846-1</v>
      </c>
      <c r="B1031" t="str">
        <f>"VIA DEL COLLE A CATASTO 76R-"</f>
        <v>VIA DEL COLLE A CATASTO 76R-</v>
      </c>
      <c r="C1031" t="str">
        <f t="shared" si="116"/>
        <v>GEA</v>
      </c>
      <c r="D1031">
        <v>97</v>
      </c>
      <c r="E1031" t="str">
        <f>"182"</f>
        <v>182</v>
      </c>
      <c r="F1031" t="str">
        <f>"2"</f>
        <v>2</v>
      </c>
    </row>
    <row r="1032" spans="1:6">
      <c r="C1032" t="str">
        <f t="shared" si="116"/>
        <v>GEA</v>
      </c>
      <c r="D1032">
        <v>97</v>
      </c>
      <c r="E1032" t="str">
        <f>"183"</f>
        <v>183</v>
      </c>
      <c r="F1032" t="str">
        <f>"2"</f>
        <v>2</v>
      </c>
    </row>
    <row r="1033" spans="1:6">
      <c r="A1033" t="str">
        <f>"E1846-2"</f>
        <v>E1846-2</v>
      </c>
      <c r="B1033" t="str">
        <f>"VIA DEL COLLE VICINO AL 58-"</f>
        <v>VIA DEL COLLE VICINO AL 58-</v>
      </c>
      <c r="C1033" t="str">
        <f t="shared" si="116"/>
        <v>GEA</v>
      </c>
      <c r="D1033">
        <v>97</v>
      </c>
      <c r="E1033" t="str">
        <f>"189"</f>
        <v>189</v>
      </c>
      <c r="F1033" t="str">
        <f>"1"</f>
        <v>1</v>
      </c>
    </row>
    <row r="1034" spans="1:6">
      <c r="A1034" t="str">
        <f>"E1846-3"</f>
        <v>E1846-3</v>
      </c>
      <c r="B1034" t="str">
        <f>"VIA DEL COLLE A CATASTO 94R-"</f>
        <v>VIA DEL COLLE A CATASTO 94R-</v>
      </c>
      <c r="C1034" t="str">
        <f t="shared" si="116"/>
        <v>GEA</v>
      </c>
      <c r="D1034">
        <v>97</v>
      </c>
      <c r="E1034" t="str">
        <f>"189"</f>
        <v>189</v>
      </c>
      <c r="F1034" t="str">
        <f>"5"</f>
        <v>5</v>
      </c>
    </row>
    <row r="1035" spans="1:6">
      <c r="A1035" t="str">
        <f>"E1846-4"</f>
        <v>E1846-4</v>
      </c>
      <c r="B1035" t="str">
        <f>"VIA DEL COLLE SITO NEL 58-"</f>
        <v>VIA DEL COLLE SITO NEL 58-</v>
      </c>
      <c r="C1035" t="str">
        <f>"1"</f>
        <v>1</v>
      </c>
      <c r="D1035">
        <v>67</v>
      </c>
      <c r="E1035" t="str">
        <f>"549"</f>
        <v>549</v>
      </c>
      <c r="F1035" t="str">
        <f>"0000"</f>
        <v>0000</v>
      </c>
    </row>
    <row r="1036" spans="1:6">
      <c r="C1036" t="str">
        <f>"1"</f>
        <v>1</v>
      </c>
      <c r="D1036">
        <v>67</v>
      </c>
      <c r="E1036" t="str">
        <f>"550"</f>
        <v>550</v>
      </c>
      <c r="F1036" t="str">
        <f>"0000"</f>
        <v>0000</v>
      </c>
    </row>
    <row r="1037" spans="1:6">
      <c r="A1037" t="str">
        <f>"E1846-5"</f>
        <v>E1846-5</v>
      </c>
      <c r="B1037" t="str">
        <f>"VIA DEL COLLE VICINO AL 94R-"</f>
        <v>VIA DEL COLLE VICINO AL 94R-</v>
      </c>
      <c r="C1037" t="str">
        <f t="shared" ref="C1037:C1059" si="117">"GEA"</f>
        <v>GEA</v>
      </c>
      <c r="D1037">
        <v>97</v>
      </c>
      <c r="E1037" t="str">
        <f t="shared" ref="E1037:E1053" si="118">"189"</f>
        <v>189</v>
      </c>
      <c r="F1037" t="str">
        <f>"3"</f>
        <v>3</v>
      </c>
    </row>
    <row r="1038" spans="1:6">
      <c r="A1038" t="str">
        <f>"E1846-6"</f>
        <v>E1846-6</v>
      </c>
      <c r="B1038" t="str">
        <f>"VIA DEL COLLE VICINO AL 94R-"</f>
        <v>VIA DEL COLLE VICINO AL 94R-</v>
      </c>
      <c r="C1038" t="str">
        <f t="shared" si="117"/>
        <v>GEA</v>
      </c>
      <c r="D1038">
        <v>97</v>
      </c>
      <c r="E1038" t="str">
        <f t="shared" si="118"/>
        <v>189</v>
      </c>
      <c r="F1038" t="str">
        <f>"4"</f>
        <v>4</v>
      </c>
    </row>
    <row r="1039" spans="1:6">
      <c r="A1039" t="str">
        <f>"E1846-7"</f>
        <v>E1846-7</v>
      </c>
      <c r="B1039" t="str">
        <f>"VIA DEL COLLE  58-"</f>
        <v>VIA DEL COLLE  58-</v>
      </c>
      <c r="C1039" t="str">
        <f t="shared" si="117"/>
        <v>GEA</v>
      </c>
      <c r="D1039">
        <v>97</v>
      </c>
      <c r="E1039" t="str">
        <f t="shared" si="118"/>
        <v>189</v>
      </c>
      <c r="F1039" t="str">
        <f>"11"</f>
        <v>11</v>
      </c>
    </row>
    <row r="1040" spans="1:6">
      <c r="A1040" t="str">
        <f>"E1846-8"</f>
        <v>E1846-8</v>
      </c>
      <c r="B1040" t="str">
        <f>"VIA DEL COLLE  58-"</f>
        <v>VIA DEL COLLE  58-</v>
      </c>
      <c r="C1040" t="str">
        <f t="shared" si="117"/>
        <v>GEA</v>
      </c>
      <c r="D1040">
        <v>97</v>
      </c>
      <c r="E1040" t="str">
        <f t="shared" si="118"/>
        <v>189</v>
      </c>
      <c r="F1040" t="str">
        <f>"13"</f>
        <v>13</v>
      </c>
    </row>
    <row r="1041" spans="1:6">
      <c r="A1041" t="str">
        <f>"E1846-9"</f>
        <v>E1846-9</v>
      </c>
      <c r="B1041" t="str">
        <f>"VIA DEL COLLE  58-"</f>
        <v>VIA DEL COLLE  58-</v>
      </c>
      <c r="C1041" t="str">
        <f t="shared" si="117"/>
        <v>GEA</v>
      </c>
      <c r="D1041">
        <v>97</v>
      </c>
      <c r="E1041" t="str">
        <f t="shared" si="118"/>
        <v>189</v>
      </c>
      <c r="F1041" t="str">
        <f>"17"</f>
        <v>17</v>
      </c>
    </row>
    <row r="1042" spans="1:6">
      <c r="A1042" t="str">
        <f>"E1846-10"</f>
        <v>E1846-10</v>
      </c>
      <c r="B1042" t="str">
        <f>"VIA DEL COLLE  58-"</f>
        <v>VIA DEL COLLE  58-</v>
      </c>
      <c r="C1042" t="str">
        <f t="shared" si="117"/>
        <v>GEA</v>
      </c>
      <c r="D1042">
        <v>97</v>
      </c>
      <c r="E1042" t="str">
        <f t="shared" si="118"/>
        <v>189</v>
      </c>
      <c r="F1042" t="str">
        <f>"19"</f>
        <v>19</v>
      </c>
    </row>
    <row r="1043" spans="1:6">
      <c r="A1043" t="str">
        <f>"E1846-11"</f>
        <v>E1846-11</v>
      </c>
      <c r="B1043" t="str">
        <f>"VIA DEL COLLE  58-"</f>
        <v>VIA DEL COLLE  58-</v>
      </c>
      <c r="C1043" t="str">
        <f t="shared" si="117"/>
        <v>GEA</v>
      </c>
      <c r="D1043">
        <v>97</v>
      </c>
      <c r="E1043" t="str">
        <f t="shared" si="118"/>
        <v>189</v>
      </c>
      <c r="F1043" t="str">
        <f>"6"</f>
        <v>6</v>
      </c>
    </row>
    <row r="1044" spans="1:6">
      <c r="A1044" t="str">
        <f>"E1846-12"</f>
        <v>E1846-12</v>
      </c>
      <c r="B1044" t="str">
        <f>"VIA DEL COLLE A CATASTO 58-"</f>
        <v>VIA DEL COLLE A CATASTO 58-</v>
      </c>
      <c r="C1044" t="str">
        <f t="shared" si="117"/>
        <v>GEA</v>
      </c>
      <c r="D1044">
        <v>97</v>
      </c>
      <c r="E1044" t="str">
        <f t="shared" si="118"/>
        <v>189</v>
      </c>
      <c r="F1044" t="str">
        <f>"7"</f>
        <v>7</v>
      </c>
    </row>
    <row r="1045" spans="1:6">
      <c r="A1045" t="str">
        <f>"E1846-13"</f>
        <v>E1846-13</v>
      </c>
      <c r="B1045" t="str">
        <f>"VIA DEL COLLE SITO NEL 58-"</f>
        <v>VIA DEL COLLE SITO NEL 58-</v>
      </c>
      <c r="C1045" t="str">
        <f t="shared" si="117"/>
        <v>GEA</v>
      </c>
      <c r="D1045">
        <v>97</v>
      </c>
      <c r="E1045" t="str">
        <f t="shared" si="118"/>
        <v>189</v>
      </c>
      <c r="F1045" t="str">
        <f>"8"</f>
        <v>8</v>
      </c>
    </row>
    <row r="1046" spans="1:6">
      <c r="A1046" t="str">
        <f>"E1846-14"</f>
        <v>E1846-14</v>
      </c>
      <c r="B1046" t="str">
        <f>"VIA DEL COLLE SITO NEL 58-"</f>
        <v>VIA DEL COLLE SITO NEL 58-</v>
      </c>
      <c r="C1046" t="str">
        <f t="shared" si="117"/>
        <v>GEA</v>
      </c>
      <c r="D1046">
        <v>97</v>
      </c>
      <c r="E1046" t="str">
        <f t="shared" si="118"/>
        <v>189</v>
      </c>
      <c r="F1046" t="str">
        <f>"9"</f>
        <v>9</v>
      </c>
    </row>
    <row r="1047" spans="1:6">
      <c r="A1047" t="str">
        <f>"E1846-15"</f>
        <v>E1846-15</v>
      </c>
      <c r="B1047" t="str">
        <f t="shared" ref="B1047:B1053" si="119">"VIA DEL COLLE A CATASTO 58-"</f>
        <v>VIA DEL COLLE A CATASTO 58-</v>
      </c>
      <c r="C1047" t="str">
        <f t="shared" si="117"/>
        <v>GEA</v>
      </c>
      <c r="D1047">
        <v>97</v>
      </c>
      <c r="E1047" t="str">
        <f t="shared" si="118"/>
        <v>189</v>
      </c>
      <c r="F1047" t="str">
        <f>"10"</f>
        <v>10</v>
      </c>
    </row>
    <row r="1048" spans="1:6">
      <c r="A1048" t="str">
        <f>"E1846-16"</f>
        <v>E1846-16</v>
      </c>
      <c r="B1048" t="str">
        <f t="shared" si="119"/>
        <v>VIA DEL COLLE A CATASTO 58-</v>
      </c>
      <c r="C1048" t="str">
        <f t="shared" si="117"/>
        <v>GEA</v>
      </c>
      <c r="D1048">
        <v>97</v>
      </c>
      <c r="E1048" t="str">
        <f t="shared" si="118"/>
        <v>189</v>
      </c>
      <c r="F1048" t="str">
        <f>"12"</f>
        <v>12</v>
      </c>
    </row>
    <row r="1049" spans="1:6">
      <c r="A1049" t="str">
        <f>"E1846-17"</f>
        <v>E1846-17</v>
      </c>
      <c r="B1049" t="str">
        <f t="shared" si="119"/>
        <v>VIA DEL COLLE A CATASTO 58-</v>
      </c>
      <c r="C1049" t="str">
        <f t="shared" si="117"/>
        <v>GEA</v>
      </c>
      <c r="D1049">
        <v>97</v>
      </c>
      <c r="E1049" t="str">
        <f t="shared" si="118"/>
        <v>189</v>
      </c>
      <c r="F1049" t="str">
        <f>"14"</f>
        <v>14</v>
      </c>
    </row>
    <row r="1050" spans="1:6">
      <c r="A1050" t="str">
        <f>"E1846-18"</f>
        <v>E1846-18</v>
      </c>
      <c r="B1050" t="str">
        <f t="shared" si="119"/>
        <v>VIA DEL COLLE A CATASTO 58-</v>
      </c>
      <c r="C1050" t="str">
        <f t="shared" si="117"/>
        <v>GEA</v>
      </c>
      <c r="D1050">
        <v>97</v>
      </c>
      <c r="E1050" t="str">
        <f t="shared" si="118"/>
        <v>189</v>
      </c>
      <c r="F1050" t="str">
        <f>"15"</f>
        <v>15</v>
      </c>
    </row>
    <row r="1051" spans="1:6">
      <c r="A1051" t="str">
        <f>"E1846-19"</f>
        <v>E1846-19</v>
      </c>
      <c r="B1051" t="str">
        <f t="shared" si="119"/>
        <v>VIA DEL COLLE A CATASTO 58-</v>
      </c>
      <c r="C1051" t="str">
        <f t="shared" si="117"/>
        <v>GEA</v>
      </c>
      <c r="D1051">
        <v>97</v>
      </c>
      <c r="E1051" t="str">
        <f t="shared" si="118"/>
        <v>189</v>
      </c>
      <c r="F1051" t="str">
        <f>"16"</f>
        <v>16</v>
      </c>
    </row>
    <row r="1052" spans="1:6">
      <c r="A1052" t="str">
        <f>"E1846-20"</f>
        <v>E1846-20</v>
      </c>
      <c r="B1052" t="str">
        <f t="shared" si="119"/>
        <v>VIA DEL COLLE A CATASTO 58-</v>
      </c>
      <c r="C1052" t="str">
        <f t="shared" si="117"/>
        <v>GEA</v>
      </c>
      <c r="D1052">
        <v>97</v>
      </c>
      <c r="E1052" t="str">
        <f t="shared" si="118"/>
        <v>189</v>
      </c>
      <c r="F1052" t="str">
        <f>"18"</f>
        <v>18</v>
      </c>
    </row>
    <row r="1053" spans="1:6">
      <c r="A1053" t="str">
        <f>"E1846-21"</f>
        <v>E1846-21</v>
      </c>
      <c r="B1053" t="str">
        <f t="shared" si="119"/>
        <v>VIA DEL COLLE A CATASTO 58-</v>
      </c>
      <c r="C1053" t="str">
        <f t="shared" si="117"/>
        <v>GEA</v>
      </c>
      <c r="D1053">
        <v>97</v>
      </c>
      <c r="E1053" t="str">
        <f t="shared" si="118"/>
        <v>189</v>
      </c>
      <c r="F1053" t="str">
        <f>"20"</f>
        <v>20</v>
      </c>
    </row>
    <row r="1054" spans="1:6">
      <c r="A1054" t="str">
        <f>"E1847-1"</f>
        <v>E1847-1</v>
      </c>
      <c r="B1054" t="str">
        <f>"VIA DEL COLLE A CATASTO 50R-"</f>
        <v>VIA DEL COLLE A CATASTO 50R-</v>
      </c>
      <c r="C1054" t="str">
        <f t="shared" si="117"/>
        <v>GEA</v>
      </c>
      <c r="D1054">
        <v>97</v>
      </c>
      <c r="E1054" t="str">
        <f>"174"</f>
        <v>174</v>
      </c>
      <c r="F1054" t="str">
        <f>"16"</f>
        <v>16</v>
      </c>
    </row>
    <row r="1055" spans="1:6">
      <c r="A1055" t="str">
        <f>"E1848-1"</f>
        <v>E1848-1</v>
      </c>
      <c r="B1055" t="str">
        <f>"VIA DEL COLLE A CATASTO 52-"</f>
        <v>VIA DEL COLLE A CATASTO 52-</v>
      </c>
      <c r="C1055" t="str">
        <f t="shared" si="117"/>
        <v>GEA</v>
      </c>
      <c r="D1055">
        <v>97</v>
      </c>
      <c r="E1055" t="str">
        <f>"182"</f>
        <v>182</v>
      </c>
      <c r="F1055" t="str">
        <f>"5"</f>
        <v>5</v>
      </c>
    </row>
    <row r="1056" spans="1:6">
      <c r="A1056" t="str">
        <f>"E1848-2"</f>
        <v>E1848-2</v>
      </c>
      <c r="B1056" t="str">
        <f>"VIA DEL COLLE A CATASTO 54-"</f>
        <v>VIA DEL COLLE A CATASTO 54-</v>
      </c>
      <c r="C1056" t="str">
        <f t="shared" si="117"/>
        <v>GEA</v>
      </c>
      <c r="D1056">
        <v>97</v>
      </c>
      <c r="E1056" t="str">
        <f>"183"</f>
        <v>183</v>
      </c>
      <c r="F1056" t="str">
        <f>"3"</f>
        <v>3</v>
      </c>
    </row>
    <row r="1057" spans="1:6">
      <c r="A1057" t="str">
        <f>"E1849-1"</f>
        <v>E1849-1</v>
      </c>
      <c r="B1057" t="str">
        <f>"VICO VEGETTI A CATASTO 1-"</f>
        <v>VICO VEGETTI A CATASTO 1-</v>
      </c>
      <c r="C1057" t="str">
        <f t="shared" si="117"/>
        <v>GEA</v>
      </c>
      <c r="D1057">
        <v>84</v>
      </c>
      <c r="E1057" t="str">
        <f>"371"</f>
        <v>371</v>
      </c>
      <c r="F1057" t="str">
        <f>"12"</f>
        <v>12</v>
      </c>
    </row>
    <row r="1058" spans="1:6">
      <c r="A1058" t="str">
        <f>"E1849-2"</f>
        <v>E1849-2</v>
      </c>
      <c r="B1058" t="str">
        <f>"VICO VEGETTI A CATASTO 1-"</f>
        <v>VICO VEGETTI A CATASTO 1-</v>
      </c>
      <c r="C1058" t="str">
        <f t="shared" si="117"/>
        <v>GEA</v>
      </c>
      <c r="D1058">
        <v>84</v>
      </c>
      <c r="E1058" t="str">
        <f>"371"</f>
        <v>371</v>
      </c>
      <c r="F1058" t="str">
        <f>"13"</f>
        <v>13</v>
      </c>
    </row>
    <row r="1059" spans="1:6">
      <c r="A1059" t="str">
        <f>"E1849-3"</f>
        <v>E1849-3</v>
      </c>
      <c r="B1059" t="str">
        <f>"VICO VEGETTI A CATASTO 1-"</f>
        <v>VICO VEGETTI A CATASTO 1-</v>
      </c>
      <c r="C1059" t="str">
        <f t="shared" si="117"/>
        <v>GEA</v>
      </c>
      <c r="D1059">
        <v>84</v>
      </c>
      <c r="E1059" t="str">
        <f>"371"</f>
        <v>371</v>
      </c>
      <c r="F1059" t="str">
        <f>"16"</f>
        <v>16</v>
      </c>
    </row>
    <row r="1060" spans="1:6">
      <c r="A1060" t="str">
        <f>"E1857-1"</f>
        <v>E1857-1</v>
      </c>
      <c r="B1060" t="str">
        <f>"PIAZZA FERNANDO ORTIZ  8-"</f>
        <v>PIAZZA FERNANDO ORTIZ  8-</v>
      </c>
      <c r="C1060" t="str">
        <f t="shared" ref="C1060:C1074" si="120">"1"</f>
        <v>1</v>
      </c>
      <c r="D1060">
        <v>83</v>
      </c>
      <c r="E1060" t="str">
        <f>"154"</f>
        <v>154</v>
      </c>
      <c r="F1060" t="str">
        <f t="shared" ref="F1060:F1074" si="121">"0000"</f>
        <v>0000</v>
      </c>
    </row>
    <row r="1061" spans="1:6">
      <c r="C1061" t="str">
        <f t="shared" si="120"/>
        <v>1</v>
      </c>
      <c r="D1061">
        <v>83</v>
      </c>
      <c r="E1061" t="str">
        <f>"155"</f>
        <v>155</v>
      </c>
      <c r="F1061" t="str">
        <f t="shared" si="121"/>
        <v>0000</v>
      </c>
    </row>
    <row r="1062" spans="1:6">
      <c r="C1062" t="str">
        <f t="shared" si="120"/>
        <v>1</v>
      </c>
      <c r="D1062">
        <v>83</v>
      </c>
      <c r="E1062" t="str">
        <f>"557"</f>
        <v>557</v>
      </c>
      <c r="F1062" t="str">
        <f t="shared" si="121"/>
        <v>0000</v>
      </c>
    </row>
    <row r="1063" spans="1:6">
      <c r="C1063" t="str">
        <f t="shared" si="120"/>
        <v>1</v>
      </c>
      <c r="D1063">
        <v>83</v>
      </c>
      <c r="E1063" t="str">
        <f>"558"</f>
        <v>558</v>
      </c>
      <c r="F1063" t="str">
        <f t="shared" si="121"/>
        <v>0000</v>
      </c>
    </row>
    <row r="1064" spans="1:6">
      <c r="C1064" t="str">
        <f t="shared" si="120"/>
        <v>1</v>
      </c>
      <c r="D1064">
        <v>83</v>
      </c>
      <c r="E1064" t="str">
        <f>"561"</f>
        <v>561</v>
      </c>
      <c r="F1064" t="str">
        <f t="shared" si="121"/>
        <v>0000</v>
      </c>
    </row>
    <row r="1065" spans="1:6">
      <c r="C1065" t="str">
        <f t="shared" si="120"/>
        <v>1</v>
      </c>
      <c r="D1065">
        <v>83</v>
      </c>
      <c r="E1065" t="str">
        <f>"733"</f>
        <v>733</v>
      </c>
      <c r="F1065" t="str">
        <f t="shared" si="121"/>
        <v>0000</v>
      </c>
    </row>
    <row r="1066" spans="1:6">
      <c r="C1066" t="str">
        <f t="shared" si="120"/>
        <v>1</v>
      </c>
      <c r="D1066">
        <v>83</v>
      </c>
      <c r="E1066" t="str">
        <f>"740"</f>
        <v>740</v>
      </c>
      <c r="F1066" t="str">
        <f t="shared" si="121"/>
        <v>0000</v>
      </c>
    </row>
    <row r="1067" spans="1:6">
      <c r="C1067" t="str">
        <f t="shared" si="120"/>
        <v>1</v>
      </c>
      <c r="D1067">
        <v>83</v>
      </c>
      <c r="E1067" t="str">
        <f>"739"</f>
        <v>739</v>
      </c>
      <c r="F1067" t="str">
        <f t="shared" si="121"/>
        <v>0000</v>
      </c>
    </row>
    <row r="1068" spans="1:6">
      <c r="C1068" t="str">
        <f t="shared" si="120"/>
        <v>1</v>
      </c>
      <c r="D1068">
        <v>83</v>
      </c>
      <c r="E1068" t="str">
        <f>"738"</f>
        <v>738</v>
      </c>
      <c r="F1068" t="str">
        <f t="shared" si="121"/>
        <v>0000</v>
      </c>
    </row>
    <row r="1069" spans="1:6">
      <c r="C1069" t="str">
        <f t="shared" si="120"/>
        <v>1</v>
      </c>
      <c r="D1069">
        <v>83</v>
      </c>
      <c r="E1069" t="str">
        <f>"737"</f>
        <v>737</v>
      </c>
      <c r="F1069" t="str">
        <f t="shared" si="121"/>
        <v>0000</v>
      </c>
    </row>
    <row r="1070" spans="1:6">
      <c r="C1070" t="str">
        <f t="shared" si="120"/>
        <v>1</v>
      </c>
      <c r="D1070">
        <v>83</v>
      </c>
      <c r="E1070" t="str">
        <f>"736"</f>
        <v>736</v>
      </c>
      <c r="F1070" t="str">
        <f t="shared" si="121"/>
        <v>0000</v>
      </c>
    </row>
    <row r="1071" spans="1:6">
      <c r="C1071" t="str">
        <f t="shared" si="120"/>
        <v>1</v>
      </c>
      <c r="D1071">
        <v>83</v>
      </c>
      <c r="E1071" t="str">
        <f>"735"</f>
        <v>735</v>
      </c>
      <c r="F1071" t="str">
        <f t="shared" si="121"/>
        <v>0000</v>
      </c>
    </row>
    <row r="1072" spans="1:6">
      <c r="C1072" t="str">
        <f t="shared" si="120"/>
        <v>1</v>
      </c>
      <c r="D1072">
        <v>83</v>
      </c>
      <c r="E1072" t="str">
        <f>"734"</f>
        <v>734</v>
      </c>
      <c r="F1072" t="str">
        <f t="shared" si="121"/>
        <v>0000</v>
      </c>
    </row>
    <row r="1073" spans="1:6">
      <c r="C1073" t="str">
        <f t="shared" si="120"/>
        <v>1</v>
      </c>
      <c r="D1073">
        <v>83</v>
      </c>
      <c r="E1073" t="str">
        <f>"730"</f>
        <v>730</v>
      </c>
      <c r="F1073" t="str">
        <f t="shared" si="121"/>
        <v>0000</v>
      </c>
    </row>
    <row r="1074" spans="1:6">
      <c r="C1074" t="str">
        <f t="shared" si="120"/>
        <v>1</v>
      </c>
      <c r="D1074">
        <v>83</v>
      </c>
      <c r="E1074" t="str">
        <f>"560"</f>
        <v>560</v>
      </c>
      <c r="F1074" t="str">
        <f t="shared" si="121"/>
        <v>0000</v>
      </c>
    </row>
    <row r="1075" spans="1:6">
      <c r="A1075" t="str">
        <f>"E1858-1"</f>
        <v>E1858-1</v>
      </c>
      <c r="B1075" t="str">
        <f>"VICO DI MEZZAGALERA  5-"</f>
        <v>VICO DI MEZZAGALERA  5-</v>
      </c>
      <c r="C1075" t="str">
        <f>"GEA"</f>
        <v>GEA</v>
      </c>
      <c r="D1075">
        <v>84</v>
      </c>
      <c r="E1075" t="str">
        <f>"1574"</f>
        <v>1574</v>
      </c>
      <c r="F1075" t="str">
        <f>"140"</f>
        <v>140</v>
      </c>
    </row>
    <row r="1076" spans="1:6">
      <c r="A1076" t="str">
        <f>"E1858-2"</f>
        <v>E1858-2</v>
      </c>
      <c r="B1076" t="str">
        <f>"VICO DI MEZZAGALERA  3-"</f>
        <v>VICO DI MEZZAGALERA  3-</v>
      </c>
      <c r="C1076" t="str">
        <f>"GEA"</f>
        <v>GEA</v>
      </c>
      <c r="D1076">
        <v>84</v>
      </c>
      <c r="E1076" t="str">
        <f>"1574"</f>
        <v>1574</v>
      </c>
      <c r="F1076" t="str">
        <f>"142"</f>
        <v>142</v>
      </c>
    </row>
    <row r="1077" spans="1:6">
      <c r="A1077" t="str">
        <f>"E1858-3"</f>
        <v>E1858-3</v>
      </c>
      <c r="B1077" t="str">
        <f>"VICO DI MEZZAGALERA  3-"</f>
        <v>VICO DI MEZZAGALERA  3-</v>
      </c>
      <c r="C1077" t="str">
        <f>"GEA"</f>
        <v>GEA</v>
      </c>
      <c r="D1077">
        <v>84</v>
      </c>
      <c r="E1077" t="str">
        <f>"1574"</f>
        <v>1574</v>
      </c>
      <c r="F1077" t="str">
        <f>"141"</f>
        <v>141</v>
      </c>
    </row>
    <row r="1078" spans="1:6">
      <c r="A1078" t="str">
        <f>"E1858-4"</f>
        <v>E1858-4</v>
      </c>
      <c r="B1078" t="str">
        <f>"VICO DI SAN DONATO  10-"</f>
        <v>VICO DI SAN DONATO  10-</v>
      </c>
      <c r="C1078" t="str">
        <f>"GEA"</f>
        <v>GEA</v>
      </c>
      <c r="D1078">
        <v>84</v>
      </c>
      <c r="E1078" t="str">
        <f>"1574"</f>
        <v>1574</v>
      </c>
      <c r="F1078" t="str">
        <f>"131"</f>
        <v>131</v>
      </c>
    </row>
    <row r="1079" spans="1:6">
      <c r="A1079" t="str">
        <f>"E1858-5"</f>
        <v>E1858-5</v>
      </c>
      <c r="B1079" t="str">
        <f>"VICO DI MEZZAGALERA  3-"</f>
        <v>VICO DI MEZZAGALERA  3-</v>
      </c>
      <c r="C1079" t="str">
        <f t="shared" ref="C1079:C1084" si="122">"1"</f>
        <v>1</v>
      </c>
      <c r="D1079">
        <v>67</v>
      </c>
      <c r="E1079" t="str">
        <f>"1553"</f>
        <v>1553</v>
      </c>
      <c r="F1079" t="str">
        <f t="shared" ref="F1079:F1084" si="123">"0000"</f>
        <v>0000</v>
      </c>
    </row>
    <row r="1080" spans="1:6">
      <c r="C1080" t="str">
        <f t="shared" si="122"/>
        <v>1</v>
      </c>
      <c r="D1080">
        <v>67</v>
      </c>
      <c r="E1080" t="str">
        <f>"1574"</f>
        <v>1574</v>
      </c>
      <c r="F1080" t="str">
        <f t="shared" si="123"/>
        <v>0000</v>
      </c>
    </row>
    <row r="1081" spans="1:6">
      <c r="C1081" t="str">
        <f t="shared" si="122"/>
        <v>1</v>
      </c>
      <c r="D1081">
        <v>67</v>
      </c>
      <c r="E1081" t="str">
        <f>"1565"</f>
        <v>1565</v>
      </c>
      <c r="F1081" t="str">
        <f t="shared" si="123"/>
        <v>0000</v>
      </c>
    </row>
    <row r="1082" spans="1:6">
      <c r="A1082" t="str">
        <f>"E1858-6"</f>
        <v>E1858-6</v>
      </c>
      <c r="B1082" t="str">
        <f>"VICO DI SAN DONATO  9-"</f>
        <v>VICO DI SAN DONATO  9-</v>
      </c>
      <c r="C1082" t="str">
        <f t="shared" si="122"/>
        <v>1</v>
      </c>
      <c r="D1082">
        <v>67</v>
      </c>
      <c r="E1082" t="str">
        <f>"1553"</f>
        <v>1553</v>
      </c>
      <c r="F1082" t="str">
        <f t="shared" si="123"/>
        <v>0000</v>
      </c>
    </row>
    <row r="1083" spans="1:6">
      <c r="C1083" t="str">
        <f t="shared" si="122"/>
        <v>1</v>
      </c>
      <c r="D1083">
        <v>67</v>
      </c>
      <c r="E1083" t="str">
        <f>"1565"</f>
        <v>1565</v>
      </c>
      <c r="F1083" t="str">
        <f t="shared" si="123"/>
        <v>0000</v>
      </c>
    </row>
    <row r="1084" spans="1:6">
      <c r="C1084" t="str">
        <f t="shared" si="122"/>
        <v>1</v>
      </c>
      <c r="D1084">
        <v>67</v>
      </c>
      <c r="E1084" t="str">
        <f>"1574"</f>
        <v>1574</v>
      </c>
      <c r="F1084" t="str">
        <f t="shared" si="123"/>
        <v>0000</v>
      </c>
    </row>
    <row r="1085" spans="1:6">
      <c r="A1085" t="str">
        <f>"E1859-1"</f>
        <v>E1859-1</v>
      </c>
      <c r="B1085" t="str">
        <f>"VIA DI MASCHERONA  19-"</f>
        <v>VIA DI MASCHERONA  19-</v>
      </c>
      <c r="C1085" t="str">
        <f t="shared" ref="C1085:C1116" si="124">"GEA"</f>
        <v>GEA</v>
      </c>
      <c r="D1085">
        <v>85</v>
      </c>
      <c r="E1085" t="str">
        <f>"1535"</f>
        <v>1535</v>
      </c>
      <c r="F1085" t="str">
        <f>"1"</f>
        <v>1</v>
      </c>
    </row>
    <row r="1086" spans="1:6">
      <c r="A1086" t="str">
        <f>"E1859-2"</f>
        <v>E1859-2</v>
      </c>
      <c r="B1086" t="str">
        <f>"VIA DI MASCHERONA  19-"</f>
        <v>VIA DI MASCHERONA  19-</v>
      </c>
      <c r="C1086" t="str">
        <f t="shared" si="124"/>
        <v>GEA</v>
      </c>
      <c r="D1086">
        <v>85</v>
      </c>
      <c r="E1086" t="str">
        <f>"1535"</f>
        <v>1535</v>
      </c>
      <c r="F1086" t="str">
        <f>"2"</f>
        <v>2</v>
      </c>
    </row>
    <row r="1087" spans="1:6">
      <c r="A1087" t="str">
        <f>"E1859-3"</f>
        <v>E1859-3</v>
      </c>
      <c r="B1087" t="str">
        <f>"VIA DI MASCHERONA  19-"</f>
        <v>VIA DI MASCHERONA  19-</v>
      </c>
      <c r="C1087" t="str">
        <f t="shared" si="124"/>
        <v>GEA</v>
      </c>
      <c r="D1087">
        <v>85</v>
      </c>
      <c r="E1087" t="str">
        <f>"1535"</f>
        <v>1535</v>
      </c>
      <c r="F1087" t="str">
        <f>"4"</f>
        <v>4</v>
      </c>
    </row>
    <row r="1088" spans="1:6">
      <c r="C1088" t="str">
        <f t="shared" si="124"/>
        <v>GEA</v>
      </c>
      <c r="D1088">
        <v>85</v>
      </c>
      <c r="E1088" t="str">
        <f>"1536"</f>
        <v>1536</v>
      </c>
      <c r="F1088" t="str">
        <f>"0000"</f>
        <v>0000</v>
      </c>
    </row>
    <row r="1089" spans="1:6">
      <c r="A1089" t="str">
        <f>"E1860-2"</f>
        <v>E1860-2</v>
      </c>
      <c r="B1089" t="str">
        <f>"PIAZZA TRUOGOLI S BRIGIDA  2A-"</f>
        <v>PIAZZA TRUOGOLI S BRIGIDA  2A-</v>
      </c>
      <c r="C1089" t="str">
        <f t="shared" si="124"/>
        <v>GEA</v>
      </c>
      <c r="D1089">
        <v>80</v>
      </c>
      <c r="E1089" t="str">
        <f t="shared" ref="E1089:E1120" si="125">"21"</f>
        <v>21</v>
      </c>
      <c r="F1089" t="str">
        <f>"62"</f>
        <v>62</v>
      </c>
    </row>
    <row r="1090" spans="1:6">
      <c r="A1090" t="str">
        <f>"E1860-3"</f>
        <v>E1860-3</v>
      </c>
      <c r="B1090" t="str">
        <f>"VICO ELBA  1-"</f>
        <v>VICO ELBA  1-</v>
      </c>
      <c r="C1090" t="str">
        <f t="shared" si="124"/>
        <v>GEA</v>
      </c>
      <c r="D1090">
        <v>80</v>
      </c>
      <c r="E1090" t="str">
        <f t="shared" si="125"/>
        <v>21</v>
      </c>
      <c r="F1090" t="str">
        <f>"14"</f>
        <v>14</v>
      </c>
    </row>
    <row r="1091" spans="1:6">
      <c r="A1091" t="str">
        <f>"E1860-4"</f>
        <v>E1860-4</v>
      </c>
      <c r="B1091" t="str">
        <f>"PIAZZA TRUOGOLI S BRIGIDA  8-"</f>
        <v>PIAZZA TRUOGOLI S BRIGIDA  8-</v>
      </c>
      <c r="C1091" t="str">
        <f t="shared" si="124"/>
        <v>GEA</v>
      </c>
      <c r="D1091">
        <v>80</v>
      </c>
      <c r="E1091" t="str">
        <f t="shared" si="125"/>
        <v>21</v>
      </c>
      <c r="F1091" t="str">
        <f>"7"</f>
        <v>7</v>
      </c>
    </row>
    <row r="1092" spans="1:6">
      <c r="A1092" t="str">
        <f>"E1860-5"</f>
        <v>E1860-5</v>
      </c>
      <c r="B1092" t="str">
        <f>"PIAZZA TRUOGOLI S BRIGIDA  6-"</f>
        <v>PIAZZA TRUOGOLI S BRIGIDA  6-</v>
      </c>
      <c r="C1092" t="str">
        <f t="shared" si="124"/>
        <v>GEA</v>
      </c>
      <c r="D1092">
        <v>80</v>
      </c>
      <c r="E1092" t="str">
        <f t="shared" si="125"/>
        <v>21</v>
      </c>
      <c r="F1092" t="str">
        <f>"6"</f>
        <v>6</v>
      </c>
    </row>
    <row r="1093" spans="1:6">
      <c r="A1093" t="str">
        <f>"E1860-6"</f>
        <v>E1860-6</v>
      </c>
      <c r="B1093" t="str">
        <f t="shared" ref="B1093:B1107" si="126">"PIAZZA TRUOGOLI S BRIGIDA  10-"</f>
        <v>PIAZZA TRUOGOLI S BRIGIDA  10-</v>
      </c>
      <c r="C1093" t="str">
        <f t="shared" si="124"/>
        <v>GEA</v>
      </c>
      <c r="D1093">
        <v>80</v>
      </c>
      <c r="E1093" t="str">
        <f t="shared" si="125"/>
        <v>21</v>
      </c>
      <c r="F1093" t="str">
        <f>"24"</f>
        <v>24</v>
      </c>
    </row>
    <row r="1094" spans="1:6">
      <c r="A1094" t="str">
        <f>"E1860-7"</f>
        <v>E1860-7</v>
      </c>
      <c r="B1094" t="str">
        <f t="shared" si="126"/>
        <v>PIAZZA TRUOGOLI S BRIGIDA  10-</v>
      </c>
      <c r="C1094" t="str">
        <f t="shared" si="124"/>
        <v>GEA</v>
      </c>
      <c r="D1094">
        <v>80</v>
      </c>
      <c r="E1094" t="str">
        <f t="shared" si="125"/>
        <v>21</v>
      </c>
      <c r="F1094" t="str">
        <f>"23"</f>
        <v>23</v>
      </c>
    </row>
    <row r="1095" spans="1:6">
      <c r="A1095" t="str">
        <f>"E1860-8"</f>
        <v>E1860-8</v>
      </c>
      <c r="B1095" t="str">
        <f t="shared" si="126"/>
        <v>PIAZZA TRUOGOLI S BRIGIDA  10-</v>
      </c>
      <c r="C1095" t="str">
        <f t="shared" si="124"/>
        <v>GEA</v>
      </c>
      <c r="D1095">
        <v>80</v>
      </c>
      <c r="E1095" t="str">
        <f t="shared" si="125"/>
        <v>21</v>
      </c>
      <c r="F1095" t="str">
        <f>"22"</f>
        <v>22</v>
      </c>
    </row>
    <row r="1096" spans="1:6">
      <c r="A1096" t="str">
        <f>"E1860-9"</f>
        <v>E1860-9</v>
      </c>
      <c r="B1096" t="str">
        <f t="shared" si="126"/>
        <v>PIAZZA TRUOGOLI S BRIGIDA  10-</v>
      </c>
      <c r="C1096" t="str">
        <f t="shared" si="124"/>
        <v>GEA</v>
      </c>
      <c r="D1096">
        <v>80</v>
      </c>
      <c r="E1096" t="str">
        <f t="shared" si="125"/>
        <v>21</v>
      </c>
      <c r="F1096" t="str">
        <f>"21"</f>
        <v>21</v>
      </c>
    </row>
    <row r="1097" spans="1:6">
      <c r="A1097" t="str">
        <f>"E1860-10"</f>
        <v>E1860-10</v>
      </c>
      <c r="B1097" t="str">
        <f t="shared" si="126"/>
        <v>PIAZZA TRUOGOLI S BRIGIDA  10-</v>
      </c>
      <c r="C1097" t="str">
        <f t="shared" si="124"/>
        <v>GEA</v>
      </c>
      <c r="D1097">
        <v>80</v>
      </c>
      <c r="E1097" t="str">
        <f t="shared" si="125"/>
        <v>21</v>
      </c>
      <c r="F1097" t="str">
        <f>"20"</f>
        <v>20</v>
      </c>
    </row>
    <row r="1098" spans="1:6">
      <c r="A1098" t="str">
        <f>"E1860-11"</f>
        <v>E1860-11</v>
      </c>
      <c r="B1098" t="str">
        <f t="shared" si="126"/>
        <v>PIAZZA TRUOGOLI S BRIGIDA  10-</v>
      </c>
      <c r="C1098" t="str">
        <f t="shared" si="124"/>
        <v>GEA</v>
      </c>
      <c r="D1098">
        <v>80</v>
      </c>
      <c r="E1098" t="str">
        <f t="shared" si="125"/>
        <v>21</v>
      </c>
      <c r="F1098" t="str">
        <f>"19"</f>
        <v>19</v>
      </c>
    </row>
    <row r="1099" spans="1:6">
      <c r="A1099" t="str">
        <f>"E1860-12"</f>
        <v>E1860-12</v>
      </c>
      <c r="B1099" t="str">
        <f t="shared" si="126"/>
        <v>PIAZZA TRUOGOLI S BRIGIDA  10-</v>
      </c>
      <c r="C1099" t="str">
        <f t="shared" si="124"/>
        <v>GEA</v>
      </c>
      <c r="D1099">
        <v>80</v>
      </c>
      <c r="E1099" t="str">
        <f t="shared" si="125"/>
        <v>21</v>
      </c>
      <c r="F1099" t="str">
        <f>"18"</f>
        <v>18</v>
      </c>
    </row>
    <row r="1100" spans="1:6">
      <c r="A1100" t="str">
        <f>"E1860-13"</f>
        <v>E1860-13</v>
      </c>
      <c r="B1100" t="str">
        <f t="shared" si="126"/>
        <v>PIAZZA TRUOGOLI S BRIGIDA  10-</v>
      </c>
      <c r="C1100" t="str">
        <f t="shared" si="124"/>
        <v>GEA</v>
      </c>
      <c r="D1100">
        <v>80</v>
      </c>
      <c r="E1100" t="str">
        <f t="shared" si="125"/>
        <v>21</v>
      </c>
      <c r="F1100" t="str">
        <f>"17"</f>
        <v>17</v>
      </c>
    </row>
    <row r="1101" spans="1:6">
      <c r="A1101" t="str">
        <f>"E1860-14"</f>
        <v>E1860-14</v>
      </c>
      <c r="B1101" t="str">
        <f t="shared" si="126"/>
        <v>PIAZZA TRUOGOLI S BRIGIDA  10-</v>
      </c>
      <c r="C1101" t="str">
        <f t="shared" si="124"/>
        <v>GEA</v>
      </c>
      <c r="D1101">
        <v>80</v>
      </c>
      <c r="E1101" t="str">
        <f t="shared" si="125"/>
        <v>21</v>
      </c>
      <c r="F1101" t="str">
        <f>"16"</f>
        <v>16</v>
      </c>
    </row>
    <row r="1102" spans="1:6">
      <c r="A1102" t="str">
        <f>"E1860-15"</f>
        <v>E1860-15</v>
      </c>
      <c r="B1102" t="str">
        <f t="shared" si="126"/>
        <v>PIAZZA TRUOGOLI S BRIGIDA  10-</v>
      </c>
      <c r="C1102" t="str">
        <f t="shared" si="124"/>
        <v>GEA</v>
      </c>
      <c r="D1102">
        <v>80</v>
      </c>
      <c r="E1102" t="str">
        <f t="shared" si="125"/>
        <v>21</v>
      </c>
      <c r="F1102" t="str">
        <f>"15"</f>
        <v>15</v>
      </c>
    </row>
    <row r="1103" spans="1:6">
      <c r="A1103" t="str">
        <f>"E1860-16"</f>
        <v>E1860-16</v>
      </c>
      <c r="B1103" t="str">
        <f t="shared" si="126"/>
        <v>PIAZZA TRUOGOLI S BRIGIDA  10-</v>
      </c>
      <c r="C1103" t="str">
        <f t="shared" si="124"/>
        <v>GEA</v>
      </c>
      <c r="D1103">
        <v>80</v>
      </c>
      <c r="E1103" t="str">
        <f t="shared" si="125"/>
        <v>21</v>
      </c>
      <c r="F1103" t="str">
        <f>"25"</f>
        <v>25</v>
      </c>
    </row>
    <row r="1104" spans="1:6">
      <c r="A1104" t="str">
        <f>"E1860-17"</f>
        <v>E1860-17</v>
      </c>
      <c r="B1104" t="str">
        <f t="shared" si="126"/>
        <v>PIAZZA TRUOGOLI S BRIGIDA  10-</v>
      </c>
      <c r="C1104" t="str">
        <f t="shared" si="124"/>
        <v>GEA</v>
      </c>
      <c r="D1104">
        <v>80</v>
      </c>
      <c r="E1104" t="str">
        <f t="shared" si="125"/>
        <v>21</v>
      </c>
      <c r="F1104" t="str">
        <f>"26"</f>
        <v>26</v>
      </c>
    </row>
    <row r="1105" spans="1:6">
      <c r="A1105" t="str">
        <f>"E1860-18"</f>
        <v>E1860-18</v>
      </c>
      <c r="B1105" t="str">
        <f t="shared" si="126"/>
        <v>PIAZZA TRUOGOLI S BRIGIDA  10-</v>
      </c>
      <c r="C1105" t="str">
        <f t="shared" si="124"/>
        <v>GEA</v>
      </c>
      <c r="D1105">
        <v>80</v>
      </c>
      <c r="E1105" t="str">
        <f t="shared" si="125"/>
        <v>21</v>
      </c>
      <c r="F1105" t="str">
        <f>"29"</f>
        <v>29</v>
      </c>
    </row>
    <row r="1106" spans="1:6">
      <c r="A1106" t="str">
        <f>"E1860-19"</f>
        <v>E1860-19</v>
      </c>
      <c r="B1106" t="str">
        <f t="shared" si="126"/>
        <v>PIAZZA TRUOGOLI S BRIGIDA  10-</v>
      </c>
      <c r="C1106" t="str">
        <f t="shared" si="124"/>
        <v>GEA</v>
      </c>
      <c r="D1106">
        <v>80</v>
      </c>
      <c r="E1106" t="str">
        <f t="shared" si="125"/>
        <v>21</v>
      </c>
      <c r="F1106" t="str">
        <f>"28"</f>
        <v>28</v>
      </c>
    </row>
    <row r="1107" spans="1:6">
      <c r="A1107" t="str">
        <f>"E1860-20"</f>
        <v>E1860-20</v>
      </c>
      <c r="B1107" t="str">
        <f t="shared" si="126"/>
        <v>PIAZZA TRUOGOLI S BRIGIDA  10-</v>
      </c>
      <c r="C1107" t="str">
        <f t="shared" si="124"/>
        <v>GEA</v>
      </c>
      <c r="D1107">
        <v>80</v>
      </c>
      <c r="E1107" t="str">
        <f t="shared" si="125"/>
        <v>21</v>
      </c>
      <c r="F1107" t="str">
        <f>"27"</f>
        <v>27</v>
      </c>
    </row>
    <row r="1108" spans="1:6">
      <c r="A1108" t="str">
        <f>"E1860-21"</f>
        <v>E1860-21</v>
      </c>
      <c r="B1108" t="str">
        <f>"PIAZZA TRUOGOLI S BRIGIDA  12-"</f>
        <v>PIAZZA TRUOGOLI S BRIGIDA  12-</v>
      </c>
      <c r="C1108" t="str">
        <f t="shared" si="124"/>
        <v>GEA</v>
      </c>
      <c r="D1108">
        <v>80</v>
      </c>
      <c r="E1108" t="str">
        <f t="shared" si="125"/>
        <v>21</v>
      </c>
      <c r="F1108" t="str">
        <f>"8"</f>
        <v>8</v>
      </c>
    </row>
    <row r="1109" spans="1:6">
      <c r="A1109" t="str">
        <f>"E1860-22"</f>
        <v>E1860-22</v>
      </c>
      <c r="B1109" t="str">
        <f t="shared" ref="B1109:B1120" si="127">"PIAZZA TRUOGOLI S BRIGIDA  10-"</f>
        <v>PIAZZA TRUOGOLI S BRIGIDA  10-</v>
      </c>
      <c r="C1109" t="str">
        <f t="shared" si="124"/>
        <v>GEA</v>
      </c>
      <c r="D1109">
        <v>80</v>
      </c>
      <c r="E1109" t="str">
        <f t="shared" si="125"/>
        <v>21</v>
      </c>
      <c r="F1109" t="str">
        <f>"31"</f>
        <v>31</v>
      </c>
    </row>
    <row r="1110" spans="1:6">
      <c r="A1110" t="str">
        <f>"E1860-23"</f>
        <v>E1860-23</v>
      </c>
      <c r="B1110" t="str">
        <f t="shared" si="127"/>
        <v>PIAZZA TRUOGOLI S BRIGIDA  10-</v>
      </c>
      <c r="C1110" t="str">
        <f t="shared" si="124"/>
        <v>GEA</v>
      </c>
      <c r="D1110">
        <v>80</v>
      </c>
      <c r="E1110" t="str">
        <f t="shared" si="125"/>
        <v>21</v>
      </c>
      <c r="F1110" t="str">
        <f>"32"</f>
        <v>32</v>
      </c>
    </row>
    <row r="1111" spans="1:6">
      <c r="A1111" t="str">
        <f>"E1860-24"</f>
        <v>E1860-24</v>
      </c>
      <c r="B1111" t="str">
        <f t="shared" si="127"/>
        <v>PIAZZA TRUOGOLI S BRIGIDA  10-</v>
      </c>
      <c r="C1111" t="str">
        <f t="shared" si="124"/>
        <v>GEA</v>
      </c>
      <c r="D1111">
        <v>80</v>
      </c>
      <c r="E1111" t="str">
        <f t="shared" si="125"/>
        <v>21</v>
      </c>
      <c r="F1111" t="str">
        <f>"33"</f>
        <v>33</v>
      </c>
    </row>
    <row r="1112" spans="1:6">
      <c r="A1112" t="str">
        <f>"E1860-25"</f>
        <v>E1860-25</v>
      </c>
      <c r="B1112" t="str">
        <f t="shared" si="127"/>
        <v>PIAZZA TRUOGOLI S BRIGIDA  10-</v>
      </c>
      <c r="C1112" t="str">
        <f t="shared" si="124"/>
        <v>GEA</v>
      </c>
      <c r="D1112">
        <v>80</v>
      </c>
      <c r="E1112" t="str">
        <f t="shared" si="125"/>
        <v>21</v>
      </c>
      <c r="F1112" t="str">
        <f>"34"</f>
        <v>34</v>
      </c>
    </row>
    <row r="1113" spans="1:6">
      <c r="A1113" t="str">
        <f>"E1860-26"</f>
        <v>E1860-26</v>
      </c>
      <c r="B1113" t="str">
        <f t="shared" si="127"/>
        <v>PIAZZA TRUOGOLI S BRIGIDA  10-</v>
      </c>
      <c r="C1113" t="str">
        <f t="shared" si="124"/>
        <v>GEA</v>
      </c>
      <c r="D1113">
        <v>80</v>
      </c>
      <c r="E1113" t="str">
        <f t="shared" si="125"/>
        <v>21</v>
      </c>
      <c r="F1113" t="str">
        <f>"35"</f>
        <v>35</v>
      </c>
    </row>
    <row r="1114" spans="1:6">
      <c r="A1114" t="str">
        <f>"E1860-27"</f>
        <v>E1860-27</v>
      </c>
      <c r="B1114" t="str">
        <f t="shared" si="127"/>
        <v>PIAZZA TRUOGOLI S BRIGIDA  10-</v>
      </c>
      <c r="C1114" t="str">
        <f t="shared" si="124"/>
        <v>GEA</v>
      </c>
      <c r="D1114">
        <v>80</v>
      </c>
      <c r="E1114" t="str">
        <f t="shared" si="125"/>
        <v>21</v>
      </c>
      <c r="F1114" t="str">
        <f>"36"</f>
        <v>36</v>
      </c>
    </row>
    <row r="1115" spans="1:6">
      <c r="A1115" t="str">
        <f>"E1860-28"</f>
        <v>E1860-28</v>
      </c>
      <c r="B1115" t="str">
        <f t="shared" si="127"/>
        <v>PIAZZA TRUOGOLI S BRIGIDA  10-</v>
      </c>
      <c r="C1115" t="str">
        <f t="shared" si="124"/>
        <v>GEA</v>
      </c>
      <c r="D1115">
        <v>80</v>
      </c>
      <c r="E1115" t="str">
        <f t="shared" si="125"/>
        <v>21</v>
      </c>
      <c r="F1115" t="str">
        <f>"37"</f>
        <v>37</v>
      </c>
    </row>
    <row r="1116" spans="1:6">
      <c r="A1116" t="str">
        <f>"E1860-29"</f>
        <v>E1860-29</v>
      </c>
      <c r="B1116" t="str">
        <f t="shared" si="127"/>
        <v>PIAZZA TRUOGOLI S BRIGIDA  10-</v>
      </c>
      <c r="C1116" t="str">
        <f t="shared" si="124"/>
        <v>GEA</v>
      </c>
      <c r="D1116">
        <v>80</v>
      </c>
      <c r="E1116" t="str">
        <f t="shared" si="125"/>
        <v>21</v>
      </c>
      <c r="F1116" t="str">
        <f>"38"</f>
        <v>38</v>
      </c>
    </row>
    <row r="1117" spans="1:6">
      <c r="A1117" t="str">
        <f>"E1860-30"</f>
        <v>E1860-30</v>
      </c>
      <c r="B1117" t="str">
        <f t="shared" si="127"/>
        <v>PIAZZA TRUOGOLI S BRIGIDA  10-</v>
      </c>
      <c r="C1117" t="str">
        <f t="shared" ref="C1117:C1148" si="128">"GEA"</f>
        <v>GEA</v>
      </c>
      <c r="D1117">
        <v>80</v>
      </c>
      <c r="E1117" t="str">
        <f t="shared" si="125"/>
        <v>21</v>
      </c>
      <c r="F1117" t="str">
        <f>"39"</f>
        <v>39</v>
      </c>
    </row>
    <row r="1118" spans="1:6">
      <c r="A1118" t="str">
        <f>"E1860-31"</f>
        <v>E1860-31</v>
      </c>
      <c r="B1118" t="str">
        <f t="shared" si="127"/>
        <v>PIAZZA TRUOGOLI S BRIGIDA  10-</v>
      </c>
      <c r="C1118" t="str">
        <f t="shared" si="128"/>
        <v>GEA</v>
      </c>
      <c r="D1118">
        <v>80</v>
      </c>
      <c r="E1118" t="str">
        <f t="shared" si="125"/>
        <v>21</v>
      </c>
      <c r="F1118" t="str">
        <f>"40"</f>
        <v>40</v>
      </c>
    </row>
    <row r="1119" spans="1:6">
      <c r="A1119" t="str">
        <f>"E1860-32"</f>
        <v>E1860-32</v>
      </c>
      <c r="B1119" t="str">
        <f t="shared" si="127"/>
        <v>PIAZZA TRUOGOLI S BRIGIDA  10-</v>
      </c>
      <c r="C1119" t="str">
        <f t="shared" si="128"/>
        <v>GEA</v>
      </c>
      <c r="D1119">
        <v>80</v>
      </c>
      <c r="E1119" t="str">
        <f t="shared" si="125"/>
        <v>21</v>
      </c>
      <c r="F1119" t="str">
        <f>"41"</f>
        <v>41</v>
      </c>
    </row>
    <row r="1120" spans="1:6">
      <c r="A1120" t="str">
        <f>"E1860-33"</f>
        <v>E1860-33</v>
      </c>
      <c r="B1120" t="str">
        <f t="shared" si="127"/>
        <v>PIAZZA TRUOGOLI S BRIGIDA  10-</v>
      </c>
      <c r="C1120" t="str">
        <f t="shared" si="128"/>
        <v>GEA</v>
      </c>
      <c r="D1120">
        <v>80</v>
      </c>
      <c r="E1120" t="str">
        <f t="shared" si="125"/>
        <v>21</v>
      </c>
      <c r="F1120" t="str">
        <f>"42"</f>
        <v>42</v>
      </c>
    </row>
    <row r="1121" spans="1:6">
      <c r="A1121" t="str">
        <f>"E1860-34"</f>
        <v>E1860-34</v>
      </c>
      <c r="B1121" t="str">
        <f>"PIAZZA TRUOGOLI S BRIGIDA  14-"</f>
        <v>PIAZZA TRUOGOLI S BRIGIDA  14-</v>
      </c>
      <c r="C1121" t="str">
        <f t="shared" si="128"/>
        <v>GEA</v>
      </c>
      <c r="D1121">
        <v>80</v>
      </c>
      <c r="E1121" t="str">
        <f t="shared" ref="E1121:E1144" si="129">"21"</f>
        <v>21</v>
      </c>
      <c r="F1121" t="str">
        <f>"43"</f>
        <v>43</v>
      </c>
    </row>
    <row r="1122" spans="1:6">
      <c r="A1122" t="str">
        <f>"E1860-35"</f>
        <v>E1860-35</v>
      </c>
      <c r="B1122" t="str">
        <f>"PIAZZA TRUOGOLI S BRIGIDA  14-"</f>
        <v>PIAZZA TRUOGOLI S BRIGIDA  14-</v>
      </c>
      <c r="C1122" t="str">
        <f t="shared" si="128"/>
        <v>GEA</v>
      </c>
      <c r="D1122">
        <v>80</v>
      </c>
      <c r="E1122" t="str">
        <f t="shared" si="129"/>
        <v>21</v>
      </c>
      <c r="F1122" t="str">
        <f>"44"</f>
        <v>44</v>
      </c>
    </row>
    <row r="1123" spans="1:6">
      <c r="A1123" t="str">
        <f>"E1860-36"</f>
        <v>E1860-36</v>
      </c>
      <c r="B1123" t="str">
        <f>"PIAZZA TRUOGOLI S BRIGIDA  16-"</f>
        <v>PIAZZA TRUOGOLI S BRIGIDA  16-</v>
      </c>
      <c r="C1123" t="str">
        <f t="shared" si="128"/>
        <v>GEA</v>
      </c>
      <c r="D1123">
        <v>80</v>
      </c>
      <c r="E1123" t="str">
        <f t="shared" si="129"/>
        <v>21</v>
      </c>
      <c r="F1123" t="str">
        <f>"9"</f>
        <v>9</v>
      </c>
    </row>
    <row r="1124" spans="1:6">
      <c r="A1124" t="str">
        <f>"E1860-37"</f>
        <v>E1860-37</v>
      </c>
      <c r="B1124" t="str">
        <f>"VICO VIVALDI  3-"</f>
        <v>VICO VIVALDI  3-</v>
      </c>
      <c r="C1124" t="str">
        <f t="shared" si="128"/>
        <v>GEA</v>
      </c>
      <c r="D1124">
        <v>80</v>
      </c>
      <c r="E1124" t="str">
        <f t="shared" si="129"/>
        <v>21</v>
      </c>
      <c r="F1124" t="str">
        <f>"10"</f>
        <v>10</v>
      </c>
    </row>
    <row r="1125" spans="1:6">
      <c r="A1125" t="str">
        <f>"E1860-38"</f>
        <v>E1860-38</v>
      </c>
      <c r="B1125" t="str">
        <f>"VICO VIVALDI  1-"</f>
        <v>VICO VIVALDI  1-</v>
      </c>
      <c r="C1125" t="str">
        <f t="shared" si="128"/>
        <v>GEA</v>
      </c>
      <c r="D1125">
        <v>80</v>
      </c>
      <c r="E1125" t="str">
        <f t="shared" si="129"/>
        <v>21</v>
      </c>
      <c r="F1125" t="str">
        <f>"11"</f>
        <v>11</v>
      </c>
    </row>
    <row r="1126" spans="1:6">
      <c r="A1126" t="str">
        <f>"E1860-39"</f>
        <v>E1860-39</v>
      </c>
      <c r="B1126" t="str">
        <f>"VIA DI PRE  131R-"</f>
        <v>VIA DI PRE  131R-</v>
      </c>
      <c r="C1126" t="str">
        <f t="shared" si="128"/>
        <v>GEA</v>
      </c>
      <c r="D1126">
        <v>80</v>
      </c>
      <c r="E1126" t="str">
        <f t="shared" si="129"/>
        <v>21</v>
      </c>
      <c r="F1126" t="str">
        <f>"12"</f>
        <v>12</v>
      </c>
    </row>
    <row r="1127" spans="1:6">
      <c r="A1127" t="str">
        <f>"E1860-40"</f>
        <v>E1860-40</v>
      </c>
      <c r="B1127" t="str">
        <f>"VIA DI PRE  129R-"</f>
        <v>VIA DI PRE  129R-</v>
      </c>
      <c r="C1127" t="str">
        <f t="shared" si="128"/>
        <v>GEA</v>
      </c>
      <c r="D1127">
        <v>80</v>
      </c>
      <c r="E1127" t="str">
        <f t="shared" si="129"/>
        <v>21</v>
      </c>
      <c r="F1127" t="str">
        <f>"13"</f>
        <v>13</v>
      </c>
    </row>
    <row r="1128" spans="1:6">
      <c r="A1128" t="str">
        <f>"E1860-41"</f>
        <v>E1860-41</v>
      </c>
      <c r="B1128" t="str">
        <f t="shared" ref="B1128:B1144" si="130">"PIAZZA TRUOGOLI S BRIGIDA  18-"</f>
        <v>PIAZZA TRUOGOLI S BRIGIDA  18-</v>
      </c>
      <c r="C1128" t="str">
        <f t="shared" si="128"/>
        <v>GEA</v>
      </c>
      <c r="D1128">
        <v>80</v>
      </c>
      <c r="E1128" t="str">
        <f t="shared" si="129"/>
        <v>21</v>
      </c>
      <c r="F1128" t="str">
        <f>"45"</f>
        <v>45</v>
      </c>
    </row>
    <row r="1129" spans="1:6">
      <c r="A1129" t="str">
        <f>"E1860-42"</f>
        <v>E1860-42</v>
      </c>
      <c r="B1129" t="str">
        <f t="shared" si="130"/>
        <v>PIAZZA TRUOGOLI S BRIGIDA  18-</v>
      </c>
      <c r="C1129" t="str">
        <f t="shared" si="128"/>
        <v>GEA</v>
      </c>
      <c r="D1129">
        <v>80</v>
      </c>
      <c r="E1129" t="str">
        <f t="shared" si="129"/>
        <v>21</v>
      </c>
      <c r="F1129" t="str">
        <f>"46"</f>
        <v>46</v>
      </c>
    </row>
    <row r="1130" spans="1:6">
      <c r="A1130" t="str">
        <f>"E1860-43"</f>
        <v>E1860-43</v>
      </c>
      <c r="B1130" t="str">
        <f t="shared" si="130"/>
        <v>PIAZZA TRUOGOLI S BRIGIDA  18-</v>
      </c>
      <c r="C1130" t="str">
        <f t="shared" si="128"/>
        <v>GEA</v>
      </c>
      <c r="D1130">
        <v>80</v>
      </c>
      <c r="E1130" t="str">
        <f t="shared" si="129"/>
        <v>21</v>
      </c>
      <c r="F1130" t="str">
        <f>"47"</f>
        <v>47</v>
      </c>
    </row>
    <row r="1131" spans="1:6">
      <c r="A1131" t="str">
        <f>"E1860-44"</f>
        <v>E1860-44</v>
      </c>
      <c r="B1131" t="str">
        <f t="shared" si="130"/>
        <v>PIAZZA TRUOGOLI S BRIGIDA  18-</v>
      </c>
      <c r="C1131" t="str">
        <f t="shared" si="128"/>
        <v>GEA</v>
      </c>
      <c r="D1131">
        <v>80</v>
      </c>
      <c r="E1131" t="str">
        <f t="shared" si="129"/>
        <v>21</v>
      </c>
      <c r="F1131" t="str">
        <f>"48"</f>
        <v>48</v>
      </c>
    </row>
    <row r="1132" spans="1:6">
      <c r="A1132" t="str">
        <f>"E1860-45"</f>
        <v>E1860-45</v>
      </c>
      <c r="B1132" t="str">
        <f t="shared" si="130"/>
        <v>PIAZZA TRUOGOLI S BRIGIDA  18-</v>
      </c>
      <c r="C1132" t="str">
        <f t="shared" si="128"/>
        <v>GEA</v>
      </c>
      <c r="D1132">
        <v>80</v>
      </c>
      <c r="E1132" t="str">
        <f t="shared" si="129"/>
        <v>21</v>
      </c>
      <c r="F1132" t="str">
        <f>"49"</f>
        <v>49</v>
      </c>
    </row>
    <row r="1133" spans="1:6">
      <c r="A1133" t="str">
        <f>"E1860-46"</f>
        <v>E1860-46</v>
      </c>
      <c r="B1133" t="str">
        <f t="shared" si="130"/>
        <v>PIAZZA TRUOGOLI S BRIGIDA  18-</v>
      </c>
      <c r="C1133" t="str">
        <f t="shared" si="128"/>
        <v>GEA</v>
      </c>
      <c r="D1133">
        <v>80</v>
      </c>
      <c r="E1133" t="str">
        <f t="shared" si="129"/>
        <v>21</v>
      </c>
      <c r="F1133" t="str">
        <f>"50"</f>
        <v>50</v>
      </c>
    </row>
    <row r="1134" spans="1:6">
      <c r="A1134" t="str">
        <f>"E1860-47"</f>
        <v>E1860-47</v>
      </c>
      <c r="B1134" t="str">
        <f t="shared" si="130"/>
        <v>PIAZZA TRUOGOLI S BRIGIDA  18-</v>
      </c>
      <c r="C1134" t="str">
        <f t="shared" si="128"/>
        <v>GEA</v>
      </c>
      <c r="D1134">
        <v>80</v>
      </c>
      <c r="E1134" t="str">
        <f t="shared" si="129"/>
        <v>21</v>
      </c>
      <c r="F1134" t="str">
        <f>"51"</f>
        <v>51</v>
      </c>
    </row>
    <row r="1135" spans="1:6">
      <c r="A1135" t="str">
        <f>"E1860-48"</f>
        <v>E1860-48</v>
      </c>
      <c r="B1135" t="str">
        <f t="shared" si="130"/>
        <v>PIAZZA TRUOGOLI S BRIGIDA  18-</v>
      </c>
      <c r="C1135" t="str">
        <f t="shared" si="128"/>
        <v>GEA</v>
      </c>
      <c r="D1135">
        <v>80</v>
      </c>
      <c r="E1135" t="str">
        <f t="shared" si="129"/>
        <v>21</v>
      </c>
      <c r="F1135" t="str">
        <f>"52"</f>
        <v>52</v>
      </c>
    </row>
    <row r="1136" spans="1:6">
      <c r="A1136" t="str">
        <f>"E1860-49"</f>
        <v>E1860-49</v>
      </c>
      <c r="B1136" t="str">
        <f t="shared" si="130"/>
        <v>PIAZZA TRUOGOLI S BRIGIDA  18-</v>
      </c>
      <c r="C1136" t="str">
        <f t="shared" si="128"/>
        <v>GEA</v>
      </c>
      <c r="D1136">
        <v>80</v>
      </c>
      <c r="E1136" t="str">
        <f t="shared" si="129"/>
        <v>21</v>
      </c>
      <c r="F1136" t="str">
        <f>"53"</f>
        <v>53</v>
      </c>
    </row>
    <row r="1137" spans="1:6">
      <c r="A1137" t="str">
        <f>"E1860-50"</f>
        <v>E1860-50</v>
      </c>
      <c r="B1137" t="str">
        <f t="shared" si="130"/>
        <v>PIAZZA TRUOGOLI S BRIGIDA  18-</v>
      </c>
      <c r="C1137" t="str">
        <f t="shared" si="128"/>
        <v>GEA</v>
      </c>
      <c r="D1137">
        <v>80</v>
      </c>
      <c r="E1137" t="str">
        <f t="shared" si="129"/>
        <v>21</v>
      </c>
      <c r="F1137" t="str">
        <f>"54"</f>
        <v>54</v>
      </c>
    </row>
    <row r="1138" spans="1:6">
      <c r="A1138" t="str">
        <f>"E1860-51"</f>
        <v>E1860-51</v>
      </c>
      <c r="B1138" t="str">
        <f t="shared" si="130"/>
        <v>PIAZZA TRUOGOLI S BRIGIDA  18-</v>
      </c>
      <c r="C1138" t="str">
        <f t="shared" si="128"/>
        <v>GEA</v>
      </c>
      <c r="D1138">
        <v>80</v>
      </c>
      <c r="E1138" t="str">
        <f t="shared" si="129"/>
        <v>21</v>
      </c>
      <c r="F1138" t="str">
        <f>"55"</f>
        <v>55</v>
      </c>
    </row>
    <row r="1139" spans="1:6">
      <c r="A1139" t="str">
        <f>"E1860-52"</f>
        <v>E1860-52</v>
      </c>
      <c r="B1139" t="str">
        <f t="shared" si="130"/>
        <v>PIAZZA TRUOGOLI S BRIGIDA  18-</v>
      </c>
      <c r="C1139" t="str">
        <f t="shared" si="128"/>
        <v>GEA</v>
      </c>
      <c r="D1139">
        <v>80</v>
      </c>
      <c r="E1139" t="str">
        <f t="shared" si="129"/>
        <v>21</v>
      </c>
      <c r="F1139" t="str">
        <f>"56"</f>
        <v>56</v>
      </c>
    </row>
    <row r="1140" spans="1:6">
      <c r="A1140" t="str">
        <f>"E1860-53"</f>
        <v>E1860-53</v>
      </c>
      <c r="B1140" t="str">
        <f t="shared" si="130"/>
        <v>PIAZZA TRUOGOLI S BRIGIDA  18-</v>
      </c>
      <c r="C1140" t="str">
        <f t="shared" si="128"/>
        <v>GEA</v>
      </c>
      <c r="D1140">
        <v>80</v>
      </c>
      <c r="E1140" t="str">
        <f t="shared" si="129"/>
        <v>21</v>
      </c>
      <c r="F1140" t="str">
        <f>"57"</f>
        <v>57</v>
      </c>
    </row>
    <row r="1141" spans="1:6">
      <c r="A1141" t="str">
        <f>"E1860-54"</f>
        <v>E1860-54</v>
      </c>
      <c r="B1141" t="str">
        <f t="shared" si="130"/>
        <v>PIAZZA TRUOGOLI S BRIGIDA  18-</v>
      </c>
      <c r="C1141" t="str">
        <f t="shared" si="128"/>
        <v>GEA</v>
      </c>
      <c r="D1141">
        <v>80</v>
      </c>
      <c r="E1141" t="str">
        <f t="shared" si="129"/>
        <v>21</v>
      </c>
      <c r="F1141" t="str">
        <f>"58"</f>
        <v>58</v>
      </c>
    </row>
    <row r="1142" spans="1:6">
      <c r="A1142" t="str">
        <f>"E1860-55"</f>
        <v>E1860-55</v>
      </c>
      <c r="B1142" t="str">
        <f t="shared" si="130"/>
        <v>PIAZZA TRUOGOLI S BRIGIDA  18-</v>
      </c>
      <c r="C1142" t="str">
        <f t="shared" si="128"/>
        <v>GEA</v>
      </c>
      <c r="D1142">
        <v>80</v>
      </c>
      <c r="E1142" t="str">
        <f t="shared" si="129"/>
        <v>21</v>
      </c>
      <c r="F1142" t="str">
        <f>"59"</f>
        <v>59</v>
      </c>
    </row>
    <row r="1143" spans="1:6">
      <c r="A1143" t="str">
        <f>"E1860-56"</f>
        <v>E1860-56</v>
      </c>
      <c r="B1143" t="str">
        <f t="shared" si="130"/>
        <v>PIAZZA TRUOGOLI S BRIGIDA  18-</v>
      </c>
      <c r="C1143" t="str">
        <f t="shared" si="128"/>
        <v>GEA</v>
      </c>
      <c r="D1143">
        <v>80</v>
      </c>
      <c r="E1143" t="str">
        <f t="shared" si="129"/>
        <v>21</v>
      </c>
      <c r="F1143" t="str">
        <f>"60"</f>
        <v>60</v>
      </c>
    </row>
    <row r="1144" spans="1:6">
      <c r="A1144" t="str">
        <f>"E1860-57"</f>
        <v>E1860-57</v>
      </c>
      <c r="B1144" t="str">
        <f t="shared" si="130"/>
        <v>PIAZZA TRUOGOLI S BRIGIDA  18-</v>
      </c>
      <c r="C1144" t="str">
        <f t="shared" si="128"/>
        <v>GEA</v>
      </c>
      <c r="D1144">
        <v>80</v>
      </c>
      <c r="E1144" t="str">
        <f t="shared" si="129"/>
        <v>21</v>
      </c>
      <c r="F1144" t="str">
        <f>"61"</f>
        <v>61</v>
      </c>
    </row>
    <row r="1145" spans="1:6">
      <c r="A1145" t="str">
        <f>"E1862-1"</f>
        <v>E1862-1</v>
      </c>
      <c r="B1145" t="str">
        <f>"VICO DI SANTA FEDE  2-"</f>
        <v>VICO DI SANTA FEDE  2-</v>
      </c>
      <c r="C1145" t="str">
        <f t="shared" si="128"/>
        <v>GEA</v>
      </c>
      <c r="D1145">
        <v>80</v>
      </c>
      <c r="E1145" t="str">
        <f>"152"</f>
        <v>152</v>
      </c>
      <c r="F1145" t="str">
        <f>"16"</f>
        <v>16</v>
      </c>
    </row>
    <row r="1146" spans="1:6">
      <c r="A1146" t="str">
        <f>"E1862-2"</f>
        <v>E1862-2</v>
      </c>
      <c r="B1146" t="str">
        <f>"VICO DI SANTA FEDE  2-"</f>
        <v>VICO DI SANTA FEDE  2-</v>
      </c>
      <c r="C1146" t="str">
        <f t="shared" si="128"/>
        <v>GEA</v>
      </c>
      <c r="D1146">
        <v>80</v>
      </c>
      <c r="E1146" t="str">
        <f>"152"</f>
        <v>152</v>
      </c>
      <c r="F1146" t="str">
        <f>"17"</f>
        <v>17</v>
      </c>
    </row>
    <row r="1147" spans="1:6">
      <c r="A1147" t="str">
        <f>"E1862-3"</f>
        <v>E1862-3</v>
      </c>
      <c r="B1147" t="str">
        <f>"VICO DI SANTA FEDE  2-"</f>
        <v>VICO DI SANTA FEDE  2-</v>
      </c>
      <c r="C1147" t="str">
        <f t="shared" si="128"/>
        <v>GEA</v>
      </c>
      <c r="D1147">
        <v>80</v>
      </c>
      <c r="E1147" t="str">
        <f>"152"</f>
        <v>152</v>
      </c>
      <c r="F1147" t="str">
        <f>"18"</f>
        <v>18</v>
      </c>
    </row>
    <row r="1148" spans="1:6">
      <c r="A1148" t="str">
        <f>"E1862-4"</f>
        <v>E1862-4</v>
      </c>
      <c r="B1148" t="str">
        <f>"VICO DI SANTA FEDE  2-"</f>
        <v>VICO DI SANTA FEDE  2-</v>
      </c>
      <c r="C1148" t="str">
        <f t="shared" si="128"/>
        <v>GEA</v>
      </c>
      <c r="D1148">
        <v>80</v>
      </c>
      <c r="E1148" t="str">
        <f>"152"</f>
        <v>152</v>
      </c>
      <c r="F1148" t="str">
        <f>"19"</f>
        <v>19</v>
      </c>
    </row>
    <row r="1149" spans="1:6">
      <c r="A1149" t="str">
        <f>"E1862-5"</f>
        <v>E1862-5</v>
      </c>
      <c r="B1149" t="str">
        <f>"VICO DI SANTA FEDE  6-"</f>
        <v>VICO DI SANTA FEDE  6-</v>
      </c>
      <c r="C1149" t="str">
        <f t="shared" ref="C1149:C1164" si="131">"GEA"</f>
        <v>GEA</v>
      </c>
      <c r="D1149">
        <v>80</v>
      </c>
      <c r="E1149" t="str">
        <f>"258"</f>
        <v>258</v>
      </c>
      <c r="F1149" t="str">
        <f>"2"</f>
        <v>2</v>
      </c>
    </row>
    <row r="1150" spans="1:6">
      <c r="A1150" t="str">
        <f>"E1862-6"</f>
        <v>E1862-6</v>
      </c>
      <c r="B1150" t="str">
        <f>"VICO DI SANTA FEDE  6-"</f>
        <v>VICO DI SANTA FEDE  6-</v>
      </c>
      <c r="C1150" t="str">
        <f t="shared" si="131"/>
        <v>GEA</v>
      </c>
      <c r="D1150">
        <v>80</v>
      </c>
      <c r="E1150" t="str">
        <f>"258"</f>
        <v>258</v>
      </c>
      <c r="F1150" t="str">
        <f>"3"</f>
        <v>3</v>
      </c>
    </row>
    <row r="1151" spans="1:6">
      <c r="A1151" t="str">
        <f>"E1862-7"</f>
        <v>E1862-7</v>
      </c>
      <c r="B1151" t="str">
        <f>"VICO DI SANTA FEDE  6-"</f>
        <v>VICO DI SANTA FEDE  6-</v>
      </c>
      <c r="C1151" t="str">
        <f t="shared" si="131"/>
        <v>GEA</v>
      </c>
      <c r="D1151">
        <v>80</v>
      </c>
      <c r="E1151" t="str">
        <f>"258"</f>
        <v>258</v>
      </c>
      <c r="F1151" t="str">
        <f>"4"</f>
        <v>4</v>
      </c>
    </row>
    <row r="1152" spans="1:6">
      <c r="A1152" t="str">
        <f>"E1862-8"</f>
        <v>E1862-8</v>
      </c>
      <c r="B1152" t="str">
        <f>"VICO DI SANTA FEDE  6-"</f>
        <v>VICO DI SANTA FEDE  6-</v>
      </c>
      <c r="C1152" t="str">
        <f t="shared" si="131"/>
        <v>GEA</v>
      </c>
      <c r="D1152">
        <v>80</v>
      </c>
      <c r="E1152" t="str">
        <f>"258"</f>
        <v>258</v>
      </c>
      <c r="F1152" t="str">
        <f>"5"</f>
        <v>5</v>
      </c>
    </row>
    <row r="1153" spans="1:6">
      <c r="A1153" t="str">
        <f>"E1862-9"</f>
        <v>E1862-9</v>
      </c>
      <c r="B1153" t="str">
        <f>"VICO DI SANTA FEDE  6-"</f>
        <v>VICO DI SANTA FEDE  6-</v>
      </c>
      <c r="C1153" t="str">
        <f t="shared" si="131"/>
        <v>GEA</v>
      </c>
      <c r="D1153">
        <v>80</v>
      </c>
      <c r="E1153" t="str">
        <f>"258"</f>
        <v>258</v>
      </c>
      <c r="F1153" t="str">
        <f>"6"</f>
        <v>6</v>
      </c>
    </row>
    <row r="1154" spans="1:6">
      <c r="A1154" t="str">
        <f>"E1862-10"</f>
        <v>E1862-10</v>
      </c>
      <c r="B1154" t="str">
        <f>"VICO DEL POZZO  1-"</f>
        <v>VICO DEL POZZO  1-</v>
      </c>
      <c r="C1154" t="str">
        <f t="shared" si="131"/>
        <v>GEA</v>
      </c>
      <c r="D1154">
        <v>80</v>
      </c>
      <c r="E1154" t="str">
        <f>"143"</f>
        <v>143</v>
      </c>
      <c r="F1154" t="str">
        <f>"2"</f>
        <v>2</v>
      </c>
    </row>
    <row r="1155" spans="1:6">
      <c r="A1155" t="str">
        <f>"E1862-11"</f>
        <v>E1862-11</v>
      </c>
      <c r="B1155" t="str">
        <f>"VICO DEL POZZO  9R-"</f>
        <v>VICO DEL POZZO  9R-</v>
      </c>
      <c r="C1155" t="str">
        <f t="shared" si="131"/>
        <v>GEA</v>
      </c>
      <c r="D1155">
        <v>80</v>
      </c>
      <c r="E1155" t="str">
        <f>"143"</f>
        <v>143</v>
      </c>
      <c r="F1155" t="str">
        <f>"3"</f>
        <v>3</v>
      </c>
    </row>
    <row r="1156" spans="1:6">
      <c r="A1156" t="str">
        <f>"E1862-12"</f>
        <v>E1862-12</v>
      </c>
      <c r="B1156" t="str">
        <f>"VICO DEL POZZO  0-"</f>
        <v>VICO DEL POZZO  0-</v>
      </c>
      <c r="C1156" t="str">
        <f t="shared" si="131"/>
        <v>GEA</v>
      </c>
      <c r="D1156">
        <v>80</v>
      </c>
      <c r="E1156" t="str">
        <f>"143"</f>
        <v>143</v>
      </c>
      <c r="F1156" t="str">
        <f>"4"</f>
        <v>4</v>
      </c>
    </row>
    <row r="1157" spans="1:6">
      <c r="A1157" t="str">
        <f>"E1862-13"</f>
        <v>E1862-13</v>
      </c>
      <c r="B1157" t="str">
        <f>"VICO DEL POZZO  1-"</f>
        <v>VICO DEL POZZO  1-</v>
      </c>
      <c r="C1157" t="str">
        <f t="shared" si="131"/>
        <v>GEA</v>
      </c>
      <c r="D1157">
        <v>80</v>
      </c>
      <c r="E1157" t="str">
        <f>"145"</f>
        <v>145</v>
      </c>
      <c r="F1157" t="str">
        <f>"1"</f>
        <v>1</v>
      </c>
    </row>
    <row r="1158" spans="1:6">
      <c r="A1158" t="str">
        <f>"E1862-14"</f>
        <v>E1862-14</v>
      </c>
      <c r="B1158" t="str">
        <f>"VICO DEL POZZO  1-"</f>
        <v>VICO DEL POZZO  1-</v>
      </c>
      <c r="C1158" t="str">
        <f t="shared" si="131"/>
        <v>GEA</v>
      </c>
      <c r="D1158">
        <v>80</v>
      </c>
      <c r="E1158" t="str">
        <f>"145"</f>
        <v>145</v>
      </c>
      <c r="F1158" t="str">
        <f>"3"</f>
        <v>3</v>
      </c>
    </row>
    <row r="1159" spans="1:6">
      <c r="A1159" t="str">
        <f>"E1862-15"</f>
        <v>E1862-15</v>
      </c>
      <c r="B1159" t="str">
        <f>"VICO DEL POZZO  3-"</f>
        <v>VICO DEL POZZO  3-</v>
      </c>
      <c r="C1159" t="str">
        <f t="shared" si="131"/>
        <v>GEA</v>
      </c>
      <c r="D1159">
        <v>80</v>
      </c>
      <c r="E1159" t="str">
        <f>"147"</f>
        <v>147</v>
      </c>
      <c r="F1159" t="str">
        <f>"3"</f>
        <v>3</v>
      </c>
    </row>
    <row r="1160" spans="1:6">
      <c r="A1160" t="str">
        <f>"E1862-16"</f>
        <v>E1862-16</v>
      </c>
      <c r="B1160" t="str">
        <f>"VICO DEL POZZO  3-"</f>
        <v>VICO DEL POZZO  3-</v>
      </c>
      <c r="C1160" t="str">
        <f t="shared" si="131"/>
        <v>GEA</v>
      </c>
      <c r="D1160">
        <v>80</v>
      </c>
      <c r="E1160" t="str">
        <f>"147"</f>
        <v>147</v>
      </c>
      <c r="F1160" t="str">
        <f>"4"</f>
        <v>4</v>
      </c>
    </row>
    <row r="1161" spans="1:6">
      <c r="A1161" t="str">
        <f>"E1862-17"</f>
        <v>E1862-17</v>
      </c>
      <c r="B1161" t="str">
        <f>"VICO DEL POZZO  3-"</f>
        <v>VICO DEL POZZO  3-</v>
      </c>
      <c r="C1161" t="str">
        <f t="shared" si="131"/>
        <v>GEA</v>
      </c>
      <c r="D1161">
        <v>80</v>
      </c>
      <c r="E1161" t="str">
        <f>"147"</f>
        <v>147</v>
      </c>
      <c r="F1161" t="str">
        <f>"5"</f>
        <v>5</v>
      </c>
    </row>
    <row r="1162" spans="1:6">
      <c r="A1162" t="str">
        <f>"E1862-18"</f>
        <v>E1862-18</v>
      </c>
      <c r="B1162" t="str">
        <f>"VICO DEL POZZO  3-"</f>
        <v>VICO DEL POZZO  3-</v>
      </c>
      <c r="C1162" t="str">
        <f t="shared" si="131"/>
        <v>GEA</v>
      </c>
      <c r="D1162">
        <v>80</v>
      </c>
      <c r="E1162" t="str">
        <f>"147"</f>
        <v>147</v>
      </c>
      <c r="F1162" t="str">
        <f>"6"</f>
        <v>6</v>
      </c>
    </row>
    <row r="1163" spans="1:6">
      <c r="A1163" t="str">
        <f>"E1862-20"</f>
        <v>E1862-20</v>
      </c>
      <c r="B1163" t="str">
        <f>"VIA DI PRE A CATASTO 7-"</f>
        <v>VIA DI PRE A CATASTO 7-</v>
      </c>
      <c r="C1163" t="str">
        <f t="shared" si="131"/>
        <v>GEA</v>
      </c>
      <c r="D1163">
        <v>80</v>
      </c>
      <c r="E1163" t="str">
        <f>"150"</f>
        <v>150</v>
      </c>
      <c r="F1163" t="str">
        <f>"19"</f>
        <v>19</v>
      </c>
    </row>
    <row r="1164" spans="1:6">
      <c r="A1164" t="str">
        <f>"E1863-3"</f>
        <v>E1863-3</v>
      </c>
      <c r="B1164" t="str">
        <f>"VICO INFERIORE DEL ROSO  4R-"</f>
        <v>VICO INFERIORE DEL ROSO  4R-</v>
      </c>
      <c r="C1164" t="str">
        <f t="shared" si="131"/>
        <v>GEA</v>
      </c>
      <c r="D1164">
        <v>80</v>
      </c>
      <c r="E1164" t="str">
        <f>"134"</f>
        <v>134</v>
      </c>
      <c r="F1164" t="str">
        <f>"1"</f>
        <v>1</v>
      </c>
    </row>
    <row r="1165" spans="1:6">
      <c r="A1165" t="str">
        <f>"E1864-1"</f>
        <v>E1864-1</v>
      </c>
      <c r="B1165" t="str">
        <f>"VIA CARLO MONTANARI  16-"</f>
        <v>VIA CARLO MONTANARI  16-</v>
      </c>
      <c r="C1165" t="str">
        <f t="shared" ref="C1165:C1170" si="132">"GEC"</f>
        <v>GEC</v>
      </c>
      <c r="D1165">
        <v>3</v>
      </c>
      <c r="E1165" t="str">
        <f t="shared" ref="E1165:E1170" si="133">"534"</f>
        <v>534</v>
      </c>
      <c r="F1165" t="str">
        <f>"1"</f>
        <v>1</v>
      </c>
    </row>
    <row r="1166" spans="1:6">
      <c r="A1166" t="str">
        <f>"E1864-2"</f>
        <v>E1864-2</v>
      </c>
      <c r="B1166" t="str">
        <f>"PASSO COSTANZI  4-"</f>
        <v>PASSO COSTANZI  4-</v>
      </c>
      <c r="C1166" t="str">
        <f t="shared" si="132"/>
        <v>GEC</v>
      </c>
      <c r="D1166">
        <v>3</v>
      </c>
      <c r="E1166" t="str">
        <f t="shared" si="133"/>
        <v>534</v>
      </c>
      <c r="F1166" t="str">
        <f>"2"</f>
        <v>2</v>
      </c>
    </row>
    <row r="1167" spans="1:6">
      <c r="A1167" t="str">
        <f>"E1864-3"</f>
        <v>E1864-3</v>
      </c>
      <c r="B1167" t="str">
        <f>"PASSO COSTANZI  10-"</f>
        <v>PASSO COSTANZI  10-</v>
      </c>
      <c r="C1167" t="str">
        <f t="shared" si="132"/>
        <v>GEC</v>
      </c>
      <c r="D1167">
        <v>3</v>
      </c>
      <c r="E1167" t="str">
        <f t="shared" si="133"/>
        <v>534</v>
      </c>
      <c r="F1167" t="str">
        <f>"3"</f>
        <v>3</v>
      </c>
    </row>
    <row r="1168" spans="1:6">
      <c r="A1168" t="str">
        <f>"E1864-4"</f>
        <v>E1864-4</v>
      </c>
      <c r="B1168" t="str">
        <f>"PASSO COSTANZI  12-"</f>
        <v>PASSO COSTANZI  12-</v>
      </c>
      <c r="C1168" t="str">
        <f t="shared" si="132"/>
        <v>GEC</v>
      </c>
      <c r="D1168">
        <v>3</v>
      </c>
      <c r="E1168" t="str">
        <f t="shared" si="133"/>
        <v>534</v>
      </c>
      <c r="F1168" t="str">
        <f>"4"</f>
        <v>4</v>
      </c>
    </row>
    <row r="1169" spans="1:6">
      <c r="A1169" t="str">
        <f>"E1864-5"</f>
        <v>E1864-5</v>
      </c>
      <c r="B1169" t="str">
        <f>"PASSO COSTANZI VICINO AL 12-"</f>
        <v>PASSO COSTANZI VICINO AL 12-</v>
      </c>
      <c r="C1169" t="str">
        <f t="shared" si="132"/>
        <v>GEC</v>
      </c>
      <c r="D1169">
        <v>3</v>
      </c>
      <c r="E1169" t="str">
        <f t="shared" si="133"/>
        <v>534</v>
      </c>
      <c r="F1169" t="str">
        <f>"5"</f>
        <v>5</v>
      </c>
    </row>
    <row r="1170" spans="1:6">
      <c r="A1170" t="str">
        <f>"E1864-6"</f>
        <v>E1864-6</v>
      </c>
      <c r="B1170" t="str">
        <f>"VIA CARLO MONTANARI  16-"</f>
        <v>VIA CARLO MONTANARI  16-</v>
      </c>
      <c r="C1170" t="str">
        <f t="shared" si="132"/>
        <v>GEC</v>
      </c>
      <c r="D1170">
        <v>3</v>
      </c>
      <c r="E1170" t="str">
        <f t="shared" si="133"/>
        <v>534</v>
      </c>
      <c r="F1170" t="str">
        <f>"6"</f>
        <v>6</v>
      </c>
    </row>
    <row r="1171" spans="1:6">
      <c r="A1171" t="str">
        <f>"E1870-1"</f>
        <v>E1870-1</v>
      </c>
      <c r="B1171" t="str">
        <f>"GIARDINI EMANUELE LUZZATI  5-"</f>
        <v>GIARDINI EMANUELE LUZZATI  5-</v>
      </c>
      <c r="C1171" t="str">
        <f t="shared" ref="C1171:C1202" si="134">"1"</f>
        <v>1</v>
      </c>
      <c r="D1171">
        <v>67</v>
      </c>
      <c r="E1171" t="str">
        <f>"1499"</f>
        <v>1499</v>
      </c>
      <c r="F1171" t="str">
        <f t="shared" ref="F1171:F1202" si="135">"0000"</f>
        <v>0000</v>
      </c>
    </row>
    <row r="1172" spans="1:6">
      <c r="C1172" t="str">
        <f t="shared" si="134"/>
        <v>1</v>
      </c>
      <c r="D1172">
        <v>67</v>
      </c>
      <c r="E1172" t="str">
        <f>"1554"</f>
        <v>1554</v>
      </c>
      <c r="F1172" t="str">
        <f t="shared" si="135"/>
        <v>0000</v>
      </c>
    </row>
    <row r="1173" spans="1:6">
      <c r="C1173" t="str">
        <f t="shared" si="134"/>
        <v>1</v>
      </c>
      <c r="D1173">
        <v>67</v>
      </c>
      <c r="E1173" t="str">
        <f>"1515"</f>
        <v>1515</v>
      </c>
      <c r="F1173" t="str">
        <f t="shared" si="135"/>
        <v>0000</v>
      </c>
    </row>
    <row r="1174" spans="1:6">
      <c r="C1174" t="str">
        <f t="shared" si="134"/>
        <v>1</v>
      </c>
      <c r="D1174">
        <v>67</v>
      </c>
      <c r="E1174" t="str">
        <f>"1502"</f>
        <v>1502</v>
      </c>
      <c r="F1174" t="str">
        <f t="shared" si="135"/>
        <v>0000</v>
      </c>
    </row>
    <row r="1175" spans="1:6">
      <c r="C1175" t="str">
        <f t="shared" si="134"/>
        <v>1</v>
      </c>
      <c r="D1175">
        <v>67</v>
      </c>
      <c r="E1175" t="str">
        <f>"1556"</f>
        <v>1556</v>
      </c>
      <c r="F1175" t="str">
        <f t="shared" si="135"/>
        <v>0000</v>
      </c>
    </row>
    <row r="1176" spans="1:6">
      <c r="C1176" t="str">
        <f t="shared" si="134"/>
        <v>1</v>
      </c>
      <c r="D1176">
        <v>67</v>
      </c>
      <c r="E1176" t="str">
        <f>"1563"</f>
        <v>1563</v>
      </c>
      <c r="F1176" t="str">
        <f t="shared" si="135"/>
        <v>0000</v>
      </c>
    </row>
    <row r="1177" spans="1:6">
      <c r="C1177" t="str">
        <f t="shared" si="134"/>
        <v>1</v>
      </c>
      <c r="D1177">
        <v>67</v>
      </c>
      <c r="E1177" t="str">
        <f>"933"</f>
        <v>933</v>
      </c>
      <c r="F1177" t="str">
        <f t="shared" si="135"/>
        <v>0000</v>
      </c>
    </row>
    <row r="1178" spans="1:6">
      <c r="C1178" t="str">
        <f t="shared" si="134"/>
        <v>1</v>
      </c>
      <c r="D1178">
        <v>67</v>
      </c>
      <c r="E1178" t="str">
        <f>"946"</f>
        <v>946</v>
      </c>
      <c r="F1178" t="str">
        <f t="shared" si="135"/>
        <v>0000</v>
      </c>
    </row>
    <row r="1179" spans="1:6">
      <c r="C1179" t="str">
        <f t="shared" si="134"/>
        <v>1</v>
      </c>
      <c r="D1179">
        <v>67</v>
      </c>
      <c r="E1179" t="str">
        <f>"945"</f>
        <v>945</v>
      </c>
      <c r="F1179" t="str">
        <f t="shared" si="135"/>
        <v>0000</v>
      </c>
    </row>
    <row r="1180" spans="1:6">
      <c r="C1180" t="str">
        <f t="shared" si="134"/>
        <v>1</v>
      </c>
      <c r="D1180">
        <v>67</v>
      </c>
      <c r="E1180" t="str">
        <f>"944"</f>
        <v>944</v>
      </c>
      <c r="F1180" t="str">
        <f t="shared" si="135"/>
        <v>0000</v>
      </c>
    </row>
    <row r="1181" spans="1:6">
      <c r="C1181" t="str">
        <f t="shared" si="134"/>
        <v>1</v>
      </c>
      <c r="D1181">
        <v>67</v>
      </c>
      <c r="E1181" t="str">
        <f>"943"</f>
        <v>943</v>
      </c>
      <c r="F1181" t="str">
        <f t="shared" si="135"/>
        <v>0000</v>
      </c>
    </row>
    <row r="1182" spans="1:6">
      <c r="C1182" t="str">
        <f t="shared" si="134"/>
        <v>1</v>
      </c>
      <c r="D1182">
        <v>67</v>
      </c>
      <c r="E1182" t="str">
        <f>"942"</f>
        <v>942</v>
      </c>
      <c r="F1182" t="str">
        <f t="shared" si="135"/>
        <v>0000</v>
      </c>
    </row>
    <row r="1183" spans="1:6">
      <c r="C1183" t="str">
        <f t="shared" si="134"/>
        <v>1</v>
      </c>
      <c r="D1183">
        <v>67</v>
      </c>
      <c r="E1183" t="str">
        <f>"941"</f>
        <v>941</v>
      </c>
      <c r="F1183" t="str">
        <f t="shared" si="135"/>
        <v>0000</v>
      </c>
    </row>
    <row r="1184" spans="1:6">
      <c r="C1184" t="str">
        <f t="shared" si="134"/>
        <v>1</v>
      </c>
      <c r="D1184">
        <v>67</v>
      </c>
      <c r="E1184" t="str">
        <f>"940"</f>
        <v>940</v>
      </c>
      <c r="F1184" t="str">
        <f t="shared" si="135"/>
        <v>0000</v>
      </c>
    </row>
    <row r="1185" spans="1:6">
      <c r="C1185" t="str">
        <f t="shared" si="134"/>
        <v>1</v>
      </c>
      <c r="D1185">
        <v>67</v>
      </c>
      <c r="E1185" t="str">
        <f>"939"</f>
        <v>939</v>
      </c>
      <c r="F1185" t="str">
        <f t="shared" si="135"/>
        <v>0000</v>
      </c>
    </row>
    <row r="1186" spans="1:6">
      <c r="C1186" t="str">
        <f t="shared" si="134"/>
        <v>1</v>
      </c>
      <c r="D1186">
        <v>67</v>
      </c>
      <c r="E1186" t="str">
        <f>"934"</f>
        <v>934</v>
      </c>
      <c r="F1186" t="str">
        <f t="shared" si="135"/>
        <v>0000</v>
      </c>
    </row>
    <row r="1187" spans="1:6">
      <c r="C1187" t="str">
        <f t="shared" si="134"/>
        <v>1</v>
      </c>
      <c r="D1187">
        <v>67</v>
      </c>
      <c r="E1187" t="str">
        <f>"STRAD"</f>
        <v>STRAD</v>
      </c>
      <c r="F1187" t="str">
        <f t="shared" si="135"/>
        <v>0000</v>
      </c>
    </row>
    <row r="1188" spans="1:6">
      <c r="C1188" t="str">
        <f t="shared" si="134"/>
        <v>1</v>
      </c>
      <c r="D1188">
        <v>67</v>
      </c>
      <c r="E1188" t="str">
        <f>"1568"</f>
        <v>1568</v>
      </c>
      <c r="F1188" t="str">
        <f t="shared" si="135"/>
        <v>0000</v>
      </c>
    </row>
    <row r="1189" spans="1:6">
      <c r="C1189" t="str">
        <f t="shared" si="134"/>
        <v>1</v>
      </c>
      <c r="D1189">
        <v>67</v>
      </c>
      <c r="E1189" t="str">
        <f>"1560"</f>
        <v>1560</v>
      </c>
      <c r="F1189" t="str">
        <f t="shared" si="135"/>
        <v>0000</v>
      </c>
    </row>
    <row r="1190" spans="1:6">
      <c r="A1190" t="str">
        <f>"E1870-2"</f>
        <v>E1870-2</v>
      </c>
      <c r="B1190" t="str">
        <f>"VICO DI SAN DONATO  13-"</f>
        <v>VICO DI SAN DONATO  13-</v>
      </c>
      <c r="C1190" t="str">
        <f t="shared" si="134"/>
        <v>1</v>
      </c>
      <c r="D1190">
        <v>67</v>
      </c>
      <c r="E1190" t="str">
        <f>"1499"</f>
        <v>1499</v>
      </c>
      <c r="F1190" t="str">
        <f t="shared" si="135"/>
        <v>0000</v>
      </c>
    </row>
    <row r="1191" spans="1:6">
      <c r="C1191" t="str">
        <f t="shared" si="134"/>
        <v>1</v>
      </c>
      <c r="D1191">
        <v>67</v>
      </c>
      <c r="E1191" t="str">
        <f>"1502"</f>
        <v>1502</v>
      </c>
      <c r="F1191" t="str">
        <f t="shared" si="135"/>
        <v>0000</v>
      </c>
    </row>
    <row r="1192" spans="1:6">
      <c r="C1192" t="str">
        <f t="shared" si="134"/>
        <v>1</v>
      </c>
      <c r="D1192">
        <v>67</v>
      </c>
      <c r="E1192" t="str">
        <f>"1515"</f>
        <v>1515</v>
      </c>
      <c r="F1192" t="str">
        <f t="shared" si="135"/>
        <v>0000</v>
      </c>
    </row>
    <row r="1193" spans="1:6">
      <c r="C1193" t="str">
        <f t="shared" si="134"/>
        <v>1</v>
      </c>
      <c r="D1193">
        <v>67</v>
      </c>
      <c r="E1193" t="str">
        <f>"1556"</f>
        <v>1556</v>
      </c>
      <c r="F1193" t="str">
        <f t="shared" si="135"/>
        <v>0000</v>
      </c>
    </row>
    <row r="1194" spans="1:6">
      <c r="C1194" t="str">
        <f t="shared" si="134"/>
        <v>1</v>
      </c>
      <c r="D1194">
        <v>67</v>
      </c>
      <c r="E1194" t="str">
        <f>"1563"</f>
        <v>1563</v>
      </c>
      <c r="F1194" t="str">
        <f t="shared" si="135"/>
        <v>0000</v>
      </c>
    </row>
    <row r="1195" spans="1:6">
      <c r="C1195" t="str">
        <f t="shared" si="134"/>
        <v>1</v>
      </c>
      <c r="D1195">
        <v>67</v>
      </c>
      <c r="E1195" t="str">
        <f>"STRAD"</f>
        <v>STRAD</v>
      </c>
      <c r="F1195" t="str">
        <f t="shared" si="135"/>
        <v>0000</v>
      </c>
    </row>
    <row r="1196" spans="1:6">
      <c r="C1196" t="str">
        <f t="shared" si="134"/>
        <v>1</v>
      </c>
      <c r="D1196">
        <v>67</v>
      </c>
      <c r="E1196" t="str">
        <f>"946"</f>
        <v>946</v>
      </c>
      <c r="F1196" t="str">
        <f t="shared" si="135"/>
        <v>0000</v>
      </c>
    </row>
    <row r="1197" spans="1:6">
      <c r="C1197" t="str">
        <f t="shared" si="134"/>
        <v>1</v>
      </c>
      <c r="D1197">
        <v>67</v>
      </c>
      <c r="E1197" t="str">
        <f>"945"</f>
        <v>945</v>
      </c>
      <c r="F1197" t="str">
        <f t="shared" si="135"/>
        <v>0000</v>
      </c>
    </row>
    <row r="1198" spans="1:6">
      <c r="C1198" t="str">
        <f t="shared" si="134"/>
        <v>1</v>
      </c>
      <c r="D1198">
        <v>67</v>
      </c>
      <c r="E1198" t="str">
        <f>"944"</f>
        <v>944</v>
      </c>
      <c r="F1198" t="str">
        <f t="shared" si="135"/>
        <v>0000</v>
      </c>
    </row>
    <row r="1199" spans="1:6">
      <c r="C1199" t="str">
        <f t="shared" si="134"/>
        <v>1</v>
      </c>
      <c r="D1199">
        <v>67</v>
      </c>
      <c r="E1199" t="str">
        <f>"943"</f>
        <v>943</v>
      </c>
      <c r="F1199" t="str">
        <f t="shared" si="135"/>
        <v>0000</v>
      </c>
    </row>
    <row r="1200" spans="1:6">
      <c r="C1200" t="str">
        <f t="shared" si="134"/>
        <v>1</v>
      </c>
      <c r="D1200">
        <v>67</v>
      </c>
      <c r="E1200" t="str">
        <f>"942"</f>
        <v>942</v>
      </c>
      <c r="F1200" t="str">
        <f t="shared" si="135"/>
        <v>0000</v>
      </c>
    </row>
    <row r="1201" spans="1:6">
      <c r="C1201" t="str">
        <f t="shared" si="134"/>
        <v>1</v>
      </c>
      <c r="D1201">
        <v>67</v>
      </c>
      <c r="E1201" t="str">
        <f>"941"</f>
        <v>941</v>
      </c>
      <c r="F1201" t="str">
        <f t="shared" si="135"/>
        <v>0000</v>
      </c>
    </row>
    <row r="1202" spans="1:6">
      <c r="C1202" t="str">
        <f t="shared" si="134"/>
        <v>1</v>
      </c>
      <c r="D1202">
        <v>67</v>
      </c>
      <c r="E1202" t="str">
        <f>"940"</f>
        <v>940</v>
      </c>
      <c r="F1202" t="str">
        <f t="shared" si="135"/>
        <v>0000</v>
      </c>
    </row>
    <row r="1203" spans="1:6">
      <c r="C1203" t="str">
        <f t="shared" ref="C1203:C1234" si="136">"1"</f>
        <v>1</v>
      </c>
      <c r="D1203">
        <v>67</v>
      </c>
      <c r="E1203" t="str">
        <f>"939"</f>
        <v>939</v>
      </c>
      <c r="F1203" t="str">
        <f t="shared" ref="F1203:F1234" si="137">"0000"</f>
        <v>0000</v>
      </c>
    </row>
    <row r="1204" spans="1:6">
      <c r="C1204" t="str">
        <f t="shared" si="136"/>
        <v>1</v>
      </c>
      <c r="D1204">
        <v>67</v>
      </c>
      <c r="E1204" t="str">
        <f>"934"</f>
        <v>934</v>
      </c>
      <c r="F1204" t="str">
        <f t="shared" si="137"/>
        <v>0000</v>
      </c>
    </row>
    <row r="1205" spans="1:6">
      <c r="C1205" t="str">
        <f t="shared" si="136"/>
        <v>1</v>
      </c>
      <c r="D1205">
        <v>67</v>
      </c>
      <c r="E1205" t="str">
        <f>"933"</f>
        <v>933</v>
      </c>
      <c r="F1205" t="str">
        <f t="shared" si="137"/>
        <v>0000</v>
      </c>
    </row>
    <row r="1206" spans="1:6">
      <c r="C1206" t="str">
        <f t="shared" si="136"/>
        <v>1</v>
      </c>
      <c r="D1206">
        <v>67</v>
      </c>
      <c r="E1206" t="str">
        <f>"1568"</f>
        <v>1568</v>
      </c>
      <c r="F1206" t="str">
        <f t="shared" si="137"/>
        <v>0000</v>
      </c>
    </row>
    <row r="1207" spans="1:6">
      <c r="C1207" t="str">
        <f t="shared" si="136"/>
        <v>1</v>
      </c>
      <c r="D1207">
        <v>67</v>
      </c>
      <c r="E1207" t="str">
        <f>"1560"</f>
        <v>1560</v>
      </c>
      <c r="F1207" t="str">
        <f t="shared" si="137"/>
        <v>0000</v>
      </c>
    </row>
    <row r="1208" spans="1:6">
      <c r="C1208" t="str">
        <f t="shared" si="136"/>
        <v>1</v>
      </c>
      <c r="D1208">
        <v>67</v>
      </c>
      <c r="E1208" t="str">
        <f>"1554"</f>
        <v>1554</v>
      </c>
      <c r="F1208" t="str">
        <f t="shared" si="137"/>
        <v>0000</v>
      </c>
    </row>
    <row r="1209" spans="1:6">
      <c r="A1209" t="str">
        <f>"E1870-3"</f>
        <v>E1870-3</v>
      </c>
      <c r="B1209" t="str">
        <f>"PIAZZA RENATO NEGRI  16R-"</f>
        <v>PIAZZA RENATO NEGRI  16R-</v>
      </c>
      <c r="C1209" t="str">
        <f t="shared" si="136"/>
        <v>1</v>
      </c>
      <c r="D1209">
        <v>67</v>
      </c>
      <c r="E1209" t="str">
        <f>"1499"</f>
        <v>1499</v>
      </c>
      <c r="F1209" t="str">
        <f t="shared" si="137"/>
        <v>0000</v>
      </c>
    </row>
    <row r="1210" spans="1:6">
      <c r="C1210" t="str">
        <f t="shared" si="136"/>
        <v>1</v>
      </c>
      <c r="D1210">
        <v>67</v>
      </c>
      <c r="E1210" t="str">
        <f>"1502"</f>
        <v>1502</v>
      </c>
      <c r="F1210" t="str">
        <f t="shared" si="137"/>
        <v>0000</v>
      </c>
    </row>
    <row r="1211" spans="1:6">
      <c r="C1211" t="str">
        <f t="shared" si="136"/>
        <v>1</v>
      </c>
      <c r="D1211">
        <v>67</v>
      </c>
      <c r="E1211" t="str">
        <f>"1515"</f>
        <v>1515</v>
      </c>
      <c r="F1211" t="str">
        <f t="shared" si="137"/>
        <v>0000</v>
      </c>
    </row>
    <row r="1212" spans="1:6">
      <c r="C1212" t="str">
        <f t="shared" si="136"/>
        <v>1</v>
      </c>
      <c r="D1212">
        <v>67</v>
      </c>
      <c r="E1212" t="str">
        <f>"1554"</f>
        <v>1554</v>
      </c>
      <c r="F1212" t="str">
        <f t="shared" si="137"/>
        <v>0000</v>
      </c>
    </row>
    <row r="1213" spans="1:6">
      <c r="C1213" t="str">
        <f t="shared" si="136"/>
        <v>1</v>
      </c>
      <c r="D1213">
        <v>67</v>
      </c>
      <c r="E1213" t="str">
        <f>"1560"</f>
        <v>1560</v>
      </c>
      <c r="F1213" t="str">
        <f t="shared" si="137"/>
        <v>0000</v>
      </c>
    </row>
    <row r="1214" spans="1:6">
      <c r="C1214" t="str">
        <f t="shared" si="136"/>
        <v>1</v>
      </c>
      <c r="D1214">
        <v>67</v>
      </c>
      <c r="E1214" t="str">
        <f>"1568"</f>
        <v>1568</v>
      </c>
      <c r="F1214" t="str">
        <f t="shared" si="137"/>
        <v>0000</v>
      </c>
    </row>
    <row r="1215" spans="1:6">
      <c r="C1215" t="str">
        <f t="shared" si="136"/>
        <v>1</v>
      </c>
      <c r="D1215">
        <v>67</v>
      </c>
      <c r="E1215" t="str">
        <f>"STRAD"</f>
        <v>STRAD</v>
      </c>
      <c r="F1215" t="str">
        <f t="shared" si="137"/>
        <v>0000</v>
      </c>
    </row>
    <row r="1216" spans="1:6">
      <c r="C1216" t="str">
        <f t="shared" si="136"/>
        <v>1</v>
      </c>
      <c r="D1216">
        <v>67</v>
      </c>
      <c r="E1216" t="str">
        <f>"946"</f>
        <v>946</v>
      </c>
      <c r="F1216" t="str">
        <f t="shared" si="137"/>
        <v>0000</v>
      </c>
    </row>
    <row r="1217" spans="1:6">
      <c r="C1217" t="str">
        <f t="shared" si="136"/>
        <v>1</v>
      </c>
      <c r="D1217">
        <v>67</v>
      </c>
      <c r="E1217" t="str">
        <f>"945"</f>
        <v>945</v>
      </c>
      <c r="F1217" t="str">
        <f t="shared" si="137"/>
        <v>0000</v>
      </c>
    </row>
    <row r="1218" spans="1:6">
      <c r="C1218" t="str">
        <f t="shared" si="136"/>
        <v>1</v>
      </c>
      <c r="D1218">
        <v>67</v>
      </c>
      <c r="E1218" t="str">
        <f>"944"</f>
        <v>944</v>
      </c>
      <c r="F1218" t="str">
        <f t="shared" si="137"/>
        <v>0000</v>
      </c>
    </row>
    <row r="1219" spans="1:6">
      <c r="C1219" t="str">
        <f t="shared" si="136"/>
        <v>1</v>
      </c>
      <c r="D1219">
        <v>67</v>
      </c>
      <c r="E1219" t="str">
        <f>"943"</f>
        <v>943</v>
      </c>
      <c r="F1219" t="str">
        <f t="shared" si="137"/>
        <v>0000</v>
      </c>
    </row>
    <row r="1220" spans="1:6">
      <c r="C1220" t="str">
        <f t="shared" si="136"/>
        <v>1</v>
      </c>
      <c r="D1220">
        <v>67</v>
      </c>
      <c r="E1220" t="str">
        <f>"942"</f>
        <v>942</v>
      </c>
      <c r="F1220" t="str">
        <f t="shared" si="137"/>
        <v>0000</v>
      </c>
    </row>
    <row r="1221" spans="1:6">
      <c r="C1221" t="str">
        <f t="shared" si="136"/>
        <v>1</v>
      </c>
      <c r="D1221">
        <v>67</v>
      </c>
      <c r="E1221" t="str">
        <f>"941"</f>
        <v>941</v>
      </c>
      <c r="F1221" t="str">
        <f t="shared" si="137"/>
        <v>0000</v>
      </c>
    </row>
    <row r="1222" spans="1:6">
      <c r="C1222" t="str">
        <f t="shared" si="136"/>
        <v>1</v>
      </c>
      <c r="D1222">
        <v>67</v>
      </c>
      <c r="E1222" t="str">
        <f>"940"</f>
        <v>940</v>
      </c>
      <c r="F1222" t="str">
        <f t="shared" si="137"/>
        <v>0000</v>
      </c>
    </row>
    <row r="1223" spans="1:6">
      <c r="C1223" t="str">
        <f t="shared" si="136"/>
        <v>1</v>
      </c>
      <c r="D1223">
        <v>67</v>
      </c>
      <c r="E1223" t="str">
        <f>"939"</f>
        <v>939</v>
      </c>
      <c r="F1223" t="str">
        <f t="shared" si="137"/>
        <v>0000</v>
      </c>
    </row>
    <row r="1224" spans="1:6">
      <c r="C1224" t="str">
        <f t="shared" si="136"/>
        <v>1</v>
      </c>
      <c r="D1224">
        <v>67</v>
      </c>
      <c r="E1224" t="str">
        <f>"934"</f>
        <v>934</v>
      </c>
      <c r="F1224" t="str">
        <f t="shared" si="137"/>
        <v>0000</v>
      </c>
    </row>
    <row r="1225" spans="1:6">
      <c r="C1225" t="str">
        <f t="shared" si="136"/>
        <v>1</v>
      </c>
      <c r="D1225">
        <v>67</v>
      </c>
      <c r="E1225" t="str">
        <f>"933"</f>
        <v>933</v>
      </c>
      <c r="F1225" t="str">
        <f t="shared" si="137"/>
        <v>0000</v>
      </c>
    </row>
    <row r="1226" spans="1:6">
      <c r="C1226" t="str">
        <f t="shared" si="136"/>
        <v>1</v>
      </c>
      <c r="D1226">
        <v>67</v>
      </c>
      <c r="E1226" t="str">
        <f>"1563"</f>
        <v>1563</v>
      </c>
      <c r="F1226" t="str">
        <f t="shared" si="137"/>
        <v>0000</v>
      </c>
    </row>
    <row r="1227" spans="1:6">
      <c r="C1227" t="str">
        <f t="shared" si="136"/>
        <v>1</v>
      </c>
      <c r="D1227">
        <v>67</v>
      </c>
      <c r="E1227" t="str">
        <f>"1556"</f>
        <v>1556</v>
      </c>
      <c r="F1227" t="str">
        <f t="shared" si="137"/>
        <v>0000</v>
      </c>
    </row>
    <row r="1228" spans="1:6">
      <c r="A1228" t="str">
        <f>"E1870-4"</f>
        <v>E1870-4</v>
      </c>
      <c r="B1228" t="str">
        <f>"VICO DI SAN DONATO  9-"</f>
        <v>VICO DI SAN DONATO  9-</v>
      </c>
      <c r="C1228" t="str">
        <f t="shared" si="136"/>
        <v>1</v>
      </c>
      <c r="D1228">
        <v>67</v>
      </c>
      <c r="E1228" t="str">
        <f>"1499"</f>
        <v>1499</v>
      </c>
      <c r="F1228" t="str">
        <f t="shared" si="137"/>
        <v>0000</v>
      </c>
    </row>
    <row r="1229" spans="1:6">
      <c r="C1229" t="str">
        <f t="shared" si="136"/>
        <v>1</v>
      </c>
      <c r="D1229">
        <v>67</v>
      </c>
      <c r="E1229" t="str">
        <f>"1502"</f>
        <v>1502</v>
      </c>
      <c r="F1229" t="str">
        <f t="shared" si="137"/>
        <v>0000</v>
      </c>
    </row>
    <row r="1230" spans="1:6">
      <c r="C1230" t="str">
        <f t="shared" si="136"/>
        <v>1</v>
      </c>
      <c r="D1230">
        <v>67</v>
      </c>
      <c r="E1230" t="str">
        <f>"1515"</f>
        <v>1515</v>
      </c>
      <c r="F1230" t="str">
        <f t="shared" si="137"/>
        <v>0000</v>
      </c>
    </row>
    <row r="1231" spans="1:6">
      <c r="C1231" t="str">
        <f t="shared" si="136"/>
        <v>1</v>
      </c>
      <c r="D1231">
        <v>67</v>
      </c>
      <c r="E1231" t="str">
        <f>"1554"</f>
        <v>1554</v>
      </c>
      <c r="F1231" t="str">
        <f t="shared" si="137"/>
        <v>0000</v>
      </c>
    </row>
    <row r="1232" spans="1:6">
      <c r="C1232" t="str">
        <f t="shared" si="136"/>
        <v>1</v>
      </c>
      <c r="D1232">
        <v>67</v>
      </c>
      <c r="E1232" t="str">
        <f>"1560"</f>
        <v>1560</v>
      </c>
      <c r="F1232" t="str">
        <f t="shared" si="137"/>
        <v>0000</v>
      </c>
    </row>
    <row r="1233" spans="1:6">
      <c r="C1233" t="str">
        <f t="shared" si="136"/>
        <v>1</v>
      </c>
      <c r="D1233">
        <v>67</v>
      </c>
      <c r="E1233" t="str">
        <f>"1568"</f>
        <v>1568</v>
      </c>
      <c r="F1233" t="str">
        <f t="shared" si="137"/>
        <v>0000</v>
      </c>
    </row>
    <row r="1234" spans="1:6">
      <c r="C1234" t="str">
        <f t="shared" si="136"/>
        <v>1</v>
      </c>
      <c r="D1234">
        <v>67</v>
      </c>
      <c r="E1234" t="str">
        <f>"STRAD"</f>
        <v>STRAD</v>
      </c>
      <c r="F1234" t="str">
        <f t="shared" si="137"/>
        <v>0000</v>
      </c>
    </row>
    <row r="1235" spans="1:6">
      <c r="C1235" t="str">
        <f t="shared" ref="C1235:C1266" si="138">"1"</f>
        <v>1</v>
      </c>
      <c r="D1235">
        <v>67</v>
      </c>
      <c r="E1235" t="str">
        <f>"946"</f>
        <v>946</v>
      </c>
      <c r="F1235" t="str">
        <f t="shared" ref="F1235:F1266" si="139">"0000"</f>
        <v>0000</v>
      </c>
    </row>
    <row r="1236" spans="1:6">
      <c r="C1236" t="str">
        <f t="shared" si="138"/>
        <v>1</v>
      </c>
      <c r="D1236">
        <v>67</v>
      </c>
      <c r="E1236" t="str">
        <f>"945"</f>
        <v>945</v>
      </c>
      <c r="F1236" t="str">
        <f t="shared" si="139"/>
        <v>0000</v>
      </c>
    </row>
    <row r="1237" spans="1:6">
      <c r="C1237" t="str">
        <f t="shared" si="138"/>
        <v>1</v>
      </c>
      <c r="D1237">
        <v>67</v>
      </c>
      <c r="E1237" t="str">
        <f>"944"</f>
        <v>944</v>
      </c>
      <c r="F1237" t="str">
        <f t="shared" si="139"/>
        <v>0000</v>
      </c>
    </row>
    <row r="1238" spans="1:6">
      <c r="C1238" t="str">
        <f t="shared" si="138"/>
        <v>1</v>
      </c>
      <c r="D1238">
        <v>67</v>
      </c>
      <c r="E1238" t="str">
        <f>"943"</f>
        <v>943</v>
      </c>
      <c r="F1238" t="str">
        <f t="shared" si="139"/>
        <v>0000</v>
      </c>
    </row>
    <row r="1239" spans="1:6">
      <c r="C1239" t="str">
        <f t="shared" si="138"/>
        <v>1</v>
      </c>
      <c r="D1239">
        <v>67</v>
      </c>
      <c r="E1239" t="str">
        <f>"942"</f>
        <v>942</v>
      </c>
      <c r="F1239" t="str">
        <f t="shared" si="139"/>
        <v>0000</v>
      </c>
    </row>
    <row r="1240" spans="1:6">
      <c r="C1240" t="str">
        <f t="shared" si="138"/>
        <v>1</v>
      </c>
      <c r="D1240">
        <v>67</v>
      </c>
      <c r="E1240" t="str">
        <f>"941"</f>
        <v>941</v>
      </c>
      <c r="F1240" t="str">
        <f t="shared" si="139"/>
        <v>0000</v>
      </c>
    </row>
    <row r="1241" spans="1:6">
      <c r="C1241" t="str">
        <f t="shared" si="138"/>
        <v>1</v>
      </c>
      <c r="D1241">
        <v>67</v>
      </c>
      <c r="E1241" t="str">
        <f>"940"</f>
        <v>940</v>
      </c>
      <c r="F1241" t="str">
        <f t="shared" si="139"/>
        <v>0000</v>
      </c>
    </row>
    <row r="1242" spans="1:6">
      <c r="C1242" t="str">
        <f t="shared" si="138"/>
        <v>1</v>
      </c>
      <c r="D1242">
        <v>67</v>
      </c>
      <c r="E1242" t="str">
        <f>"939"</f>
        <v>939</v>
      </c>
      <c r="F1242" t="str">
        <f t="shared" si="139"/>
        <v>0000</v>
      </c>
    </row>
    <row r="1243" spans="1:6">
      <c r="C1243" t="str">
        <f t="shared" si="138"/>
        <v>1</v>
      </c>
      <c r="D1243">
        <v>67</v>
      </c>
      <c r="E1243" t="str">
        <f>"934"</f>
        <v>934</v>
      </c>
      <c r="F1243" t="str">
        <f t="shared" si="139"/>
        <v>0000</v>
      </c>
    </row>
    <row r="1244" spans="1:6">
      <c r="C1244" t="str">
        <f t="shared" si="138"/>
        <v>1</v>
      </c>
      <c r="D1244">
        <v>67</v>
      </c>
      <c r="E1244" t="str">
        <f>"933"</f>
        <v>933</v>
      </c>
      <c r="F1244" t="str">
        <f t="shared" si="139"/>
        <v>0000</v>
      </c>
    </row>
    <row r="1245" spans="1:6">
      <c r="C1245" t="str">
        <f t="shared" si="138"/>
        <v>1</v>
      </c>
      <c r="D1245">
        <v>67</v>
      </c>
      <c r="E1245" t="str">
        <f>"1563"</f>
        <v>1563</v>
      </c>
      <c r="F1245" t="str">
        <f t="shared" si="139"/>
        <v>0000</v>
      </c>
    </row>
    <row r="1246" spans="1:6">
      <c r="C1246" t="str">
        <f t="shared" si="138"/>
        <v>1</v>
      </c>
      <c r="D1246">
        <v>67</v>
      </c>
      <c r="E1246" t="str">
        <f>"1556"</f>
        <v>1556</v>
      </c>
      <c r="F1246" t="str">
        <f t="shared" si="139"/>
        <v>0000</v>
      </c>
    </row>
    <row r="1247" spans="1:6">
      <c r="A1247" t="str">
        <f>"E1870-5"</f>
        <v>E1870-5</v>
      </c>
      <c r="B1247" t="str">
        <f>"VICO DI SAN DONATO  13-"</f>
        <v>VICO DI SAN DONATO  13-</v>
      </c>
      <c r="C1247" t="str">
        <f t="shared" si="138"/>
        <v>1</v>
      </c>
      <c r="D1247">
        <v>67</v>
      </c>
      <c r="E1247" t="str">
        <f>"1499"</f>
        <v>1499</v>
      </c>
      <c r="F1247" t="str">
        <f t="shared" si="139"/>
        <v>0000</v>
      </c>
    </row>
    <row r="1248" spans="1:6">
      <c r="C1248" t="str">
        <f t="shared" si="138"/>
        <v>1</v>
      </c>
      <c r="D1248">
        <v>67</v>
      </c>
      <c r="E1248" t="str">
        <f>"1502"</f>
        <v>1502</v>
      </c>
      <c r="F1248" t="str">
        <f t="shared" si="139"/>
        <v>0000</v>
      </c>
    </row>
    <row r="1249" spans="3:6">
      <c r="C1249" t="str">
        <f t="shared" si="138"/>
        <v>1</v>
      </c>
      <c r="D1249">
        <v>67</v>
      </c>
      <c r="E1249" t="str">
        <f>"1515"</f>
        <v>1515</v>
      </c>
      <c r="F1249" t="str">
        <f t="shared" si="139"/>
        <v>0000</v>
      </c>
    </row>
    <row r="1250" spans="3:6">
      <c r="C1250" t="str">
        <f t="shared" si="138"/>
        <v>1</v>
      </c>
      <c r="D1250">
        <v>67</v>
      </c>
      <c r="E1250" t="str">
        <f>"1554"</f>
        <v>1554</v>
      </c>
      <c r="F1250" t="str">
        <f t="shared" si="139"/>
        <v>0000</v>
      </c>
    </row>
    <row r="1251" spans="3:6">
      <c r="C1251" t="str">
        <f t="shared" si="138"/>
        <v>1</v>
      </c>
      <c r="D1251">
        <v>67</v>
      </c>
      <c r="E1251" t="str">
        <f>"1560"</f>
        <v>1560</v>
      </c>
      <c r="F1251" t="str">
        <f t="shared" si="139"/>
        <v>0000</v>
      </c>
    </row>
    <row r="1252" spans="3:6">
      <c r="C1252" t="str">
        <f t="shared" si="138"/>
        <v>1</v>
      </c>
      <c r="D1252">
        <v>67</v>
      </c>
      <c r="E1252" t="str">
        <f>"1568"</f>
        <v>1568</v>
      </c>
      <c r="F1252" t="str">
        <f t="shared" si="139"/>
        <v>0000</v>
      </c>
    </row>
    <row r="1253" spans="3:6">
      <c r="C1253" t="str">
        <f t="shared" si="138"/>
        <v>1</v>
      </c>
      <c r="D1253">
        <v>67</v>
      </c>
      <c r="E1253" t="str">
        <f>"945"</f>
        <v>945</v>
      </c>
      <c r="F1253" t="str">
        <f t="shared" si="139"/>
        <v>0000</v>
      </c>
    </row>
    <row r="1254" spans="3:6">
      <c r="C1254" t="str">
        <f t="shared" si="138"/>
        <v>1</v>
      </c>
      <c r="D1254">
        <v>67</v>
      </c>
      <c r="E1254" t="str">
        <f>"944"</f>
        <v>944</v>
      </c>
      <c r="F1254" t="str">
        <f t="shared" si="139"/>
        <v>0000</v>
      </c>
    </row>
    <row r="1255" spans="3:6">
      <c r="C1255" t="str">
        <f t="shared" si="138"/>
        <v>1</v>
      </c>
      <c r="D1255">
        <v>67</v>
      </c>
      <c r="E1255" t="str">
        <f>"943"</f>
        <v>943</v>
      </c>
      <c r="F1255" t="str">
        <f t="shared" si="139"/>
        <v>0000</v>
      </c>
    </row>
    <row r="1256" spans="3:6">
      <c r="C1256" t="str">
        <f t="shared" si="138"/>
        <v>1</v>
      </c>
      <c r="D1256">
        <v>67</v>
      </c>
      <c r="E1256" t="str">
        <f>"942"</f>
        <v>942</v>
      </c>
      <c r="F1256" t="str">
        <f t="shared" si="139"/>
        <v>0000</v>
      </c>
    </row>
    <row r="1257" spans="3:6">
      <c r="C1257" t="str">
        <f t="shared" si="138"/>
        <v>1</v>
      </c>
      <c r="D1257">
        <v>67</v>
      </c>
      <c r="E1257" t="str">
        <f>"941"</f>
        <v>941</v>
      </c>
      <c r="F1257" t="str">
        <f t="shared" si="139"/>
        <v>0000</v>
      </c>
    </row>
    <row r="1258" spans="3:6">
      <c r="C1258" t="str">
        <f t="shared" si="138"/>
        <v>1</v>
      </c>
      <c r="D1258">
        <v>67</v>
      </c>
      <c r="E1258" t="str">
        <f>"940"</f>
        <v>940</v>
      </c>
      <c r="F1258" t="str">
        <f t="shared" si="139"/>
        <v>0000</v>
      </c>
    </row>
    <row r="1259" spans="3:6">
      <c r="C1259" t="str">
        <f t="shared" si="138"/>
        <v>1</v>
      </c>
      <c r="D1259">
        <v>67</v>
      </c>
      <c r="E1259" t="str">
        <f>"939"</f>
        <v>939</v>
      </c>
      <c r="F1259" t="str">
        <f t="shared" si="139"/>
        <v>0000</v>
      </c>
    </row>
    <row r="1260" spans="3:6">
      <c r="C1260" t="str">
        <f t="shared" si="138"/>
        <v>1</v>
      </c>
      <c r="D1260">
        <v>67</v>
      </c>
      <c r="E1260" t="str">
        <f>"934"</f>
        <v>934</v>
      </c>
      <c r="F1260" t="str">
        <f t="shared" si="139"/>
        <v>0000</v>
      </c>
    </row>
    <row r="1261" spans="3:6">
      <c r="C1261" t="str">
        <f t="shared" si="138"/>
        <v>1</v>
      </c>
      <c r="D1261">
        <v>67</v>
      </c>
      <c r="E1261" t="str">
        <f>"933"</f>
        <v>933</v>
      </c>
      <c r="F1261" t="str">
        <f t="shared" si="139"/>
        <v>0000</v>
      </c>
    </row>
    <row r="1262" spans="3:6">
      <c r="C1262" t="str">
        <f t="shared" si="138"/>
        <v>1</v>
      </c>
      <c r="D1262">
        <v>67</v>
      </c>
      <c r="E1262" t="str">
        <f>"STRAD"</f>
        <v>STRAD</v>
      </c>
      <c r="F1262" t="str">
        <f t="shared" si="139"/>
        <v>0000</v>
      </c>
    </row>
    <row r="1263" spans="3:6">
      <c r="C1263" t="str">
        <f t="shared" si="138"/>
        <v>1</v>
      </c>
      <c r="D1263">
        <v>67</v>
      </c>
      <c r="E1263" t="str">
        <f>"946"</f>
        <v>946</v>
      </c>
      <c r="F1263" t="str">
        <f t="shared" si="139"/>
        <v>0000</v>
      </c>
    </row>
    <row r="1264" spans="3:6">
      <c r="C1264" t="str">
        <f t="shared" si="138"/>
        <v>1</v>
      </c>
      <c r="D1264">
        <v>67</v>
      </c>
      <c r="E1264" t="str">
        <f>"1563"</f>
        <v>1563</v>
      </c>
      <c r="F1264" t="str">
        <f t="shared" si="139"/>
        <v>0000</v>
      </c>
    </row>
    <row r="1265" spans="1:6">
      <c r="C1265" t="str">
        <f t="shared" si="138"/>
        <v>1</v>
      </c>
      <c r="D1265">
        <v>67</v>
      </c>
      <c r="E1265" t="str">
        <f>"1556"</f>
        <v>1556</v>
      </c>
      <c r="F1265" t="str">
        <f t="shared" si="139"/>
        <v>0000</v>
      </c>
    </row>
    <row r="1266" spans="1:6">
      <c r="A1266" t="str">
        <f>"E1882-1"</f>
        <v>E1882-1</v>
      </c>
      <c r="B1266" t="str">
        <f>"VIA DI SOTTORIPA VICINO AL 1B-"</f>
        <v>VIA DI SOTTORIPA VICINO AL 1B-</v>
      </c>
      <c r="C1266" t="str">
        <f t="shared" si="138"/>
        <v>1</v>
      </c>
      <c r="D1266">
        <v>65</v>
      </c>
      <c r="E1266" t="str">
        <f>"STRAD"</f>
        <v>STRAD</v>
      </c>
      <c r="F1266" t="str">
        <f t="shared" si="139"/>
        <v>0000</v>
      </c>
    </row>
    <row r="1267" spans="1:6">
      <c r="A1267" t="str">
        <f>"E1887-1"</f>
        <v>E1887-1</v>
      </c>
      <c r="B1267" t="str">
        <f>"VICO DI MEZZAGALERA  6R-"</f>
        <v>VICO DI MEZZAGALERA  6R-</v>
      </c>
      <c r="C1267" t="str">
        <f t="shared" ref="C1267:C1298" si="140">"GEA"</f>
        <v>GEA</v>
      </c>
      <c r="D1267">
        <v>97</v>
      </c>
      <c r="E1267" t="str">
        <f t="shared" ref="E1267:E1276" si="141">"2"</f>
        <v>2</v>
      </c>
      <c r="F1267" t="str">
        <f>"16"</f>
        <v>16</v>
      </c>
    </row>
    <row r="1268" spans="1:6">
      <c r="A1268" t="str">
        <f>"E1887-2"</f>
        <v>E1887-2</v>
      </c>
      <c r="B1268" t="str">
        <f>"VICO DI MEZZAGALERA  4R-"</f>
        <v>VICO DI MEZZAGALERA  4R-</v>
      </c>
      <c r="C1268" t="str">
        <f t="shared" si="140"/>
        <v>GEA</v>
      </c>
      <c r="D1268">
        <v>97</v>
      </c>
      <c r="E1268" t="str">
        <f t="shared" si="141"/>
        <v>2</v>
      </c>
      <c r="F1268" t="str">
        <f>"17"</f>
        <v>17</v>
      </c>
    </row>
    <row r="1269" spans="1:6">
      <c r="A1269" t="str">
        <f>"E1887-3"</f>
        <v>E1887-3</v>
      </c>
      <c r="B1269" t="str">
        <f t="shared" ref="B1269:B1276" si="142">"VICO DI MEZZAGALERA  2-"</f>
        <v>VICO DI MEZZAGALERA  2-</v>
      </c>
      <c r="C1269" t="str">
        <f t="shared" si="140"/>
        <v>GEA</v>
      </c>
      <c r="D1269">
        <v>97</v>
      </c>
      <c r="E1269" t="str">
        <f t="shared" si="141"/>
        <v>2</v>
      </c>
      <c r="F1269" t="str">
        <f>"18"</f>
        <v>18</v>
      </c>
    </row>
    <row r="1270" spans="1:6">
      <c r="A1270" t="str">
        <f>"E1887-4"</f>
        <v>E1887-4</v>
      </c>
      <c r="B1270" t="str">
        <f t="shared" si="142"/>
        <v>VICO DI MEZZAGALERA  2-</v>
      </c>
      <c r="C1270" t="str">
        <f t="shared" si="140"/>
        <v>GEA</v>
      </c>
      <c r="D1270">
        <v>97</v>
      </c>
      <c r="E1270" t="str">
        <f t="shared" si="141"/>
        <v>2</v>
      </c>
      <c r="F1270" t="str">
        <f>"19"</f>
        <v>19</v>
      </c>
    </row>
    <row r="1271" spans="1:6">
      <c r="A1271" t="str">
        <f>"E1887-5"</f>
        <v>E1887-5</v>
      </c>
      <c r="B1271" t="str">
        <f t="shared" si="142"/>
        <v>VICO DI MEZZAGALERA  2-</v>
      </c>
      <c r="C1271" t="str">
        <f t="shared" si="140"/>
        <v>GEA</v>
      </c>
      <c r="D1271">
        <v>97</v>
      </c>
      <c r="E1271" t="str">
        <f t="shared" si="141"/>
        <v>2</v>
      </c>
      <c r="F1271" t="str">
        <f>"20"</f>
        <v>20</v>
      </c>
    </row>
    <row r="1272" spans="1:6">
      <c r="A1272" t="str">
        <f>"E1887-6"</f>
        <v>E1887-6</v>
      </c>
      <c r="B1272" t="str">
        <f t="shared" si="142"/>
        <v>VICO DI MEZZAGALERA  2-</v>
      </c>
      <c r="C1272" t="str">
        <f t="shared" si="140"/>
        <v>GEA</v>
      </c>
      <c r="D1272">
        <v>97</v>
      </c>
      <c r="E1272" t="str">
        <f t="shared" si="141"/>
        <v>2</v>
      </c>
      <c r="F1272" t="str">
        <f>"21"</f>
        <v>21</v>
      </c>
    </row>
    <row r="1273" spans="1:6">
      <c r="A1273" t="str">
        <f>"E1887-7"</f>
        <v>E1887-7</v>
      </c>
      <c r="B1273" t="str">
        <f t="shared" si="142"/>
        <v>VICO DI MEZZAGALERA  2-</v>
      </c>
      <c r="C1273" t="str">
        <f t="shared" si="140"/>
        <v>GEA</v>
      </c>
      <c r="D1273">
        <v>97</v>
      </c>
      <c r="E1273" t="str">
        <f t="shared" si="141"/>
        <v>2</v>
      </c>
      <c r="F1273" t="str">
        <f>"22"</f>
        <v>22</v>
      </c>
    </row>
    <row r="1274" spans="1:6">
      <c r="A1274" t="str">
        <f>"E1887-8"</f>
        <v>E1887-8</v>
      </c>
      <c r="B1274" t="str">
        <f t="shared" si="142"/>
        <v>VICO DI MEZZAGALERA  2-</v>
      </c>
      <c r="C1274" t="str">
        <f t="shared" si="140"/>
        <v>GEA</v>
      </c>
      <c r="D1274">
        <v>97</v>
      </c>
      <c r="E1274" t="str">
        <f t="shared" si="141"/>
        <v>2</v>
      </c>
      <c r="F1274" t="str">
        <f>"23"</f>
        <v>23</v>
      </c>
    </row>
    <row r="1275" spans="1:6">
      <c r="A1275" t="str">
        <f>"E1887-9"</f>
        <v>E1887-9</v>
      </c>
      <c r="B1275" t="str">
        <f t="shared" si="142"/>
        <v>VICO DI MEZZAGALERA  2-</v>
      </c>
      <c r="C1275" t="str">
        <f t="shared" si="140"/>
        <v>GEA</v>
      </c>
      <c r="D1275">
        <v>97</v>
      </c>
      <c r="E1275" t="str">
        <f t="shared" si="141"/>
        <v>2</v>
      </c>
      <c r="F1275" t="str">
        <f>"24"</f>
        <v>24</v>
      </c>
    </row>
    <row r="1276" spans="1:6">
      <c r="A1276" t="str">
        <f>"E1887-10"</f>
        <v>E1887-10</v>
      </c>
      <c r="B1276" t="str">
        <f t="shared" si="142"/>
        <v>VICO DI MEZZAGALERA  2-</v>
      </c>
      <c r="C1276" t="str">
        <f t="shared" si="140"/>
        <v>GEA</v>
      </c>
      <c r="D1276">
        <v>97</v>
      </c>
      <c r="E1276" t="str">
        <f t="shared" si="141"/>
        <v>2</v>
      </c>
      <c r="F1276" t="str">
        <f>"25"</f>
        <v>25</v>
      </c>
    </row>
    <row r="1277" spans="1:6">
      <c r="A1277" t="str">
        <f>"E1888-1"</f>
        <v>E1888-1</v>
      </c>
      <c r="B1277" t="str">
        <f>"VICO TACCONI  3-"</f>
        <v>VICO TACCONI  3-</v>
      </c>
      <c r="C1277" t="str">
        <f t="shared" si="140"/>
        <v>GEA</v>
      </c>
      <c r="D1277">
        <v>79</v>
      </c>
      <c r="E1277" t="str">
        <f t="shared" ref="E1277:E1295" si="143">"713"</f>
        <v>713</v>
      </c>
      <c r="F1277" t="str">
        <f>"2"</f>
        <v>2</v>
      </c>
    </row>
    <row r="1278" spans="1:6">
      <c r="A1278" t="str">
        <f>"E1888-2"</f>
        <v>E1888-2</v>
      </c>
      <c r="B1278" t="str">
        <f>"VICO TACCONI  5-"</f>
        <v>VICO TACCONI  5-</v>
      </c>
      <c r="C1278" t="str">
        <f t="shared" si="140"/>
        <v>GEA</v>
      </c>
      <c r="D1278">
        <v>79</v>
      </c>
      <c r="E1278" t="str">
        <f t="shared" si="143"/>
        <v>713</v>
      </c>
      <c r="F1278" t="str">
        <f>"21"</f>
        <v>21</v>
      </c>
    </row>
    <row r="1279" spans="1:6">
      <c r="A1279" t="str">
        <f>"E1888-3"</f>
        <v>E1888-3</v>
      </c>
      <c r="B1279" t="str">
        <f>"VICO TACCONI  5-"</f>
        <v>VICO TACCONI  5-</v>
      </c>
      <c r="C1279" t="str">
        <f t="shared" si="140"/>
        <v>GEA</v>
      </c>
      <c r="D1279">
        <v>79</v>
      </c>
      <c r="E1279" t="str">
        <f t="shared" si="143"/>
        <v>713</v>
      </c>
      <c r="F1279" t="str">
        <f>"25"</f>
        <v>25</v>
      </c>
    </row>
    <row r="1280" spans="1:6">
      <c r="A1280" t="str">
        <f>"E1888-4"</f>
        <v>E1888-4</v>
      </c>
      <c r="B1280" t="str">
        <f>"VICO TACCONI  7-"</f>
        <v>VICO TACCONI  7-</v>
      </c>
      <c r="C1280" t="str">
        <f t="shared" si="140"/>
        <v>GEA</v>
      </c>
      <c r="D1280">
        <v>79</v>
      </c>
      <c r="E1280" t="str">
        <f t="shared" si="143"/>
        <v>713</v>
      </c>
      <c r="F1280" t="str">
        <f>"26"</f>
        <v>26</v>
      </c>
    </row>
    <row r="1281" spans="1:6">
      <c r="A1281" t="str">
        <f>"E1888-5"</f>
        <v>E1888-5</v>
      </c>
      <c r="B1281" t="str">
        <f t="shared" ref="B1281:B1295" si="144">"VICO TACCONI  3-"</f>
        <v>VICO TACCONI  3-</v>
      </c>
      <c r="C1281" t="str">
        <f t="shared" si="140"/>
        <v>GEA</v>
      </c>
      <c r="D1281">
        <v>79</v>
      </c>
      <c r="E1281" t="str">
        <f t="shared" si="143"/>
        <v>713</v>
      </c>
      <c r="F1281" t="str">
        <f>"22"</f>
        <v>22</v>
      </c>
    </row>
    <row r="1282" spans="1:6">
      <c r="A1282" t="str">
        <f>"E1888-6"</f>
        <v>E1888-6</v>
      </c>
      <c r="B1282" t="str">
        <f t="shared" si="144"/>
        <v>VICO TACCONI  3-</v>
      </c>
      <c r="C1282" t="str">
        <f t="shared" si="140"/>
        <v>GEA</v>
      </c>
      <c r="D1282">
        <v>79</v>
      </c>
      <c r="E1282" t="str">
        <f t="shared" si="143"/>
        <v>713</v>
      </c>
      <c r="F1282" t="str">
        <f>"23"</f>
        <v>23</v>
      </c>
    </row>
    <row r="1283" spans="1:6">
      <c r="A1283" t="str">
        <f>"E1888-7"</f>
        <v>E1888-7</v>
      </c>
      <c r="B1283" t="str">
        <f t="shared" si="144"/>
        <v>VICO TACCONI  3-</v>
      </c>
      <c r="C1283" t="str">
        <f t="shared" si="140"/>
        <v>GEA</v>
      </c>
      <c r="D1283">
        <v>79</v>
      </c>
      <c r="E1283" t="str">
        <f t="shared" si="143"/>
        <v>713</v>
      </c>
      <c r="F1283" t="str">
        <f>"24"</f>
        <v>24</v>
      </c>
    </row>
    <row r="1284" spans="1:6">
      <c r="A1284" t="str">
        <f>"E1888-8"</f>
        <v>E1888-8</v>
      </c>
      <c r="B1284" t="str">
        <f t="shared" si="144"/>
        <v>VICO TACCONI  3-</v>
      </c>
      <c r="C1284" t="str">
        <f t="shared" si="140"/>
        <v>GEA</v>
      </c>
      <c r="D1284">
        <v>79</v>
      </c>
      <c r="E1284" t="str">
        <f t="shared" si="143"/>
        <v>713</v>
      </c>
      <c r="F1284" t="str">
        <f>"9"</f>
        <v>9</v>
      </c>
    </row>
    <row r="1285" spans="1:6">
      <c r="A1285" t="str">
        <f>"E1888-9"</f>
        <v>E1888-9</v>
      </c>
      <c r="B1285" t="str">
        <f t="shared" si="144"/>
        <v>VICO TACCONI  3-</v>
      </c>
      <c r="C1285" t="str">
        <f t="shared" si="140"/>
        <v>GEA</v>
      </c>
      <c r="D1285">
        <v>79</v>
      </c>
      <c r="E1285" t="str">
        <f t="shared" si="143"/>
        <v>713</v>
      </c>
      <c r="F1285" t="str">
        <f>"10"</f>
        <v>10</v>
      </c>
    </row>
    <row r="1286" spans="1:6">
      <c r="A1286" t="str">
        <f>"E1888-10"</f>
        <v>E1888-10</v>
      </c>
      <c r="B1286" t="str">
        <f t="shared" si="144"/>
        <v>VICO TACCONI  3-</v>
      </c>
      <c r="C1286" t="str">
        <f t="shared" si="140"/>
        <v>GEA</v>
      </c>
      <c r="D1286">
        <v>79</v>
      </c>
      <c r="E1286" t="str">
        <f t="shared" si="143"/>
        <v>713</v>
      </c>
      <c r="F1286" t="str">
        <f>"11"</f>
        <v>11</v>
      </c>
    </row>
    <row r="1287" spans="1:6">
      <c r="A1287" t="str">
        <f>"E1888-11"</f>
        <v>E1888-11</v>
      </c>
      <c r="B1287" t="str">
        <f t="shared" si="144"/>
        <v>VICO TACCONI  3-</v>
      </c>
      <c r="C1287" t="str">
        <f t="shared" si="140"/>
        <v>GEA</v>
      </c>
      <c r="D1287">
        <v>79</v>
      </c>
      <c r="E1287" t="str">
        <f t="shared" si="143"/>
        <v>713</v>
      </c>
      <c r="F1287" t="str">
        <f>"12"</f>
        <v>12</v>
      </c>
    </row>
    <row r="1288" spans="1:6">
      <c r="A1288" t="str">
        <f>"E1888-12"</f>
        <v>E1888-12</v>
      </c>
      <c r="B1288" t="str">
        <f t="shared" si="144"/>
        <v>VICO TACCONI  3-</v>
      </c>
      <c r="C1288" t="str">
        <f t="shared" si="140"/>
        <v>GEA</v>
      </c>
      <c r="D1288">
        <v>79</v>
      </c>
      <c r="E1288" t="str">
        <f t="shared" si="143"/>
        <v>713</v>
      </c>
      <c r="F1288" t="str">
        <f>"13"</f>
        <v>13</v>
      </c>
    </row>
    <row r="1289" spans="1:6">
      <c r="A1289" t="str">
        <f>"E1888-13"</f>
        <v>E1888-13</v>
      </c>
      <c r="B1289" t="str">
        <f t="shared" si="144"/>
        <v>VICO TACCONI  3-</v>
      </c>
      <c r="C1289" t="str">
        <f t="shared" si="140"/>
        <v>GEA</v>
      </c>
      <c r="D1289">
        <v>79</v>
      </c>
      <c r="E1289" t="str">
        <f t="shared" si="143"/>
        <v>713</v>
      </c>
      <c r="F1289" t="str">
        <f>"14"</f>
        <v>14</v>
      </c>
    </row>
    <row r="1290" spans="1:6">
      <c r="A1290" t="str">
        <f>"E1888-14"</f>
        <v>E1888-14</v>
      </c>
      <c r="B1290" t="str">
        <f t="shared" si="144"/>
        <v>VICO TACCONI  3-</v>
      </c>
      <c r="C1290" t="str">
        <f t="shared" si="140"/>
        <v>GEA</v>
      </c>
      <c r="D1290">
        <v>79</v>
      </c>
      <c r="E1290" t="str">
        <f t="shared" si="143"/>
        <v>713</v>
      </c>
      <c r="F1290" t="str">
        <f>"15"</f>
        <v>15</v>
      </c>
    </row>
    <row r="1291" spans="1:6">
      <c r="A1291" t="str">
        <f>"E1888-15"</f>
        <v>E1888-15</v>
      </c>
      <c r="B1291" t="str">
        <f t="shared" si="144"/>
        <v>VICO TACCONI  3-</v>
      </c>
      <c r="C1291" t="str">
        <f t="shared" si="140"/>
        <v>GEA</v>
      </c>
      <c r="D1291">
        <v>79</v>
      </c>
      <c r="E1291" t="str">
        <f t="shared" si="143"/>
        <v>713</v>
      </c>
      <c r="F1291" t="str">
        <f>"16"</f>
        <v>16</v>
      </c>
    </row>
    <row r="1292" spans="1:6">
      <c r="A1292" t="str">
        <f>"E1888-16"</f>
        <v>E1888-16</v>
      </c>
      <c r="B1292" t="str">
        <f t="shared" si="144"/>
        <v>VICO TACCONI  3-</v>
      </c>
      <c r="C1292" t="str">
        <f t="shared" si="140"/>
        <v>GEA</v>
      </c>
      <c r="D1292">
        <v>79</v>
      </c>
      <c r="E1292" t="str">
        <f t="shared" si="143"/>
        <v>713</v>
      </c>
      <c r="F1292" t="str">
        <f>"17"</f>
        <v>17</v>
      </c>
    </row>
    <row r="1293" spans="1:6">
      <c r="A1293" t="str">
        <f>"E1888-17"</f>
        <v>E1888-17</v>
      </c>
      <c r="B1293" t="str">
        <f t="shared" si="144"/>
        <v>VICO TACCONI  3-</v>
      </c>
      <c r="C1293" t="str">
        <f t="shared" si="140"/>
        <v>GEA</v>
      </c>
      <c r="D1293">
        <v>79</v>
      </c>
      <c r="E1293" t="str">
        <f t="shared" si="143"/>
        <v>713</v>
      </c>
      <c r="F1293" t="str">
        <f>"18"</f>
        <v>18</v>
      </c>
    </row>
    <row r="1294" spans="1:6">
      <c r="A1294" t="str">
        <f>"E1888-18"</f>
        <v>E1888-18</v>
      </c>
      <c r="B1294" t="str">
        <f t="shared" si="144"/>
        <v>VICO TACCONI  3-</v>
      </c>
      <c r="C1294" t="str">
        <f t="shared" si="140"/>
        <v>GEA</v>
      </c>
      <c r="D1294">
        <v>79</v>
      </c>
      <c r="E1294" t="str">
        <f t="shared" si="143"/>
        <v>713</v>
      </c>
      <c r="F1294" t="str">
        <f>"19"</f>
        <v>19</v>
      </c>
    </row>
    <row r="1295" spans="1:6">
      <c r="A1295" t="str">
        <f>"E1888-19"</f>
        <v>E1888-19</v>
      </c>
      <c r="B1295" t="str">
        <f t="shared" si="144"/>
        <v>VICO TACCONI  3-</v>
      </c>
      <c r="C1295" t="str">
        <f t="shared" si="140"/>
        <v>GEA</v>
      </c>
      <c r="D1295">
        <v>79</v>
      </c>
      <c r="E1295" t="str">
        <f t="shared" si="143"/>
        <v>713</v>
      </c>
      <c r="F1295" t="str">
        <f>"20"</f>
        <v>20</v>
      </c>
    </row>
    <row r="1296" spans="1:6">
      <c r="A1296" t="str">
        <f>"E1888-20"</f>
        <v>E1888-20</v>
      </c>
      <c r="B1296" t="str">
        <f>"PIAZZA DELLE MARINELLE VICINO AL 3R-"</f>
        <v>PIAZZA DELLE MARINELLE VICINO AL 3R-</v>
      </c>
      <c r="C1296" t="str">
        <f t="shared" si="140"/>
        <v>GEA</v>
      </c>
      <c r="D1296">
        <v>79</v>
      </c>
      <c r="E1296" t="str">
        <f>"714"</f>
        <v>714</v>
      </c>
      <c r="F1296" t="str">
        <f>"0000"</f>
        <v>0000</v>
      </c>
    </row>
    <row r="1297" spans="1:6">
      <c r="A1297" t="str">
        <f>"E1890-1"</f>
        <v>E1890-1</v>
      </c>
      <c r="B1297" t="str">
        <f>"VIALE ASPROMONTE  16-"</f>
        <v>VIALE ASPROMONTE  16-</v>
      </c>
      <c r="C1297" t="str">
        <f t="shared" si="140"/>
        <v>GEA</v>
      </c>
      <c r="D1297">
        <v>99</v>
      </c>
      <c r="E1297" t="str">
        <f>"104"</f>
        <v>104</v>
      </c>
      <c r="F1297" t="str">
        <f>"18"</f>
        <v>18</v>
      </c>
    </row>
    <row r="1298" spans="1:6">
      <c r="A1298" t="str">
        <f>"E1891-1"</f>
        <v>E1891-1</v>
      </c>
      <c r="B1298" t="str">
        <f>"VICO AMANDORLA  7-"</f>
        <v>VICO AMANDORLA  7-</v>
      </c>
      <c r="C1298" t="str">
        <f t="shared" si="140"/>
        <v>GEA</v>
      </c>
      <c r="D1298">
        <v>84</v>
      </c>
      <c r="E1298" t="str">
        <f>"447"</f>
        <v>447</v>
      </c>
      <c r="F1298" t="str">
        <f>"5"</f>
        <v>5</v>
      </c>
    </row>
    <row r="1299" spans="1:6">
      <c r="A1299" t="str">
        <f>"E1893-4"</f>
        <v>E1893-4</v>
      </c>
      <c r="B1299" t="str">
        <f>"VICO DELLE MELE  4-"</f>
        <v>VICO DELLE MELE  4-</v>
      </c>
      <c r="C1299" t="str">
        <f t="shared" ref="C1299:C1330" si="145">"GEA"</f>
        <v>GEA</v>
      </c>
      <c r="D1299">
        <v>83</v>
      </c>
      <c r="E1299" t="str">
        <f>"408"</f>
        <v>408</v>
      </c>
      <c r="F1299" t="str">
        <f>"23"</f>
        <v>23</v>
      </c>
    </row>
    <row r="1300" spans="1:6">
      <c r="A1300" t="str">
        <f>"E1893-5"</f>
        <v>E1893-5</v>
      </c>
      <c r="B1300" t="str">
        <f>"VICO DELLE MELE  12R-"</f>
        <v>VICO DELLE MELE  12R-</v>
      </c>
      <c r="C1300" t="str">
        <f t="shared" si="145"/>
        <v>GEA</v>
      </c>
      <c r="D1300">
        <v>83</v>
      </c>
      <c r="E1300" t="str">
        <f>"408"</f>
        <v>408</v>
      </c>
      <c r="F1300" t="str">
        <f>"27"</f>
        <v>27</v>
      </c>
    </row>
    <row r="1301" spans="1:6">
      <c r="A1301" t="str">
        <f>"E1894-1"</f>
        <v>E1894-1</v>
      </c>
      <c r="B1301" t="str">
        <f>"VIA DI PRE  155R-"</f>
        <v>VIA DI PRE  155R-</v>
      </c>
      <c r="C1301" t="str">
        <f t="shared" si="145"/>
        <v>GEA</v>
      </c>
      <c r="D1301">
        <v>79</v>
      </c>
      <c r="E1301" t="str">
        <f t="shared" ref="E1301:E1312" si="146">"690"</f>
        <v>690</v>
      </c>
      <c r="F1301" t="str">
        <f>"2"</f>
        <v>2</v>
      </c>
    </row>
    <row r="1302" spans="1:6">
      <c r="A1302" t="str">
        <f>"E1894-2"</f>
        <v>E1894-2</v>
      </c>
      <c r="B1302" t="str">
        <f>"VIA DI PRE  153R-"</f>
        <v>VIA DI PRE  153R-</v>
      </c>
      <c r="C1302" t="str">
        <f t="shared" si="145"/>
        <v>GEA</v>
      </c>
      <c r="D1302">
        <v>79</v>
      </c>
      <c r="E1302" t="str">
        <f t="shared" si="146"/>
        <v>690</v>
      </c>
      <c r="F1302" t="str">
        <f>"3"</f>
        <v>3</v>
      </c>
    </row>
    <row r="1303" spans="1:6">
      <c r="A1303" t="str">
        <f>"E1894-3"</f>
        <v>E1894-3</v>
      </c>
      <c r="B1303" t="str">
        <f>"VIA DI PRE  151R-"</f>
        <v>VIA DI PRE  151R-</v>
      </c>
      <c r="C1303" t="str">
        <f t="shared" si="145"/>
        <v>GEA</v>
      </c>
      <c r="D1303">
        <v>79</v>
      </c>
      <c r="E1303" t="str">
        <f t="shared" si="146"/>
        <v>690</v>
      </c>
      <c r="F1303" t="str">
        <f>"4"</f>
        <v>4</v>
      </c>
    </row>
    <row r="1304" spans="1:6">
      <c r="A1304" t="str">
        <f>"E1894-4"</f>
        <v>E1894-4</v>
      </c>
      <c r="B1304" t="str">
        <f>"VICO TACCONI  1R-"</f>
        <v>VICO TACCONI  1R-</v>
      </c>
      <c r="C1304" t="str">
        <f t="shared" si="145"/>
        <v>GEA</v>
      </c>
      <c r="D1304">
        <v>79</v>
      </c>
      <c r="E1304" t="str">
        <f t="shared" si="146"/>
        <v>690</v>
      </c>
      <c r="F1304" t="str">
        <f>"5"</f>
        <v>5</v>
      </c>
    </row>
    <row r="1305" spans="1:6">
      <c r="A1305" t="str">
        <f>"E1894-5"</f>
        <v>E1894-5</v>
      </c>
      <c r="B1305" t="str">
        <f t="shared" ref="B1305:B1312" si="147">"VIA DI PRE  47-"</f>
        <v>VIA DI PRE  47-</v>
      </c>
      <c r="C1305" t="str">
        <f t="shared" si="145"/>
        <v>GEA</v>
      </c>
      <c r="D1305">
        <v>79</v>
      </c>
      <c r="E1305" t="str">
        <f t="shared" si="146"/>
        <v>690</v>
      </c>
      <c r="F1305" t="str">
        <f>"6"</f>
        <v>6</v>
      </c>
    </row>
    <row r="1306" spans="1:6">
      <c r="A1306" t="str">
        <f>"E1894-6"</f>
        <v>E1894-6</v>
      </c>
      <c r="B1306" t="str">
        <f t="shared" si="147"/>
        <v>VIA DI PRE  47-</v>
      </c>
      <c r="C1306" t="str">
        <f t="shared" si="145"/>
        <v>GEA</v>
      </c>
      <c r="D1306">
        <v>79</v>
      </c>
      <c r="E1306" t="str">
        <f t="shared" si="146"/>
        <v>690</v>
      </c>
      <c r="F1306" t="str">
        <f>"7"</f>
        <v>7</v>
      </c>
    </row>
    <row r="1307" spans="1:6">
      <c r="A1307" t="str">
        <f>"E1894-7"</f>
        <v>E1894-7</v>
      </c>
      <c r="B1307" t="str">
        <f t="shared" si="147"/>
        <v>VIA DI PRE  47-</v>
      </c>
      <c r="C1307" t="str">
        <f t="shared" si="145"/>
        <v>GEA</v>
      </c>
      <c r="D1307">
        <v>79</v>
      </c>
      <c r="E1307" t="str">
        <f t="shared" si="146"/>
        <v>690</v>
      </c>
      <c r="F1307" t="str">
        <f>"8"</f>
        <v>8</v>
      </c>
    </row>
    <row r="1308" spans="1:6">
      <c r="A1308" t="str">
        <f>"E1894-8"</f>
        <v>E1894-8</v>
      </c>
      <c r="B1308" t="str">
        <f t="shared" si="147"/>
        <v>VIA DI PRE  47-</v>
      </c>
      <c r="C1308" t="str">
        <f t="shared" si="145"/>
        <v>GEA</v>
      </c>
      <c r="D1308">
        <v>79</v>
      </c>
      <c r="E1308" t="str">
        <f t="shared" si="146"/>
        <v>690</v>
      </c>
      <c r="F1308" t="str">
        <f>" 9"</f>
        <v xml:space="preserve"> 9</v>
      </c>
    </row>
    <row r="1309" spans="1:6">
      <c r="A1309" t="str">
        <f>"E1894-9"</f>
        <v>E1894-9</v>
      </c>
      <c r="B1309" t="str">
        <f t="shared" si="147"/>
        <v>VIA DI PRE  47-</v>
      </c>
      <c r="C1309" t="str">
        <f t="shared" si="145"/>
        <v>GEA</v>
      </c>
      <c r="D1309">
        <v>79</v>
      </c>
      <c r="E1309" t="str">
        <f t="shared" si="146"/>
        <v>690</v>
      </c>
      <c r="F1309" t="str">
        <f>"10"</f>
        <v>10</v>
      </c>
    </row>
    <row r="1310" spans="1:6">
      <c r="A1310" t="str">
        <f>"E1894-10"</f>
        <v>E1894-10</v>
      </c>
      <c r="B1310" t="str">
        <f t="shared" si="147"/>
        <v>VIA DI PRE  47-</v>
      </c>
      <c r="C1310" t="str">
        <f t="shared" si="145"/>
        <v>GEA</v>
      </c>
      <c r="D1310">
        <v>79</v>
      </c>
      <c r="E1310" t="str">
        <f t="shared" si="146"/>
        <v>690</v>
      </c>
      <c r="F1310" t="str">
        <f>"11"</f>
        <v>11</v>
      </c>
    </row>
    <row r="1311" spans="1:6">
      <c r="A1311" t="str">
        <f>"E1894-11"</f>
        <v>E1894-11</v>
      </c>
      <c r="B1311" t="str">
        <f t="shared" si="147"/>
        <v>VIA DI PRE  47-</v>
      </c>
      <c r="C1311" t="str">
        <f t="shared" si="145"/>
        <v>GEA</v>
      </c>
      <c r="D1311">
        <v>79</v>
      </c>
      <c r="E1311" t="str">
        <f t="shared" si="146"/>
        <v>690</v>
      </c>
      <c r="F1311" t="str">
        <f>"12"</f>
        <v>12</v>
      </c>
    </row>
    <row r="1312" spans="1:6">
      <c r="A1312" t="str">
        <f>"E1894-12"</f>
        <v>E1894-12</v>
      </c>
      <c r="B1312" t="str">
        <f t="shared" si="147"/>
        <v>VIA DI PRE  47-</v>
      </c>
      <c r="C1312" t="str">
        <f t="shared" si="145"/>
        <v>GEA</v>
      </c>
      <c r="D1312">
        <v>79</v>
      </c>
      <c r="E1312" t="str">
        <f t="shared" si="146"/>
        <v>690</v>
      </c>
      <c r="F1312" t="str">
        <f>"13"</f>
        <v>13</v>
      </c>
    </row>
    <row r="1313" spans="1:6">
      <c r="A1313" t="str">
        <f>"E1895-1"</f>
        <v>E1895-1</v>
      </c>
      <c r="B1313" t="str">
        <f>"VIA DI PRE  137R-"</f>
        <v>VIA DI PRE  137R-</v>
      </c>
      <c r="C1313" t="str">
        <f t="shared" si="145"/>
        <v>GEA</v>
      </c>
      <c r="D1313">
        <v>80</v>
      </c>
      <c r="E1313" t="str">
        <f t="shared" ref="E1313:E1321" si="148">"689"</f>
        <v>689</v>
      </c>
      <c r="F1313" t="str">
        <f>"5"</f>
        <v>5</v>
      </c>
    </row>
    <row r="1314" spans="1:6">
      <c r="A1314" t="str">
        <f>"E1895-2"</f>
        <v>E1895-2</v>
      </c>
      <c r="B1314" t="str">
        <f>"VIA DI PRE  141R-"</f>
        <v>VIA DI PRE  141R-</v>
      </c>
      <c r="C1314" t="str">
        <f t="shared" si="145"/>
        <v>GEA</v>
      </c>
      <c r="D1314">
        <v>80</v>
      </c>
      <c r="E1314" t="str">
        <f t="shared" si="148"/>
        <v>689</v>
      </c>
      <c r="F1314" t="str">
        <f>"51"</f>
        <v>51</v>
      </c>
    </row>
    <row r="1315" spans="1:6">
      <c r="A1315" t="str">
        <f>"E1895-3"</f>
        <v>E1895-3</v>
      </c>
      <c r="B1315" t="str">
        <f>"VIA DI PRE  145R-"</f>
        <v>VIA DI PRE  145R-</v>
      </c>
      <c r="C1315" t="str">
        <f t="shared" si="145"/>
        <v>GEA</v>
      </c>
      <c r="D1315">
        <v>80</v>
      </c>
      <c r="E1315" t="str">
        <f t="shared" si="148"/>
        <v>689</v>
      </c>
      <c r="F1315" t="str">
        <f>"101"</f>
        <v>101</v>
      </c>
    </row>
    <row r="1316" spans="1:6">
      <c r="A1316" t="str">
        <f>"E1895-5"</f>
        <v>E1895-5</v>
      </c>
      <c r="B1316" t="str">
        <f>"PIAZZA TRUOGOLI S BRIGIDA  25-"</f>
        <v>PIAZZA TRUOGOLI S BRIGIDA  25-</v>
      </c>
      <c r="C1316" t="str">
        <f t="shared" si="145"/>
        <v>GEA</v>
      </c>
      <c r="D1316">
        <v>80</v>
      </c>
      <c r="E1316" t="str">
        <f t="shared" si="148"/>
        <v>689</v>
      </c>
      <c r="F1316" t="str">
        <f>"7"</f>
        <v>7</v>
      </c>
    </row>
    <row r="1317" spans="1:6">
      <c r="A1317" t="str">
        <f>"E1895-6"</f>
        <v>E1895-6</v>
      </c>
      <c r="B1317" t="str">
        <f>"PIAZZA TRUOGOLI S BRIGIDA  19-"</f>
        <v>PIAZZA TRUOGOLI S BRIGIDA  19-</v>
      </c>
      <c r="C1317" t="str">
        <f t="shared" si="145"/>
        <v>GEA</v>
      </c>
      <c r="D1317">
        <v>80</v>
      </c>
      <c r="E1317" t="str">
        <f t="shared" si="148"/>
        <v>689</v>
      </c>
      <c r="F1317" t="str">
        <f>"8"</f>
        <v>8</v>
      </c>
    </row>
    <row r="1318" spans="1:6">
      <c r="A1318" t="str">
        <f>"E1895-7"</f>
        <v>E1895-7</v>
      </c>
      <c r="B1318" t="str">
        <f>"PIAZZA TRUOGOLI S BRIGIDA  17-"</f>
        <v>PIAZZA TRUOGOLI S BRIGIDA  17-</v>
      </c>
      <c r="C1318" t="str">
        <f t="shared" si="145"/>
        <v>GEA</v>
      </c>
      <c r="D1318">
        <v>80</v>
      </c>
      <c r="E1318" t="str">
        <f t="shared" si="148"/>
        <v>689</v>
      </c>
      <c r="F1318" t="str">
        <f>"52"</f>
        <v>52</v>
      </c>
    </row>
    <row r="1319" spans="1:6">
      <c r="A1319" t="str">
        <f>"E1895-8"</f>
        <v>E1895-8</v>
      </c>
      <c r="B1319" t="str">
        <f>"VIA DI PRE  43-"</f>
        <v>VIA DI PRE  43-</v>
      </c>
      <c r="C1319" t="str">
        <f t="shared" si="145"/>
        <v>GEA</v>
      </c>
      <c r="D1319">
        <v>80</v>
      </c>
      <c r="E1319" t="str">
        <f t="shared" si="148"/>
        <v>689</v>
      </c>
      <c r="F1319" t="str">
        <f>"10"</f>
        <v>10</v>
      </c>
    </row>
    <row r="1320" spans="1:6">
      <c r="A1320" t="str">
        <f>"E1895-9"</f>
        <v>E1895-9</v>
      </c>
      <c r="B1320" t="str">
        <f>"VIA DI PRE  41-"</f>
        <v>VIA DI PRE  41-</v>
      </c>
      <c r="C1320" t="str">
        <f t="shared" si="145"/>
        <v>GEA</v>
      </c>
      <c r="D1320">
        <v>80</v>
      </c>
      <c r="E1320" t="str">
        <f t="shared" si="148"/>
        <v>689</v>
      </c>
      <c r="F1320" t="str">
        <f>"11"</f>
        <v>11</v>
      </c>
    </row>
    <row r="1321" spans="1:6">
      <c r="A1321" t="str">
        <f>"E1895-10"</f>
        <v>E1895-10</v>
      </c>
      <c r="B1321" t="str">
        <f>"VIA DI PRE  39-"</f>
        <v>VIA DI PRE  39-</v>
      </c>
      <c r="C1321" t="str">
        <f t="shared" si="145"/>
        <v>GEA</v>
      </c>
      <c r="D1321">
        <v>80</v>
      </c>
      <c r="E1321" t="str">
        <f t="shared" si="148"/>
        <v>689</v>
      </c>
      <c r="F1321" t="str">
        <f>"12"</f>
        <v>12</v>
      </c>
    </row>
    <row r="1322" spans="1:6">
      <c r="A1322" t="str">
        <f>"E1895-11"</f>
        <v>E1895-11</v>
      </c>
      <c r="B1322" t="str">
        <f>"PIAZZA TRUOGOLI S BRIGIDA  37-"</f>
        <v>PIAZZA TRUOGOLI S BRIGIDA  37-</v>
      </c>
      <c r="C1322" t="str">
        <f t="shared" si="145"/>
        <v>GEA</v>
      </c>
      <c r="D1322">
        <v>80</v>
      </c>
      <c r="E1322" t="str">
        <f>"698"</f>
        <v>698</v>
      </c>
      <c r="F1322" t="str">
        <f>"13"</f>
        <v>13</v>
      </c>
    </row>
    <row r="1323" spans="1:6">
      <c r="A1323" t="str">
        <f>"E1895-12"</f>
        <v>E1895-12</v>
      </c>
      <c r="B1323" t="str">
        <f>"PIAZZA TRUOGOLI S BRIGIDA  37-"</f>
        <v>PIAZZA TRUOGOLI S BRIGIDA  37-</v>
      </c>
      <c r="C1323" t="str">
        <f t="shared" si="145"/>
        <v>GEA</v>
      </c>
      <c r="D1323">
        <v>80</v>
      </c>
      <c r="E1323" t="str">
        <f>"689"</f>
        <v>689</v>
      </c>
      <c r="F1323" t="str">
        <f>"14"</f>
        <v>14</v>
      </c>
    </row>
    <row r="1324" spans="1:6">
      <c r="A1324" t="str">
        <f>"E1895-13"</f>
        <v>E1895-13</v>
      </c>
      <c r="B1324" t="str">
        <f t="shared" ref="B1324:B1330" si="149">"PIAZZA TRUOGOLI S BRIGIDA  23-"</f>
        <v>PIAZZA TRUOGOLI S BRIGIDA  23-</v>
      </c>
      <c r="C1324" t="str">
        <f t="shared" si="145"/>
        <v>GEA</v>
      </c>
      <c r="D1324">
        <v>80</v>
      </c>
      <c r="E1324" t="str">
        <f>"689"</f>
        <v>689</v>
      </c>
      <c r="F1324" t="str">
        <f>"18"</f>
        <v>18</v>
      </c>
    </row>
    <row r="1325" spans="1:6">
      <c r="A1325" t="str">
        <f>"E1895-14"</f>
        <v>E1895-14</v>
      </c>
      <c r="B1325" t="str">
        <f t="shared" si="149"/>
        <v>PIAZZA TRUOGOLI S BRIGIDA  23-</v>
      </c>
      <c r="C1325" t="str">
        <f t="shared" si="145"/>
        <v>GEA</v>
      </c>
      <c r="D1325">
        <v>80</v>
      </c>
      <c r="E1325" t="str">
        <f>"689"</f>
        <v>689</v>
      </c>
      <c r="F1325" t="str">
        <f>"17"</f>
        <v>17</v>
      </c>
    </row>
    <row r="1326" spans="1:6">
      <c r="A1326" t="str">
        <f>"E1895-15"</f>
        <v>E1895-15</v>
      </c>
      <c r="B1326" t="str">
        <f t="shared" si="149"/>
        <v>PIAZZA TRUOGOLI S BRIGIDA  23-</v>
      </c>
      <c r="C1326" t="str">
        <f t="shared" si="145"/>
        <v>GEA</v>
      </c>
      <c r="D1326">
        <v>80</v>
      </c>
      <c r="E1326" t="str">
        <f>"869"</f>
        <v>869</v>
      </c>
      <c r="F1326" t="str">
        <f>"22"</f>
        <v>22</v>
      </c>
    </row>
    <row r="1327" spans="1:6">
      <c r="A1327" t="str">
        <f>"E1895-16"</f>
        <v>E1895-16</v>
      </c>
      <c r="B1327" t="str">
        <f t="shared" si="149"/>
        <v>PIAZZA TRUOGOLI S BRIGIDA  23-</v>
      </c>
      <c r="C1327" t="str">
        <f t="shared" si="145"/>
        <v>GEA</v>
      </c>
      <c r="D1327">
        <v>80</v>
      </c>
      <c r="E1327" t="str">
        <f t="shared" ref="E1327:E1358" si="150">"689"</f>
        <v>689</v>
      </c>
      <c r="F1327" t="str">
        <f>"31"</f>
        <v>31</v>
      </c>
    </row>
    <row r="1328" spans="1:6">
      <c r="A1328" t="str">
        <f>"E1895-17"</f>
        <v>E1895-17</v>
      </c>
      <c r="B1328" t="str">
        <f t="shared" si="149"/>
        <v>PIAZZA TRUOGOLI S BRIGIDA  23-</v>
      </c>
      <c r="C1328" t="str">
        <f t="shared" si="145"/>
        <v>GEA</v>
      </c>
      <c r="D1328">
        <v>80</v>
      </c>
      <c r="E1328" t="str">
        <f t="shared" si="150"/>
        <v>689</v>
      </c>
      <c r="F1328" t="str">
        <f>"39"</f>
        <v>39</v>
      </c>
    </row>
    <row r="1329" spans="1:6">
      <c r="A1329" t="str">
        <f>"E1895-18"</f>
        <v>E1895-18</v>
      </c>
      <c r="B1329" t="str">
        <f t="shared" si="149"/>
        <v>PIAZZA TRUOGOLI S BRIGIDA  23-</v>
      </c>
      <c r="C1329" t="str">
        <f t="shared" si="145"/>
        <v>GEA</v>
      </c>
      <c r="D1329">
        <v>80</v>
      </c>
      <c r="E1329" t="str">
        <f t="shared" si="150"/>
        <v>689</v>
      </c>
      <c r="F1329" t="str">
        <f>"45"</f>
        <v>45</v>
      </c>
    </row>
    <row r="1330" spans="1:6">
      <c r="A1330" t="str">
        <f>"E1895-19"</f>
        <v>E1895-19</v>
      </c>
      <c r="B1330" t="str">
        <f t="shared" si="149"/>
        <v>PIAZZA TRUOGOLI S BRIGIDA  23-</v>
      </c>
      <c r="C1330" t="str">
        <f t="shared" si="145"/>
        <v>GEA</v>
      </c>
      <c r="D1330">
        <v>80</v>
      </c>
      <c r="E1330" t="str">
        <f t="shared" si="150"/>
        <v>689</v>
      </c>
      <c r="F1330" t="str">
        <f>"48"</f>
        <v>48</v>
      </c>
    </row>
    <row r="1331" spans="1:6">
      <c r="A1331" t="str">
        <f>"E1895-20"</f>
        <v>E1895-20</v>
      </c>
      <c r="B1331" t="str">
        <f t="shared" ref="B1331:B1348" si="151">"VICO MACELLARI  3-"</f>
        <v>VICO MACELLARI  3-</v>
      </c>
      <c r="C1331" t="str">
        <f t="shared" ref="C1331:C1362" si="152">"GEA"</f>
        <v>GEA</v>
      </c>
      <c r="D1331">
        <v>80</v>
      </c>
      <c r="E1331" t="str">
        <f t="shared" si="150"/>
        <v>689</v>
      </c>
      <c r="F1331" t="str">
        <f>"77"</f>
        <v>77</v>
      </c>
    </row>
    <row r="1332" spans="1:6">
      <c r="A1332" t="str">
        <f>"E1895-21"</f>
        <v>E1895-21</v>
      </c>
      <c r="B1332" t="str">
        <f t="shared" si="151"/>
        <v>VICO MACELLARI  3-</v>
      </c>
      <c r="C1332" t="str">
        <f t="shared" si="152"/>
        <v>GEA</v>
      </c>
      <c r="D1332">
        <v>80</v>
      </c>
      <c r="E1332" t="str">
        <f t="shared" si="150"/>
        <v>689</v>
      </c>
      <c r="F1332" t="str">
        <f>"78"</f>
        <v>78</v>
      </c>
    </row>
    <row r="1333" spans="1:6">
      <c r="A1333" t="str">
        <f>"E1895-22"</f>
        <v>E1895-22</v>
      </c>
      <c r="B1333" t="str">
        <f t="shared" si="151"/>
        <v>VICO MACELLARI  3-</v>
      </c>
      <c r="C1333" t="str">
        <f t="shared" si="152"/>
        <v>GEA</v>
      </c>
      <c r="D1333">
        <v>80</v>
      </c>
      <c r="E1333" t="str">
        <f t="shared" si="150"/>
        <v>689</v>
      </c>
      <c r="F1333" t="str">
        <f>"80"</f>
        <v>80</v>
      </c>
    </row>
    <row r="1334" spans="1:6">
      <c r="A1334" t="str">
        <f>"E1895-23"</f>
        <v>E1895-23</v>
      </c>
      <c r="B1334" t="str">
        <f t="shared" si="151"/>
        <v>VICO MACELLARI  3-</v>
      </c>
      <c r="C1334" t="str">
        <f t="shared" si="152"/>
        <v>GEA</v>
      </c>
      <c r="D1334">
        <v>80</v>
      </c>
      <c r="E1334" t="str">
        <f t="shared" si="150"/>
        <v>689</v>
      </c>
      <c r="F1334" t="str">
        <f>"81"</f>
        <v>81</v>
      </c>
    </row>
    <row r="1335" spans="1:6">
      <c r="A1335" t="str">
        <f>"E1895-24"</f>
        <v>E1895-24</v>
      </c>
      <c r="B1335" t="str">
        <f t="shared" si="151"/>
        <v>VICO MACELLARI  3-</v>
      </c>
      <c r="C1335" t="str">
        <f t="shared" si="152"/>
        <v>GEA</v>
      </c>
      <c r="D1335">
        <v>80</v>
      </c>
      <c r="E1335" t="str">
        <f t="shared" si="150"/>
        <v>689</v>
      </c>
      <c r="F1335" t="str">
        <f>"85"</f>
        <v>85</v>
      </c>
    </row>
    <row r="1336" spans="1:6">
      <c r="A1336" t="str">
        <f>"E1895-25"</f>
        <v>E1895-25</v>
      </c>
      <c r="B1336" t="str">
        <f t="shared" si="151"/>
        <v>VICO MACELLARI  3-</v>
      </c>
      <c r="C1336" t="str">
        <f t="shared" si="152"/>
        <v>GEA</v>
      </c>
      <c r="D1336">
        <v>80</v>
      </c>
      <c r="E1336" t="str">
        <f t="shared" si="150"/>
        <v>689</v>
      </c>
      <c r="F1336" t="str">
        <f>"86"</f>
        <v>86</v>
      </c>
    </row>
    <row r="1337" spans="1:6">
      <c r="A1337" t="str">
        <f>"E1895-26"</f>
        <v>E1895-26</v>
      </c>
      <c r="B1337" t="str">
        <f t="shared" si="151"/>
        <v>VICO MACELLARI  3-</v>
      </c>
      <c r="C1337" t="str">
        <f t="shared" si="152"/>
        <v>GEA</v>
      </c>
      <c r="D1337">
        <v>80</v>
      </c>
      <c r="E1337" t="str">
        <f t="shared" si="150"/>
        <v>689</v>
      </c>
      <c r="F1337" t="str">
        <f>"87"</f>
        <v>87</v>
      </c>
    </row>
    <row r="1338" spans="1:6">
      <c r="A1338" t="str">
        <f>"E1895-27"</f>
        <v>E1895-27</v>
      </c>
      <c r="B1338" t="str">
        <f t="shared" si="151"/>
        <v>VICO MACELLARI  3-</v>
      </c>
      <c r="C1338" t="str">
        <f t="shared" si="152"/>
        <v>GEA</v>
      </c>
      <c r="D1338">
        <v>80</v>
      </c>
      <c r="E1338" t="str">
        <f t="shared" si="150"/>
        <v>689</v>
      </c>
      <c r="F1338" t="str">
        <f>"89"</f>
        <v>89</v>
      </c>
    </row>
    <row r="1339" spans="1:6">
      <c r="A1339" t="str">
        <f>"E1895-28"</f>
        <v>E1895-28</v>
      </c>
      <c r="B1339" t="str">
        <f t="shared" si="151"/>
        <v>VICO MACELLARI  3-</v>
      </c>
      <c r="C1339" t="str">
        <f t="shared" si="152"/>
        <v>GEA</v>
      </c>
      <c r="D1339">
        <v>80</v>
      </c>
      <c r="E1339" t="str">
        <f t="shared" si="150"/>
        <v>689</v>
      </c>
      <c r="F1339" t="str">
        <f>"93"</f>
        <v>93</v>
      </c>
    </row>
    <row r="1340" spans="1:6">
      <c r="A1340" t="str">
        <f>"E1895-29"</f>
        <v>E1895-29</v>
      </c>
      <c r="B1340" t="str">
        <f t="shared" si="151"/>
        <v>VICO MACELLARI  3-</v>
      </c>
      <c r="C1340" t="str">
        <f t="shared" si="152"/>
        <v>GEA</v>
      </c>
      <c r="D1340">
        <v>80</v>
      </c>
      <c r="E1340" t="str">
        <f t="shared" si="150"/>
        <v>689</v>
      </c>
      <c r="F1340" t="str">
        <f>"94"</f>
        <v>94</v>
      </c>
    </row>
    <row r="1341" spans="1:6">
      <c r="A1341" t="str">
        <f>"E1895-30"</f>
        <v>E1895-30</v>
      </c>
      <c r="B1341" t="str">
        <f t="shared" si="151"/>
        <v>VICO MACELLARI  3-</v>
      </c>
      <c r="C1341" t="str">
        <f t="shared" si="152"/>
        <v>GEA</v>
      </c>
      <c r="D1341">
        <v>80</v>
      </c>
      <c r="E1341" t="str">
        <f t="shared" si="150"/>
        <v>689</v>
      </c>
      <c r="F1341" t="str">
        <f>"88"</f>
        <v>88</v>
      </c>
    </row>
    <row r="1342" spans="1:6">
      <c r="A1342" t="str">
        <f>"E1895-31"</f>
        <v>E1895-31</v>
      </c>
      <c r="B1342" t="str">
        <f t="shared" si="151"/>
        <v>VICO MACELLARI  3-</v>
      </c>
      <c r="C1342" t="str">
        <f t="shared" si="152"/>
        <v>GEA</v>
      </c>
      <c r="D1342">
        <v>80</v>
      </c>
      <c r="E1342" t="str">
        <f t="shared" si="150"/>
        <v>689</v>
      </c>
      <c r="F1342" t="str">
        <f>"95"</f>
        <v>95</v>
      </c>
    </row>
    <row r="1343" spans="1:6">
      <c r="A1343" t="str">
        <f>"E1895-32"</f>
        <v>E1895-32</v>
      </c>
      <c r="B1343" t="str">
        <f t="shared" si="151"/>
        <v>VICO MACELLARI  3-</v>
      </c>
      <c r="C1343" t="str">
        <f t="shared" si="152"/>
        <v>GEA</v>
      </c>
      <c r="D1343">
        <v>80</v>
      </c>
      <c r="E1343" t="str">
        <f t="shared" si="150"/>
        <v>689</v>
      </c>
      <c r="F1343" t="str">
        <f>"96"</f>
        <v>96</v>
      </c>
    </row>
    <row r="1344" spans="1:6">
      <c r="A1344" t="str">
        <f>"E1895-33"</f>
        <v>E1895-33</v>
      </c>
      <c r="B1344" t="str">
        <f t="shared" si="151"/>
        <v>VICO MACELLARI  3-</v>
      </c>
      <c r="C1344" t="str">
        <f t="shared" si="152"/>
        <v>GEA</v>
      </c>
      <c r="D1344">
        <v>80</v>
      </c>
      <c r="E1344" t="str">
        <f t="shared" si="150"/>
        <v>689</v>
      </c>
      <c r="F1344" t="str">
        <f>"40"</f>
        <v>40</v>
      </c>
    </row>
    <row r="1345" spans="1:6">
      <c r="A1345" t="str">
        <f>"E1895-34"</f>
        <v>E1895-34</v>
      </c>
      <c r="B1345" t="str">
        <f t="shared" si="151"/>
        <v>VICO MACELLARI  3-</v>
      </c>
      <c r="C1345" t="str">
        <f t="shared" si="152"/>
        <v>GEA</v>
      </c>
      <c r="D1345">
        <v>80</v>
      </c>
      <c r="E1345" t="str">
        <f t="shared" si="150"/>
        <v>689</v>
      </c>
      <c r="F1345" t="str">
        <f>"41"</f>
        <v>41</v>
      </c>
    </row>
    <row r="1346" spans="1:6">
      <c r="A1346" t="str">
        <f>"E1895-35"</f>
        <v>E1895-35</v>
      </c>
      <c r="B1346" t="str">
        <f t="shared" si="151"/>
        <v>VICO MACELLARI  3-</v>
      </c>
      <c r="C1346" t="str">
        <f t="shared" si="152"/>
        <v>GEA</v>
      </c>
      <c r="D1346">
        <v>80</v>
      </c>
      <c r="E1346" t="str">
        <f t="shared" si="150"/>
        <v>689</v>
      </c>
      <c r="F1346" t="str">
        <f>"42"</f>
        <v>42</v>
      </c>
    </row>
    <row r="1347" spans="1:6">
      <c r="A1347" t="str">
        <f>"E1895-36"</f>
        <v>E1895-36</v>
      </c>
      <c r="B1347" t="str">
        <f t="shared" si="151"/>
        <v>VICO MACELLARI  3-</v>
      </c>
      <c r="C1347" t="str">
        <f t="shared" si="152"/>
        <v>GEA</v>
      </c>
      <c r="D1347">
        <v>80</v>
      </c>
      <c r="E1347" t="str">
        <f t="shared" si="150"/>
        <v>689</v>
      </c>
      <c r="F1347" t="str">
        <f>"43"</f>
        <v>43</v>
      </c>
    </row>
    <row r="1348" spans="1:6">
      <c r="A1348" t="str">
        <f>"E1895-37"</f>
        <v>E1895-37</v>
      </c>
      <c r="B1348" t="str">
        <f t="shared" si="151"/>
        <v>VICO MACELLARI  3-</v>
      </c>
      <c r="C1348" t="str">
        <f t="shared" si="152"/>
        <v>GEA</v>
      </c>
      <c r="D1348">
        <v>80</v>
      </c>
      <c r="E1348" t="str">
        <f t="shared" si="150"/>
        <v>689</v>
      </c>
      <c r="F1348" t="str">
        <f>"44"</f>
        <v>44</v>
      </c>
    </row>
    <row r="1349" spans="1:6">
      <c r="A1349" t="str">
        <f>"E1895-38"</f>
        <v>E1895-38</v>
      </c>
      <c r="B1349" t="str">
        <f t="shared" ref="B1349:B1359" si="153">"VICO MACELLARI  7-"</f>
        <v>VICO MACELLARI  7-</v>
      </c>
      <c r="C1349" t="str">
        <f t="shared" si="152"/>
        <v>GEA</v>
      </c>
      <c r="D1349">
        <v>80</v>
      </c>
      <c r="E1349" t="str">
        <f t="shared" si="150"/>
        <v>689</v>
      </c>
      <c r="F1349" t="str">
        <f>"79"</f>
        <v>79</v>
      </c>
    </row>
    <row r="1350" spans="1:6">
      <c r="A1350" t="str">
        <f>"E1895-39"</f>
        <v>E1895-39</v>
      </c>
      <c r="B1350" t="str">
        <f t="shared" si="153"/>
        <v>VICO MACELLARI  7-</v>
      </c>
      <c r="C1350" t="str">
        <f t="shared" si="152"/>
        <v>GEA</v>
      </c>
      <c r="D1350">
        <v>80</v>
      </c>
      <c r="E1350" t="str">
        <f t="shared" si="150"/>
        <v>689</v>
      </c>
      <c r="F1350" t="str">
        <f>"84"</f>
        <v>84</v>
      </c>
    </row>
    <row r="1351" spans="1:6">
      <c r="A1351" t="str">
        <f>"E1895-40"</f>
        <v>E1895-40</v>
      </c>
      <c r="B1351" t="str">
        <f t="shared" si="153"/>
        <v>VICO MACELLARI  7-</v>
      </c>
      <c r="C1351" t="str">
        <f t="shared" si="152"/>
        <v>GEA</v>
      </c>
      <c r="D1351">
        <v>80</v>
      </c>
      <c r="E1351" t="str">
        <f t="shared" si="150"/>
        <v>689</v>
      </c>
      <c r="F1351" t="str">
        <f>"82"</f>
        <v>82</v>
      </c>
    </row>
    <row r="1352" spans="1:6">
      <c r="A1352" t="str">
        <f>"E1895-41"</f>
        <v>E1895-41</v>
      </c>
      <c r="B1352" t="str">
        <f t="shared" si="153"/>
        <v>VICO MACELLARI  7-</v>
      </c>
      <c r="C1352" t="str">
        <f t="shared" si="152"/>
        <v>GEA</v>
      </c>
      <c r="D1352">
        <v>80</v>
      </c>
      <c r="E1352" t="str">
        <f t="shared" si="150"/>
        <v>689</v>
      </c>
      <c r="F1352" t="str">
        <f>"83"</f>
        <v>83</v>
      </c>
    </row>
    <row r="1353" spans="1:6">
      <c r="A1353" t="str">
        <f>"E1895-42"</f>
        <v>E1895-42</v>
      </c>
      <c r="B1353" t="str">
        <f t="shared" si="153"/>
        <v>VICO MACELLARI  7-</v>
      </c>
      <c r="C1353" t="str">
        <f t="shared" si="152"/>
        <v>GEA</v>
      </c>
      <c r="D1353">
        <v>80</v>
      </c>
      <c r="E1353" t="str">
        <f t="shared" si="150"/>
        <v>689</v>
      </c>
      <c r="F1353" t="str">
        <f>"92"</f>
        <v>92</v>
      </c>
    </row>
    <row r="1354" spans="1:6">
      <c r="A1354" t="str">
        <f>"E1895-43"</f>
        <v>E1895-43</v>
      </c>
      <c r="B1354" t="str">
        <f t="shared" si="153"/>
        <v>VICO MACELLARI  7-</v>
      </c>
      <c r="C1354" t="str">
        <f t="shared" si="152"/>
        <v>GEA</v>
      </c>
      <c r="D1354">
        <v>80</v>
      </c>
      <c r="E1354" t="str">
        <f t="shared" si="150"/>
        <v>689</v>
      </c>
      <c r="F1354" t="str">
        <f>"90"</f>
        <v>90</v>
      </c>
    </row>
    <row r="1355" spans="1:6">
      <c r="A1355" t="str">
        <f>"E1895-44"</f>
        <v>E1895-44</v>
      </c>
      <c r="B1355" t="str">
        <f t="shared" si="153"/>
        <v>VICO MACELLARI  7-</v>
      </c>
      <c r="C1355" t="str">
        <f t="shared" si="152"/>
        <v>GEA</v>
      </c>
      <c r="D1355">
        <v>80</v>
      </c>
      <c r="E1355" t="str">
        <f t="shared" si="150"/>
        <v>689</v>
      </c>
      <c r="F1355" t="str">
        <f>"91"</f>
        <v>91</v>
      </c>
    </row>
    <row r="1356" spans="1:6">
      <c r="A1356" t="str">
        <f>"E1895-45"</f>
        <v>E1895-45</v>
      </c>
      <c r="B1356" t="str">
        <f t="shared" si="153"/>
        <v>VICO MACELLARI  7-</v>
      </c>
      <c r="C1356" t="str">
        <f t="shared" si="152"/>
        <v>GEA</v>
      </c>
      <c r="D1356">
        <v>80</v>
      </c>
      <c r="E1356" t="str">
        <f t="shared" si="150"/>
        <v>689</v>
      </c>
      <c r="F1356" t="str">
        <f>"97"</f>
        <v>97</v>
      </c>
    </row>
    <row r="1357" spans="1:6">
      <c r="A1357" t="str">
        <f>"E1895-46"</f>
        <v>E1895-46</v>
      </c>
      <c r="B1357" t="str">
        <f t="shared" si="153"/>
        <v>VICO MACELLARI  7-</v>
      </c>
      <c r="C1357" t="str">
        <f t="shared" si="152"/>
        <v>GEA</v>
      </c>
      <c r="D1357">
        <v>80</v>
      </c>
      <c r="E1357" t="str">
        <f t="shared" si="150"/>
        <v>689</v>
      </c>
      <c r="F1357" t="str">
        <f>"98"</f>
        <v>98</v>
      </c>
    </row>
    <row r="1358" spans="1:6">
      <c r="A1358" t="str">
        <f>"E1895-47"</f>
        <v>E1895-47</v>
      </c>
      <c r="B1358" t="str">
        <f t="shared" si="153"/>
        <v>VICO MACELLARI  7-</v>
      </c>
      <c r="C1358" t="str">
        <f t="shared" si="152"/>
        <v>GEA</v>
      </c>
      <c r="D1358">
        <v>80</v>
      </c>
      <c r="E1358" t="str">
        <f t="shared" si="150"/>
        <v>689</v>
      </c>
      <c r="F1358" t="str">
        <f>"99"</f>
        <v>99</v>
      </c>
    </row>
    <row r="1359" spans="1:6">
      <c r="A1359" t="str">
        <f>"E1895-48"</f>
        <v>E1895-48</v>
      </c>
      <c r="B1359" t="str">
        <f t="shared" si="153"/>
        <v>VICO MACELLARI  7-</v>
      </c>
      <c r="C1359" t="str">
        <f t="shared" si="152"/>
        <v>GEA</v>
      </c>
      <c r="D1359">
        <v>80</v>
      </c>
      <c r="E1359" t="str">
        <f t="shared" ref="E1359:E1384" si="154">"689"</f>
        <v>689</v>
      </c>
      <c r="F1359" t="str">
        <f>"100"</f>
        <v>100</v>
      </c>
    </row>
    <row r="1360" spans="1:6">
      <c r="A1360" t="str">
        <f>"E1895-49"</f>
        <v>E1895-49</v>
      </c>
      <c r="B1360" t="str">
        <f t="shared" ref="B1360:B1369" si="155">"VICO MACELLARI VICINO AL 3-"</f>
        <v>VICO MACELLARI VICINO AL 3-</v>
      </c>
      <c r="C1360" t="str">
        <f t="shared" si="152"/>
        <v>GEA</v>
      </c>
      <c r="D1360">
        <v>80</v>
      </c>
      <c r="E1360" t="str">
        <f t="shared" si="154"/>
        <v>689</v>
      </c>
      <c r="F1360" t="str">
        <f>"53"</f>
        <v>53</v>
      </c>
    </row>
    <row r="1361" spans="1:6">
      <c r="A1361" t="str">
        <f>"E1895-50"</f>
        <v>E1895-50</v>
      </c>
      <c r="B1361" t="str">
        <f t="shared" si="155"/>
        <v>VICO MACELLARI VICINO AL 3-</v>
      </c>
      <c r="C1361" t="str">
        <f t="shared" si="152"/>
        <v>GEA</v>
      </c>
      <c r="D1361">
        <v>80</v>
      </c>
      <c r="E1361" t="str">
        <f t="shared" si="154"/>
        <v>689</v>
      </c>
      <c r="F1361" t="str">
        <f>"54"</f>
        <v>54</v>
      </c>
    </row>
    <row r="1362" spans="1:6">
      <c r="A1362" t="str">
        <f>"E1895-51"</f>
        <v>E1895-51</v>
      </c>
      <c r="B1362" t="str">
        <f t="shared" si="155"/>
        <v>VICO MACELLARI VICINO AL 3-</v>
      </c>
      <c r="C1362" t="str">
        <f t="shared" si="152"/>
        <v>GEA</v>
      </c>
      <c r="D1362">
        <v>80</v>
      </c>
      <c r="E1362" t="str">
        <f t="shared" si="154"/>
        <v>689</v>
      </c>
      <c r="F1362" t="str">
        <f>"56"</f>
        <v>56</v>
      </c>
    </row>
    <row r="1363" spans="1:6">
      <c r="A1363" t="str">
        <f>"E1895-52"</f>
        <v>E1895-52</v>
      </c>
      <c r="B1363" t="str">
        <f t="shared" si="155"/>
        <v>VICO MACELLARI VICINO AL 3-</v>
      </c>
      <c r="C1363" t="str">
        <f t="shared" ref="C1363:C1394" si="156">"GEA"</f>
        <v>GEA</v>
      </c>
      <c r="D1363">
        <v>80</v>
      </c>
      <c r="E1363" t="str">
        <f t="shared" si="154"/>
        <v>689</v>
      </c>
      <c r="F1363" t="str">
        <f>"57"</f>
        <v>57</v>
      </c>
    </row>
    <row r="1364" spans="1:6">
      <c r="A1364" t="str">
        <f>"E1895-53"</f>
        <v>E1895-53</v>
      </c>
      <c r="B1364" t="str">
        <f t="shared" si="155"/>
        <v>VICO MACELLARI VICINO AL 3-</v>
      </c>
      <c r="C1364" t="str">
        <f t="shared" si="156"/>
        <v>GEA</v>
      </c>
      <c r="D1364">
        <v>80</v>
      </c>
      <c r="E1364" t="str">
        <f t="shared" si="154"/>
        <v>689</v>
      </c>
      <c r="F1364" t="str">
        <f>"61"</f>
        <v>61</v>
      </c>
    </row>
    <row r="1365" spans="1:6">
      <c r="A1365" t="str">
        <f>"E1895-54"</f>
        <v>E1895-54</v>
      </c>
      <c r="B1365" t="str">
        <f t="shared" si="155"/>
        <v>VICO MACELLARI VICINO AL 3-</v>
      </c>
      <c r="C1365" t="str">
        <f t="shared" si="156"/>
        <v>GEA</v>
      </c>
      <c r="D1365">
        <v>80</v>
      </c>
      <c r="E1365" t="str">
        <f t="shared" si="154"/>
        <v>689</v>
      </c>
      <c r="F1365" t="str">
        <f>"62"</f>
        <v>62</v>
      </c>
    </row>
    <row r="1366" spans="1:6">
      <c r="A1366" t="str">
        <f>"E1895-55"</f>
        <v>E1895-55</v>
      </c>
      <c r="B1366" t="str">
        <f t="shared" si="155"/>
        <v>VICO MACELLARI VICINO AL 3-</v>
      </c>
      <c r="C1366" t="str">
        <f t="shared" si="156"/>
        <v>GEA</v>
      </c>
      <c r="D1366">
        <v>80</v>
      </c>
      <c r="E1366" t="str">
        <f t="shared" si="154"/>
        <v>689</v>
      </c>
      <c r="F1366" t="str">
        <f>"63"</f>
        <v>63</v>
      </c>
    </row>
    <row r="1367" spans="1:6">
      <c r="A1367" t="str">
        <f>"E1895-56"</f>
        <v>E1895-56</v>
      </c>
      <c r="B1367" t="str">
        <f t="shared" si="155"/>
        <v>VICO MACELLARI VICINO AL 3-</v>
      </c>
      <c r="C1367" t="str">
        <f t="shared" si="156"/>
        <v>GEA</v>
      </c>
      <c r="D1367">
        <v>80</v>
      </c>
      <c r="E1367" t="str">
        <f t="shared" si="154"/>
        <v>689</v>
      </c>
      <c r="F1367" t="str">
        <f>"65"</f>
        <v>65</v>
      </c>
    </row>
    <row r="1368" spans="1:6">
      <c r="A1368" t="str">
        <f>"E1895-57"</f>
        <v>E1895-57</v>
      </c>
      <c r="B1368" t="str">
        <f t="shared" si="155"/>
        <v>VICO MACELLARI VICINO AL 3-</v>
      </c>
      <c r="C1368" t="str">
        <f t="shared" si="156"/>
        <v>GEA</v>
      </c>
      <c r="D1368">
        <v>80</v>
      </c>
      <c r="E1368" t="str">
        <f t="shared" si="154"/>
        <v>689</v>
      </c>
      <c r="F1368" t="str">
        <f>"69"</f>
        <v>69</v>
      </c>
    </row>
    <row r="1369" spans="1:6">
      <c r="A1369" t="str">
        <f>"E1895-58"</f>
        <v>E1895-58</v>
      </c>
      <c r="B1369" t="str">
        <f t="shared" si="155"/>
        <v>VICO MACELLARI VICINO AL 3-</v>
      </c>
      <c r="C1369" t="str">
        <f t="shared" si="156"/>
        <v>GEA</v>
      </c>
      <c r="D1369">
        <v>80</v>
      </c>
      <c r="E1369" t="str">
        <f t="shared" si="154"/>
        <v>689</v>
      </c>
      <c r="F1369" t="str">
        <f>"70"</f>
        <v>70</v>
      </c>
    </row>
    <row r="1370" spans="1:6">
      <c r="A1370" t="str">
        <f>"E1895-59"</f>
        <v>E1895-59</v>
      </c>
      <c r="B1370" t="str">
        <f t="shared" ref="B1370:B1383" si="157">"VICO MACELLARI VICINO AL 7-"</f>
        <v>VICO MACELLARI VICINO AL 7-</v>
      </c>
      <c r="C1370" t="str">
        <f t="shared" si="156"/>
        <v>GEA</v>
      </c>
      <c r="D1370">
        <v>80</v>
      </c>
      <c r="E1370" t="str">
        <f t="shared" si="154"/>
        <v>689</v>
      </c>
      <c r="F1370" t="str">
        <f>"55"</f>
        <v>55</v>
      </c>
    </row>
    <row r="1371" spans="1:6">
      <c r="A1371" t="str">
        <f>"E1895-60"</f>
        <v>E1895-60</v>
      </c>
      <c r="B1371" t="str">
        <f t="shared" si="157"/>
        <v>VICO MACELLARI VICINO AL 7-</v>
      </c>
      <c r="C1371" t="str">
        <f t="shared" si="156"/>
        <v>GEA</v>
      </c>
      <c r="D1371">
        <v>80</v>
      </c>
      <c r="E1371" t="str">
        <f t="shared" si="154"/>
        <v>689</v>
      </c>
      <c r="F1371" t="str">
        <f>"60"</f>
        <v>60</v>
      </c>
    </row>
    <row r="1372" spans="1:6">
      <c r="A1372" t="str">
        <f>"E1895-61"</f>
        <v>E1895-61</v>
      </c>
      <c r="B1372" t="str">
        <f t="shared" si="157"/>
        <v>VICO MACELLARI VICINO AL 7-</v>
      </c>
      <c r="C1372" t="str">
        <f t="shared" si="156"/>
        <v>GEA</v>
      </c>
      <c r="D1372">
        <v>80</v>
      </c>
      <c r="E1372" t="str">
        <f t="shared" si="154"/>
        <v>689</v>
      </c>
      <c r="F1372" t="str">
        <f>"58"</f>
        <v>58</v>
      </c>
    </row>
    <row r="1373" spans="1:6">
      <c r="A1373" t="str">
        <f>"E1895-62"</f>
        <v>E1895-62</v>
      </c>
      <c r="B1373" t="str">
        <f t="shared" si="157"/>
        <v>VICO MACELLARI VICINO AL 7-</v>
      </c>
      <c r="C1373" t="str">
        <f t="shared" si="156"/>
        <v>GEA</v>
      </c>
      <c r="D1373">
        <v>80</v>
      </c>
      <c r="E1373" t="str">
        <f t="shared" si="154"/>
        <v>689</v>
      </c>
      <c r="F1373" t="str">
        <f>"59"</f>
        <v>59</v>
      </c>
    </row>
    <row r="1374" spans="1:6">
      <c r="A1374" t="str">
        <f>"E1895-63"</f>
        <v>E1895-63</v>
      </c>
      <c r="B1374" t="str">
        <f t="shared" si="157"/>
        <v>VICO MACELLARI VICINO AL 7-</v>
      </c>
      <c r="C1374" t="str">
        <f t="shared" si="156"/>
        <v>GEA</v>
      </c>
      <c r="D1374">
        <v>80</v>
      </c>
      <c r="E1374" t="str">
        <f t="shared" si="154"/>
        <v>689</v>
      </c>
      <c r="F1374" t="str">
        <f>"68"</f>
        <v>68</v>
      </c>
    </row>
    <row r="1375" spans="1:6">
      <c r="A1375" t="str">
        <f>"E1895-64"</f>
        <v>E1895-64</v>
      </c>
      <c r="B1375" t="str">
        <f t="shared" si="157"/>
        <v>VICO MACELLARI VICINO AL 7-</v>
      </c>
      <c r="C1375" t="str">
        <f t="shared" si="156"/>
        <v>GEA</v>
      </c>
      <c r="D1375">
        <v>80</v>
      </c>
      <c r="E1375" t="str">
        <f t="shared" si="154"/>
        <v>689</v>
      </c>
      <c r="F1375" t="str">
        <f>"66"</f>
        <v>66</v>
      </c>
    </row>
    <row r="1376" spans="1:6">
      <c r="A1376" t="str">
        <f>"E1895-65"</f>
        <v>E1895-65</v>
      </c>
      <c r="B1376" t="str">
        <f t="shared" si="157"/>
        <v>VICO MACELLARI VICINO AL 7-</v>
      </c>
      <c r="C1376" t="str">
        <f t="shared" si="156"/>
        <v>GEA</v>
      </c>
      <c r="D1376">
        <v>80</v>
      </c>
      <c r="E1376" t="str">
        <f t="shared" si="154"/>
        <v>689</v>
      </c>
      <c r="F1376" t="str">
        <f>"64"</f>
        <v>64</v>
      </c>
    </row>
    <row r="1377" spans="1:6">
      <c r="A1377" t="str">
        <f>"E1895-66"</f>
        <v>E1895-66</v>
      </c>
      <c r="B1377" t="str">
        <f t="shared" si="157"/>
        <v>VICO MACELLARI VICINO AL 7-</v>
      </c>
      <c r="C1377" t="str">
        <f t="shared" si="156"/>
        <v>GEA</v>
      </c>
      <c r="D1377">
        <v>80</v>
      </c>
      <c r="E1377" t="str">
        <f t="shared" si="154"/>
        <v>689</v>
      </c>
      <c r="F1377" t="str">
        <f>"71"</f>
        <v>71</v>
      </c>
    </row>
    <row r="1378" spans="1:6">
      <c r="A1378" t="str">
        <f>"E1895-67"</f>
        <v>E1895-67</v>
      </c>
      <c r="B1378" t="str">
        <f t="shared" si="157"/>
        <v>VICO MACELLARI VICINO AL 7-</v>
      </c>
      <c r="C1378" t="str">
        <f t="shared" si="156"/>
        <v>GEA</v>
      </c>
      <c r="D1378">
        <v>80</v>
      </c>
      <c r="E1378" t="str">
        <f t="shared" si="154"/>
        <v>689</v>
      </c>
      <c r="F1378" t="str">
        <f>"72"</f>
        <v>72</v>
      </c>
    </row>
    <row r="1379" spans="1:6">
      <c r="A1379" t="str">
        <f>"E1895-68"</f>
        <v>E1895-68</v>
      </c>
      <c r="B1379" t="str">
        <f t="shared" si="157"/>
        <v>VICO MACELLARI VICINO AL 7-</v>
      </c>
      <c r="C1379" t="str">
        <f t="shared" si="156"/>
        <v>GEA</v>
      </c>
      <c r="D1379">
        <v>80</v>
      </c>
      <c r="E1379" t="str">
        <f t="shared" si="154"/>
        <v>689</v>
      </c>
      <c r="F1379" t="str">
        <f>"67"</f>
        <v>67</v>
      </c>
    </row>
    <row r="1380" spans="1:6">
      <c r="A1380" t="str">
        <f>"E1895-69"</f>
        <v>E1895-69</v>
      </c>
      <c r="B1380" t="str">
        <f t="shared" si="157"/>
        <v>VICO MACELLARI VICINO AL 7-</v>
      </c>
      <c r="C1380" t="str">
        <f t="shared" si="156"/>
        <v>GEA</v>
      </c>
      <c r="D1380">
        <v>80</v>
      </c>
      <c r="E1380" t="str">
        <f t="shared" si="154"/>
        <v>689</v>
      </c>
      <c r="F1380" t="str">
        <f>"73"</f>
        <v>73</v>
      </c>
    </row>
    <row r="1381" spans="1:6">
      <c r="A1381" t="str">
        <f>"E1895-70"</f>
        <v>E1895-70</v>
      </c>
      <c r="B1381" t="str">
        <f t="shared" si="157"/>
        <v>VICO MACELLARI VICINO AL 7-</v>
      </c>
      <c r="C1381" t="str">
        <f t="shared" si="156"/>
        <v>GEA</v>
      </c>
      <c r="D1381">
        <v>80</v>
      </c>
      <c r="E1381" t="str">
        <f t="shared" si="154"/>
        <v>689</v>
      </c>
      <c r="F1381" t="str">
        <f>"74"</f>
        <v>74</v>
      </c>
    </row>
    <row r="1382" spans="1:6">
      <c r="A1382" t="str">
        <f>"E1895-71"</f>
        <v>E1895-71</v>
      </c>
      <c r="B1382" t="str">
        <f t="shared" si="157"/>
        <v>VICO MACELLARI VICINO AL 7-</v>
      </c>
      <c r="C1382" t="str">
        <f t="shared" si="156"/>
        <v>GEA</v>
      </c>
      <c r="D1382">
        <v>80</v>
      </c>
      <c r="E1382" t="str">
        <f t="shared" si="154"/>
        <v>689</v>
      </c>
      <c r="F1382" t="str">
        <f>"75"</f>
        <v>75</v>
      </c>
    </row>
    <row r="1383" spans="1:6">
      <c r="A1383" t="str">
        <f>"E1895-72"</f>
        <v>E1895-72</v>
      </c>
      <c r="B1383" t="str">
        <f t="shared" si="157"/>
        <v>VICO MACELLARI VICINO AL 7-</v>
      </c>
      <c r="C1383" t="str">
        <f t="shared" si="156"/>
        <v>GEA</v>
      </c>
      <c r="D1383">
        <v>80</v>
      </c>
      <c r="E1383" t="str">
        <f t="shared" si="154"/>
        <v>689</v>
      </c>
      <c r="F1383" t="str">
        <f>"76"</f>
        <v>76</v>
      </c>
    </row>
    <row r="1384" spans="1:6">
      <c r="A1384" t="str">
        <f>"E1895-73"</f>
        <v>E1895-73</v>
      </c>
      <c r="B1384" t="str">
        <f>"PIAZZA TRUOGOLI S BRIGIDA  33-"</f>
        <v>PIAZZA TRUOGOLI S BRIGIDA  33-</v>
      </c>
      <c r="C1384" t="str">
        <f t="shared" si="156"/>
        <v>GEA</v>
      </c>
      <c r="D1384">
        <v>80</v>
      </c>
      <c r="E1384" t="str">
        <f t="shared" si="154"/>
        <v>689</v>
      </c>
      <c r="F1384" t="str">
        <f>"6"</f>
        <v>6</v>
      </c>
    </row>
    <row r="1385" spans="1:6">
      <c r="A1385" t="str">
        <f>"E1896-1"</f>
        <v>E1896-1</v>
      </c>
      <c r="B1385" t="str">
        <f>"VIA DI PRE  121R-"</f>
        <v>VIA DI PRE  121R-</v>
      </c>
      <c r="C1385" t="str">
        <f t="shared" si="156"/>
        <v>GEA</v>
      </c>
      <c r="D1385">
        <v>80</v>
      </c>
      <c r="E1385" t="str">
        <f t="shared" ref="E1385:E1401" si="158">"704"</f>
        <v>704</v>
      </c>
      <c r="F1385" t="str">
        <f>"2"</f>
        <v>2</v>
      </c>
    </row>
    <row r="1386" spans="1:6">
      <c r="A1386" t="str">
        <f>"E1896-2"</f>
        <v>E1896-2</v>
      </c>
      <c r="B1386" t="str">
        <f>"VIA DI PRE  125R-"</f>
        <v>VIA DI PRE  125R-</v>
      </c>
      <c r="C1386" t="str">
        <f t="shared" si="156"/>
        <v>GEA</v>
      </c>
      <c r="D1386">
        <v>80</v>
      </c>
      <c r="E1386" t="str">
        <f t="shared" si="158"/>
        <v>704</v>
      </c>
      <c r="F1386" t="str">
        <f>"20"</f>
        <v>20</v>
      </c>
    </row>
    <row r="1387" spans="1:6">
      <c r="A1387" t="str">
        <f>"E1896-3"</f>
        <v>E1896-3</v>
      </c>
      <c r="B1387" t="str">
        <f t="shared" ref="B1387:B1394" si="159">"VIA DI PRE  35-"</f>
        <v>VIA DI PRE  35-</v>
      </c>
      <c r="C1387" t="str">
        <f t="shared" si="156"/>
        <v>GEA</v>
      </c>
      <c r="D1387">
        <v>80</v>
      </c>
      <c r="E1387" t="str">
        <f t="shared" si="158"/>
        <v>704</v>
      </c>
      <c r="F1387" t="str">
        <f>"4"</f>
        <v>4</v>
      </c>
    </row>
    <row r="1388" spans="1:6">
      <c r="A1388" t="str">
        <f>"E1896-4"</f>
        <v>E1896-4</v>
      </c>
      <c r="B1388" t="str">
        <f t="shared" si="159"/>
        <v>VIA DI PRE  35-</v>
      </c>
      <c r="C1388" t="str">
        <f t="shared" si="156"/>
        <v>GEA</v>
      </c>
      <c r="D1388">
        <v>80</v>
      </c>
      <c r="E1388" t="str">
        <f t="shared" si="158"/>
        <v>704</v>
      </c>
      <c r="F1388" t="str">
        <f>"5"</f>
        <v>5</v>
      </c>
    </row>
    <row r="1389" spans="1:6">
      <c r="A1389" t="str">
        <f>"E1896-5"</f>
        <v>E1896-5</v>
      </c>
      <c r="B1389" t="str">
        <f t="shared" si="159"/>
        <v>VIA DI PRE  35-</v>
      </c>
      <c r="C1389" t="str">
        <f t="shared" si="156"/>
        <v>GEA</v>
      </c>
      <c r="D1389">
        <v>80</v>
      </c>
      <c r="E1389" t="str">
        <f t="shared" si="158"/>
        <v>704</v>
      </c>
      <c r="F1389" t="str">
        <f>"7"</f>
        <v>7</v>
      </c>
    </row>
    <row r="1390" spans="1:6">
      <c r="A1390" t="str">
        <f>"E1896-6"</f>
        <v>E1896-6</v>
      </c>
      <c r="B1390" t="str">
        <f t="shared" si="159"/>
        <v>VIA DI PRE  35-</v>
      </c>
      <c r="C1390" t="str">
        <f t="shared" si="156"/>
        <v>GEA</v>
      </c>
      <c r="D1390">
        <v>80</v>
      </c>
      <c r="E1390" t="str">
        <f t="shared" si="158"/>
        <v>704</v>
      </c>
      <c r="F1390" t="str">
        <f>"8"</f>
        <v>8</v>
      </c>
    </row>
    <row r="1391" spans="1:6">
      <c r="A1391" t="str">
        <f>"E1896-7"</f>
        <v>E1896-7</v>
      </c>
      <c r="B1391" t="str">
        <f t="shared" si="159"/>
        <v>VIA DI PRE  35-</v>
      </c>
      <c r="C1391" t="str">
        <f t="shared" si="156"/>
        <v>GEA</v>
      </c>
      <c r="D1391">
        <v>80</v>
      </c>
      <c r="E1391" t="str">
        <f t="shared" si="158"/>
        <v>704</v>
      </c>
      <c r="F1391" t="str">
        <f>"10"</f>
        <v>10</v>
      </c>
    </row>
    <row r="1392" spans="1:6">
      <c r="A1392" t="str">
        <f>"E1896-8"</f>
        <v>E1896-8</v>
      </c>
      <c r="B1392" t="str">
        <f t="shared" si="159"/>
        <v>VIA DI PRE  35-</v>
      </c>
      <c r="C1392" t="str">
        <f t="shared" si="156"/>
        <v>GEA</v>
      </c>
      <c r="D1392">
        <v>80</v>
      </c>
      <c r="E1392" t="str">
        <f t="shared" si="158"/>
        <v>704</v>
      </c>
      <c r="F1392" t="str">
        <f>"11"</f>
        <v>11</v>
      </c>
    </row>
    <row r="1393" spans="1:6">
      <c r="A1393" t="str">
        <f>"E1896-9"</f>
        <v>E1896-9</v>
      </c>
      <c r="B1393" t="str">
        <f t="shared" si="159"/>
        <v>VIA DI PRE  35-</v>
      </c>
      <c r="C1393" t="str">
        <f t="shared" si="156"/>
        <v>GEA</v>
      </c>
      <c r="D1393">
        <v>80</v>
      </c>
      <c r="E1393" t="str">
        <f t="shared" si="158"/>
        <v>704</v>
      </c>
      <c r="F1393" t="str">
        <f>"13"</f>
        <v>13</v>
      </c>
    </row>
    <row r="1394" spans="1:6">
      <c r="A1394" t="str">
        <f>"E1896-10"</f>
        <v>E1896-10</v>
      </c>
      <c r="B1394" t="str">
        <f t="shared" si="159"/>
        <v>VIA DI PRE  35-</v>
      </c>
      <c r="C1394" t="str">
        <f t="shared" si="156"/>
        <v>GEA</v>
      </c>
      <c r="D1394">
        <v>80</v>
      </c>
      <c r="E1394" t="str">
        <f t="shared" si="158"/>
        <v>704</v>
      </c>
      <c r="F1394" t="str">
        <f>"14"</f>
        <v>14</v>
      </c>
    </row>
    <row r="1395" spans="1:6">
      <c r="A1395" t="str">
        <f>"E1896-11"</f>
        <v>E1896-11</v>
      </c>
      <c r="B1395" t="str">
        <f t="shared" ref="B1395:B1400" si="160">"VICO DURAZZO  2A-"</f>
        <v>VICO DURAZZO  2A-</v>
      </c>
      <c r="C1395" t="str">
        <f t="shared" ref="C1395:C1423" si="161">"GEA"</f>
        <v>GEA</v>
      </c>
      <c r="D1395">
        <v>80</v>
      </c>
      <c r="E1395" t="str">
        <f t="shared" si="158"/>
        <v>704</v>
      </c>
      <c r="F1395" t="str">
        <f>"6"</f>
        <v>6</v>
      </c>
    </row>
    <row r="1396" spans="1:6">
      <c r="A1396" t="str">
        <f>"E1896-12"</f>
        <v>E1896-12</v>
      </c>
      <c r="B1396" t="str">
        <f t="shared" si="160"/>
        <v>VICO DURAZZO  2A-</v>
      </c>
      <c r="C1396" t="str">
        <f t="shared" si="161"/>
        <v>GEA</v>
      </c>
      <c r="D1396">
        <v>80</v>
      </c>
      <c r="E1396" t="str">
        <f t="shared" si="158"/>
        <v>704</v>
      </c>
      <c r="F1396" t="str">
        <f>"9"</f>
        <v>9</v>
      </c>
    </row>
    <row r="1397" spans="1:6">
      <c r="A1397" t="str">
        <f>"E1896-13"</f>
        <v>E1896-13</v>
      </c>
      <c r="B1397" t="str">
        <f t="shared" si="160"/>
        <v>VICO DURAZZO  2A-</v>
      </c>
      <c r="C1397" t="str">
        <f t="shared" si="161"/>
        <v>GEA</v>
      </c>
      <c r="D1397">
        <v>80</v>
      </c>
      <c r="E1397" t="str">
        <f t="shared" si="158"/>
        <v>704</v>
      </c>
      <c r="F1397" t="str">
        <f>"12"</f>
        <v>12</v>
      </c>
    </row>
    <row r="1398" spans="1:6">
      <c r="A1398" t="str">
        <f>"E1896-14"</f>
        <v>E1896-14</v>
      </c>
      <c r="B1398" t="str">
        <f t="shared" si="160"/>
        <v>VICO DURAZZO  2A-</v>
      </c>
      <c r="C1398" t="str">
        <f t="shared" si="161"/>
        <v>GEA</v>
      </c>
      <c r="D1398">
        <v>80</v>
      </c>
      <c r="E1398" t="str">
        <f t="shared" si="158"/>
        <v>704</v>
      </c>
      <c r="F1398" t="str">
        <f>"15"</f>
        <v>15</v>
      </c>
    </row>
    <row r="1399" spans="1:6">
      <c r="A1399" t="str">
        <f>"E1896-15"</f>
        <v>E1896-15</v>
      </c>
      <c r="B1399" t="str">
        <f t="shared" si="160"/>
        <v>VICO DURAZZO  2A-</v>
      </c>
      <c r="C1399" t="str">
        <f t="shared" si="161"/>
        <v>GEA</v>
      </c>
      <c r="D1399">
        <v>80</v>
      </c>
      <c r="E1399" t="str">
        <f t="shared" si="158"/>
        <v>704</v>
      </c>
      <c r="F1399" t="str">
        <f>"18"</f>
        <v>18</v>
      </c>
    </row>
    <row r="1400" spans="1:6">
      <c r="A1400" t="str">
        <f>"E1896-16"</f>
        <v>E1896-16</v>
      </c>
      <c r="B1400" t="str">
        <f t="shared" si="160"/>
        <v>VICO DURAZZO  2A-</v>
      </c>
      <c r="C1400" t="str">
        <f t="shared" si="161"/>
        <v>GEA</v>
      </c>
      <c r="D1400">
        <v>80</v>
      </c>
      <c r="E1400" t="str">
        <f t="shared" si="158"/>
        <v>704</v>
      </c>
      <c r="F1400" t="str">
        <f>"19"</f>
        <v>19</v>
      </c>
    </row>
    <row r="1401" spans="1:6">
      <c r="A1401" t="str">
        <f>"E1896-17"</f>
        <v>E1896-17</v>
      </c>
      <c r="B1401" t="str">
        <f>"VIA DI PRE  35-"</f>
        <v>VIA DI PRE  35-</v>
      </c>
      <c r="C1401" t="str">
        <f t="shared" si="161"/>
        <v>GEA</v>
      </c>
      <c r="D1401">
        <v>80</v>
      </c>
      <c r="E1401" t="str">
        <f t="shared" si="158"/>
        <v>704</v>
      </c>
      <c r="F1401" t="str">
        <f>"1"</f>
        <v>1</v>
      </c>
    </row>
    <row r="1402" spans="1:6">
      <c r="A1402" t="str">
        <f>"E1897-1"</f>
        <v>E1897-1</v>
      </c>
      <c r="B1402" t="str">
        <f>"VIA DI PRE  113R-"</f>
        <v>VIA DI PRE  113R-</v>
      </c>
      <c r="C1402" t="str">
        <f t="shared" si="161"/>
        <v>GEA</v>
      </c>
      <c r="D1402">
        <v>80</v>
      </c>
      <c r="E1402" t="str">
        <f t="shared" ref="E1402:E1416" si="162">"705"</f>
        <v>705</v>
      </c>
      <c r="F1402" t="str">
        <f>"2"</f>
        <v>2</v>
      </c>
    </row>
    <row r="1403" spans="1:6">
      <c r="A1403" t="str">
        <f>"E1897-2"</f>
        <v>E1897-2</v>
      </c>
      <c r="B1403" t="str">
        <f>"VIA DI PRE  119R-"</f>
        <v>VIA DI PRE  119R-</v>
      </c>
      <c r="C1403" t="str">
        <f t="shared" si="161"/>
        <v>GEA</v>
      </c>
      <c r="D1403">
        <v>80</v>
      </c>
      <c r="E1403" t="str">
        <f t="shared" si="162"/>
        <v>705</v>
      </c>
      <c r="F1403" t="str">
        <f>"16"</f>
        <v>16</v>
      </c>
    </row>
    <row r="1404" spans="1:6">
      <c r="A1404" t="str">
        <f>"E1897-3"</f>
        <v>E1897-3</v>
      </c>
      <c r="B1404" t="str">
        <f t="shared" ref="B1404:B1412" si="163">"PIAZZETTA DEI TINTORI  3-"</f>
        <v>PIAZZETTA DEI TINTORI  3-</v>
      </c>
      <c r="C1404" t="str">
        <f t="shared" si="161"/>
        <v>GEA</v>
      </c>
      <c r="D1404">
        <v>80</v>
      </c>
      <c r="E1404" t="str">
        <f t="shared" si="162"/>
        <v>705</v>
      </c>
      <c r="F1404" t="str">
        <f>"4"</f>
        <v>4</v>
      </c>
    </row>
    <row r="1405" spans="1:6">
      <c r="A1405" t="str">
        <f>"E1897-4"</f>
        <v>E1897-4</v>
      </c>
      <c r="B1405" t="str">
        <f t="shared" si="163"/>
        <v>PIAZZETTA DEI TINTORI  3-</v>
      </c>
      <c r="C1405" t="str">
        <f t="shared" si="161"/>
        <v>GEA</v>
      </c>
      <c r="D1405">
        <v>80</v>
      </c>
      <c r="E1405" t="str">
        <f t="shared" si="162"/>
        <v>705</v>
      </c>
      <c r="F1405" t="str">
        <f>"5"</f>
        <v>5</v>
      </c>
    </row>
    <row r="1406" spans="1:6">
      <c r="A1406" t="str">
        <f>"E1897-5"</f>
        <v>E1897-5</v>
      </c>
      <c r="B1406" t="str">
        <f t="shared" si="163"/>
        <v>PIAZZETTA DEI TINTORI  3-</v>
      </c>
      <c r="C1406" t="str">
        <f t="shared" si="161"/>
        <v>GEA</v>
      </c>
      <c r="D1406">
        <v>80</v>
      </c>
      <c r="E1406" t="str">
        <f t="shared" si="162"/>
        <v>705</v>
      </c>
      <c r="F1406" t="str">
        <f>"7"</f>
        <v>7</v>
      </c>
    </row>
    <row r="1407" spans="1:6">
      <c r="A1407" t="str">
        <f>"E1897-6"</f>
        <v>E1897-6</v>
      </c>
      <c r="B1407" t="str">
        <f t="shared" si="163"/>
        <v>PIAZZETTA DEI TINTORI  3-</v>
      </c>
      <c r="C1407" t="str">
        <f t="shared" si="161"/>
        <v>GEA</v>
      </c>
      <c r="D1407">
        <v>80</v>
      </c>
      <c r="E1407" t="str">
        <f t="shared" si="162"/>
        <v>705</v>
      </c>
      <c r="F1407" t="str">
        <f>"6"</f>
        <v>6</v>
      </c>
    </row>
    <row r="1408" spans="1:6">
      <c r="A1408" t="str">
        <f>"E1897-7"</f>
        <v>E1897-7</v>
      </c>
      <c r="B1408" t="str">
        <f t="shared" si="163"/>
        <v>PIAZZETTA DEI TINTORI  3-</v>
      </c>
      <c r="C1408" t="str">
        <f t="shared" si="161"/>
        <v>GEA</v>
      </c>
      <c r="D1408">
        <v>80</v>
      </c>
      <c r="E1408" t="str">
        <f t="shared" si="162"/>
        <v>705</v>
      </c>
      <c r="F1408" t="str">
        <f>"12"</f>
        <v>12</v>
      </c>
    </row>
    <row r="1409" spans="1:6">
      <c r="A1409" t="str">
        <f>"E1897-8"</f>
        <v>E1897-8</v>
      </c>
      <c r="B1409" t="str">
        <f t="shared" si="163"/>
        <v>PIAZZETTA DEI TINTORI  3-</v>
      </c>
      <c r="C1409" t="str">
        <f t="shared" si="161"/>
        <v>GEA</v>
      </c>
      <c r="D1409">
        <v>80</v>
      </c>
      <c r="E1409" t="str">
        <f t="shared" si="162"/>
        <v>705</v>
      </c>
      <c r="F1409" t="str">
        <f>"11"</f>
        <v>11</v>
      </c>
    </row>
    <row r="1410" spans="1:6">
      <c r="A1410" t="str">
        <f>"E1897-9"</f>
        <v>E1897-9</v>
      </c>
      <c r="B1410" t="str">
        <f t="shared" si="163"/>
        <v>PIAZZETTA DEI TINTORI  3-</v>
      </c>
      <c r="C1410" t="str">
        <f t="shared" si="161"/>
        <v>GEA</v>
      </c>
      <c r="D1410">
        <v>80</v>
      </c>
      <c r="E1410" t="str">
        <f t="shared" si="162"/>
        <v>705</v>
      </c>
      <c r="F1410" t="str">
        <f>"14"</f>
        <v>14</v>
      </c>
    </row>
    <row r="1411" spans="1:6">
      <c r="A1411" t="str">
        <f>"E1897-10"</f>
        <v>E1897-10</v>
      </c>
      <c r="B1411" t="str">
        <f t="shared" si="163"/>
        <v>PIAZZETTA DEI TINTORI  3-</v>
      </c>
      <c r="C1411" t="str">
        <f t="shared" si="161"/>
        <v>GEA</v>
      </c>
      <c r="D1411">
        <v>80</v>
      </c>
      <c r="E1411" t="str">
        <f t="shared" si="162"/>
        <v>705</v>
      </c>
      <c r="F1411" t="str">
        <f>"13"</f>
        <v>13</v>
      </c>
    </row>
    <row r="1412" spans="1:6">
      <c r="A1412" t="str">
        <f>"E1897-11"</f>
        <v>E1897-11</v>
      </c>
      <c r="B1412" t="str">
        <f t="shared" si="163"/>
        <v>PIAZZETTA DEI TINTORI  3-</v>
      </c>
      <c r="C1412" t="str">
        <f t="shared" si="161"/>
        <v>GEA</v>
      </c>
      <c r="D1412">
        <v>80</v>
      </c>
      <c r="E1412" t="str">
        <f t="shared" si="162"/>
        <v>705</v>
      </c>
      <c r="F1412" t="str">
        <f>"15"</f>
        <v>15</v>
      </c>
    </row>
    <row r="1413" spans="1:6">
      <c r="A1413" t="str">
        <f>"E1897-12"</f>
        <v>E1897-12</v>
      </c>
      <c r="B1413" t="str">
        <f>"VICO DURAZZO  3-"</f>
        <v>VICO DURAZZO  3-</v>
      </c>
      <c r="C1413" t="str">
        <f t="shared" si="161"/>
        <v>GEA</v>
      </c>
      <c r="D1413">
        <v>80</v>
      </c>
      <c r="E1413" t="str">
        <f t="shared" si="162"/>
        <v>705</v>
      </c>
      <c r="F1413" t="str">
        <f>"8"</f>
        <v>8</v>
      </c>
    </row>
    <row r="1414" spans="1:6">
      <c r="A1414" t="str">
        <f>"E1897-13"</f>
        <v>E1897-13</v>
      </c>
      <c r="B1414" t="str">
        <f>"VICO DURAZZO  3-"</f>
        <v>VICO DURAZZO  3-</v>
      </c>
      <c r="C1414" t="str">
        <f t="shared" si="161"/>
        <v>GEA</v>
      </c>
      <c r="D1414">
        <v>80</v>
      </c>
      <c r="E1414" t="str">
        <f t="shared" si="162"/>
        <v>705</v>
      </c>
      <c r="F1414" t="str">
        <f>"9"</f>
        <v>9</v>
      </c>
    </row>
    <row r="1415" spans="1:6">
      <c r="A1415" t="str">
        <f>"E1897-14"</f>
        <v>E1897-14</v>
      </c>
      <c r="B1415" t="str">
        <f>"VICO DURAZZO  3-"</f>
        <v>VICO DURAZZO  3-</v>
      </c>
      <c r="C1415" t="str">
        <f t="shared" si="161"/>
        <v>GEA</v>
      </c>
      <c r="D1415">
        <v>80</v>
      </c>
      <c r="E1415" t="str">
        <f t="shared" si="162"/>
        <v>705</v>
      </c>
      <c r="F1415" t="str">
        <f>"10"</f>
        <v>10</v>
      </c>
    </row>
    <row r="1416" spans="1:6">
      <c r="A1416" t="str">
        <f>"E1897-15"</f>
        <v>E1897-15</v>
      </c>
      <c r="B1416" t="str">
        <f>"PIAZZETTA DEI TINTORI  3-"</f>
        <v>PIAZZETTA DEI TINTORI  3-</v>
      </c>
      <c r="C1416" t="str">
        <f t="shared" si="161"/>
        <v>GEA</v>
      </c>
      <c r="D1416">
        <v>80</v>
      </c>
      <c r="E1416" t="str">
        <f t="shared" si="162"/>
        <v>705</v>
      </c>
      <c r="F1416" t="str">
        <f>"1"</f>
        <v>1</v>
      </c>
    </row>
    <row r="1417" spans="1:6">
      <c r="A1417" t="str">
        <f>"E1898-1"</f>
        <v>E1898-1</v>
      </c>
      <c r="B1417" t="str">
        <f>"VICO DURAZZO  7R-"</f>
        <v>VICO DURAZZO  7R-</v>
      </c>
      <c r="C1417" t="str">
        <f t="shared" si="161"/>
        <v>GEA</v>
      </c>
      <c r="D1417">
        <v>80</v>
      </c>
      <c r="E1417" t="str">
        <f t="shared" ref="E1417:E1423" si="164">"707"</f>
        <v>707</v>
      </c>
      <c r="F1417" t="str">
        <f>"2"</f>
        <v>2</v>
      </c>
    </row>
    <row r="1418" spans="1:6">
      <c r="A1418" t="str">
        <f>"E1898-2"</f>
        <v>E1898-2</v>
      </c>
      <c r="B1418" t="str">
        <f t="shared" ref="B1418:B1423" si="165">"VICO DURAZZO  5-"</f>
        <v>VICO DURAZZO  5-</v>
      </c>
      <c r="C1418" t="str">
        <f t="shared" si="161"/>
        <v>GEA</v>
      </c>
      <c r="D1418">
        <v>80</v>
      </c>
      <c r="E1418" t="str">
        <f t="shared" si="164"/>
        <v>707</v>
      </c>
      <c r="F1418" t="str">
        <f>"3"</f>
        <v>3</v>
      </c>
    </row>
    <row r="1419" spans="1:6">
      <c r="A1419" t="str">
        <f>"E1898-3"</f>
        <v>E1898-3</v>
      </c>
      <c r="B1419" t="str">
        <f t="shared" si="165"/>
        <v>VICO DURAZZO  5-</v>
      </c>
      <c r="C1419" t="str">
        <f t="shared" si="161"/>
        <v>GEA</v>
      </c>
      <c r="D1419">
        <v>80</v>
      </c>
      <c r="E1419" t="str">
        <f t="shared" si="164"/>
        <v>707</v>
      </c>
      <c r="F1419" t="str">
        <f>"4"</f>
        <v>4</v>
      </c>
    </row>
    <row r="1420" spans="1:6">
      <c r="A1420" t="str">
        <f>"E1898-4"</f>
        <v>E1898-4</v>
      </c>
      <c r="B1420" t="str">
        <f t="shared" si="165"/>
        <v>VICO DURAZZO  5-</v>
      </c>
      <c r="C1420" t="str">
        <f t="shared" si="161"/>
        <v>GEA</v>
      </c>
      <c r="D1420">
        <v>80</v>
      </c>
      <c r="E1420" t="str">
        <f t="shared" si="164"/>
        <v>707</v>
      </c>
      <c r="F1420" t="str">
        <f>"5"</f>
        <v>5</v>
      </c>
    </row>
    <row r="1421" spans="1:6">
      <c r="A1421" t="str">
        <f>"E1898-5"</f>
        <v>E1898-5</v>
      </c>
      <c r="B1421" t="str">
        <f t="shared" si="165"/>
        <v>VICO DURAZZO  5-</v>
      </c>
      <c r="C1421" t="str">
        <f t="shared" si="161"/>
        <v>GEA</v>
      </c>
      <c r="D1421">
        <v>80</v>
      </c>
      <c r="E1421" t="str">
        <f t="shared" si="164"/>
        <v>707</v>
      </c>
      <c r="F1421" t="str">
        <f>"6"</f>
        <v>6</v>
      </c>
    </row>
    <row r="1422" spans="1:6">
      <c r="A1422" t="str">
        <f>"E1898-6"</f>
        <v>E1898-6</v>
      </c>
      <c r="B1422" t="str">
        <f t="shared" si="165"/>
        <v>VICO DURAZZO  5-</v>
      </c>
      <c r="C1422" t="str">
        <f t="shared" si="161"/>
        <v>GEA</v>
      </c>
      <c r="D1422">
        <v>80</v>
      </c>
      <c r="E1422" t="str">
        <f t="shared" si="164"/>
        <v>707</v>
      </c>
      <c r="F1422" t="str">
        <f>"7"</f>
        <v>7</v>
      </c>
    </row>
    <row r="1423" spans="1:6">
      <c r="A1423" t="str">
        <f>"E1898-7"</f>
        <v>E1898-7</v>
      </c>
      <c r="B1423" t="str">
        <f t="shared" si="165"/>
        <v>VICO DURAZZO  5-</v>
      </c>
      <c r="C1423" t="str">
        <f t="shared" si="161"/>
        <v>GEA</v>
      </c>
      <c r="D1423">
        <v>80</v>
      </c>
      <c r="E1423" t="str">
        <f t="shared" si="164"/>
        <v>707</v>
      </c>
      <c r="F1423" t="str">
        <f>"1"</f>
        <v>1</v>
      </c>
    </row>
    <row r="1424" spans="1:6">
      <c r="A1424" t="str">
        <f>"E1899-1"</f>
        <v>E1899-1</v>
      </c>
      <c r="B1424" t="str">
        <f>"VIA FILIPPO TURATI VICINO AL 4-"</f>
        <v>VIA FILIPPO TURATI VICINO AL 4-</v>
      </c>
      <c r="C1424" t="str">
        <f>"1"</f>
        <v>1</v>
      </c>
      <c r="D1424">
        <v>65</v>
      </c>
      <c r="E1424" t="str">
        <f>"99999"</f>
        <v>99999</v>
      </c>
      <c r="F1424" t="str">
        <f>"0000"</f>
        <v>0000</v>
      </c>
    </row>
    <row r="1425" spans="1:6">
      <c r="A1425" t="str">
        <f>"E1900-1"</f>
        <v>E1900-1</v>
      </c>
      <c r="B1425" t="str">
        <f>"PIAZZA SANT ELENA  6R-"</f>
        <v>PIAZZA SANT ELENA  6R-</v>
      </c>
      <c r="C1425" t="str">
        <f t="shared" ref="C1425:C1456" si="166">"GEA"</f>
        <v>GEA</v>
      </c>
      <c r="D1425">
        <v>80</v>
      </c>
      <c r="E1425" t="str">
        <f>"687"</f>
        <v>687</v>
      </c>
      <c r="F1425" t="str">
        <f>"2"</f>
        <v>2</v>
      </c>
    </row>
    <row r="1426" spans="1:6">
      <c r="A1426" t="str">
        <f>"E1900-2"</f>
        <v>E1900-2</v>
      </c>
      <c r="B1426" t="str">
        <f>"PIAZZA SANT ELENA  8R-"</f>
        <v>PIAZZA SANT ELENA  8R-</v>
      </c>
      <c r="C1426" t="str">
        <f t="shared" si="166"/>
        <v>GEA</v>
      </c>
      <c r="D1426">
        <v>80</v>
      </c>
      <c r="E1426" t="str">
        <f>"687"</f>
        <v>687</v>
      </c>
      <c r="F1426" t="str">
        <f>"3"</f>
        <v>3</v>
      </c>
    </row>
    <row r="1427" spans="1:6">
      <c r="A1427" t="str">
        <f>"E1900-3"</f>
        <v>E1900-3</v>
      </c>
      <c r="B1427" t="str">
        <f>"PIAZZA SANT ELENA  10R-"</f>
        <v>PIAZZA SANT ELENA  10R-</v>
      </c>
      <c r="C1427" t="str">
        <f t="shared" si="166"/>
        <v>GEA</v>
      </c>
      <c r="D1427">
        <v>80</v>
      </c>
      <c r="E1427" t="str">
        <f>"687"</f>
        <v>687</v>
      </c>
      <c r="F1427" t="str">
        <f>"4"</f>
        <v>4</v>
      </c>
    </row>
    <row r="1428" spans="1:6">
      <c r="A1428" t="str">
        <f>"E1900-5"</f>
        <v>E1900-5</v>
      </c>
      <c r="B1428" t="str">
        <f>"VIA DI PRE  96R-"</f>
        <v>VIA DI PRE  96R-</v>
      </c>
      <c r="C1428" t="str">
        <f t="shared" si="166"/>
        <v>GEA</v>
      </c>
      <c r="D1428">
        <v>80</v>
      </c>
      <c r="E1428" t="str">
        <f>"687"</f>
        <v>687</v>
      </c>
      <c r="F1428" t="str">
        <f>"19"</f>
        <v>19</v>
      </c>
    </row>
    <row r="1429" spans="1:6">
      <c r="A1429" t="str">
        <f>"E1900-6"</f>
        <v>E1900-6</v>
      </c>
      <c r="B1429" t="str">
        <f>"VIA DI PRE  100R-"</f>
        <v>VIA DI PRE  100R-</v>
      </c>
      <c r="C1429" t="str">
        <f t="shared" si="166"/>
        <v>GEA</v>
      </c>
      <c r="D1429">
        <v>80</v>
      </c>
      <c r="E1429" t="str">
        <f>"697"</f>
        <v>697</v>
      </c>
      <c r="F1429" t="str">
        <f>"7"</f>
        <v>7</v>
      </c>
    </row>
    <row r="1430" spans="1:6">
      <c r="A1430" t="str">
        <f>"E1900-7"</f>
        <v>E1900-7</v>
      </c>
      <c r="B1430" t="str">
        <f t="shared" ref="B1430:B1440" si="167">"VICO TROMBETTIERI  3-"</f>
        <v>VICO TROMBETTIERI  3-</v>
      </c>
      <c r="C1430" t="str">
        <f t="shared" si="166"/>
        <v>GEA</v>
      </c>
      <c r="D1430">
        <v>80</v>
      </c>
      <c r="E1430" t="str">
        <f t="shared" ref="E1430:E1441" si="168">"687"</f>
        <v>687</v>
      </c>
      <c r="F1430" t="str">
        <f>"8"</f>
        <v>8</v>
      </c>
    </row>
    <row r="1431" spans="1:6">
      <c r="A1431" t="str">
        <f>"E1900-8"</f>
        <v>E1900-8</v>
      </c>
      <c r="B1431" t="str">
        <f t="shared" si="167"/>
        <v>VICO TROMBETTIERI  3-</v>
      </c>
      <c r="C1431" t="str">
        <f t="shared" si="166"/>
        <v>GEA</v>
      </c>
      <c r="D1431">
        <v>80</v>
      </c>
      <c r="E1431" t="str">
        <f t="shared" si="168"/>
        <v>687</v>
      </c>
      <c r="F1431" t="str">
        <f>"9"</f>
        <v>9</v>
      </c>
    </row>
    <row r="1432" spans="1:6">
      <c r="A1432" t="str">
        <f>"E1900-9"</f>
        <v>E1900-9</v>
      </c>
      <c r="B1432" t="str">
        <f t="shared" si="167"/>
        <v>VICO TROMBETTIERI  3-</v>
      </c>
      <c r="C1432" t="str">
        <f t="shared" si="166"/>
        <v>GEA</v>
      </c>
      <c r="D1432">
        <v>80</v>
      </c>
      <c r="E1432" t="str">
        <f t="shared" si="168"/>
        <v>687</v>
      </c>
      <c r="F1432" t="str">
        <f>"10"</f>
        <v>10</v>
      </c>
    </row>
    <row r="1433" spans="1:6">
      <c r="A1433" t="str">
        <f>"E1900-10"</f>
        <v>E1900-10</v>
      </c>
      <c r="B1433" t="str">
        <f t="shared" si="167"/>
        <v>VICO TROMBETTIERI  3-</v>
      </c>
      <c r="C1433" t="str">
        <f t="shared" si="166"/>
        <v>GEA</v>
      </c>
      <c r="D1433">
        <v>80</v>
      </c>
      <c r="E1433" t="str">
        <f t="shared" si="168"/>
        <v>687</v>
      </c>
      <c r="F1433" t="str">
        <f>"11"</f>
        <v>11</v>
      </c>
    </row>
    <row r="1434" spans="1:6">
      <c r="A1434" t="str">
        <f>"E1900-11"</f>
        <v>E1900-11</v>
      </c>
      <c r="B1434" t="str">
        <f t="shared" si="167"/>
        <v>VICO TROMBETTIERI  3-</v>
      </c>
      <c r="C1434" t="str">
        <f t="shared" si="166"/>
        <v>GEA</v>
      </c>
      <c r="D1434">
        <v>80</v>
      </c>
      <c r="E1434" t="str">
        <f t="shared" si="168"/>
        <v>687</v>
      </c>
      <c r="F1434" t="str">
        <f>"12"</f>
        <v>12</v>
      </c>
    </row>
    <row r="1435" spans="1:6">
      <c r="A1435" t="str">
        <f>"E1900-12"</f>
        <v>E1900-12</v>
      </c>
      <c r="B1435" t="str">
        <f t="shared" si="167"/>
        <v>VICO TROMBETTIERI  3-</v>
      </c>
      <c r="C1435" t="str">
        <f t="shared" si="166"/>
        <v>GEA</v>
      </c>
      <c r="D1435">
        <v>80</v>
      </c>
      <c r="E1435" t="str">
        <f t="shared" si="168"/>
        <v>687</v>
      </c>
      <c r="F1435" t="str">
        <f>"13"</f>
        <v>13</v>
      </c>
    </row>
    <row r="1436" spans="1:6">
      <c r="A1436" t="str">
        <f>"E1900-13"</f>
        <v>E1900-13</v>
      </c>
      <c r="B1436" t="str">
        <f t="shared" si="167"/>
        <v>VICO TROMBETTIERI  3-</v>
      </c>
      <c r="C1436" t="str">
        <f t="shared" si="166"/>
        <v>GEA</v>
      </c>
      <c r="D1436">
        <v>80</v>
      </c>
      <c r="E1436" t="str">
        <f t="shared" si="168"/>
        <v>687</v>
      </c>
      <c r="F1436" t="str">
        <f>"14"</f>
        <v>14</v>
      </c>
    </row>
    <row r="1437" spans="1:6">
      <c r="A1437" t="str">
        <f>"E1900-14"</f>
        <v>E1900-14</v>
      </c>
      <c r="B1437" t="str">
        <f t="shared" si="167"/>
        <v>VICO TROMBETTIERI  3-</v>
      </c>
      <c r="C1437" t="str">
        <f t="shared" si="166"/>
        <v>GEA</v>
      </c>
      <c r="D1437">
        <v>80</v>
      </c>
      <c r="E1437" t="str">
        <f t="shared" si="168"/>
        <v>687</v>
      </c>
      <c r="F1437" t="str">
        <f>"15"</f>
        <v>15</v>
      </c>
    </row>
    <row r="1438" spans="1:6">
      <c r="A1438" t="str">
        <f>"E1900-15"</f>
        <v>E1900-15</v>
      </c>
      <c r="B1438" t="str">
        <f t="shared" si="167"/>
        <v>VICO TROMBETTIERI  3-</v>
      </c>
      <c r="C1438" t="str">
        <f t="shared" si="166"/>
        <v>GEA</v>
      </c>
      <c r="D1438">
        <v>80</v>
      </c>
      <c r="E1438" t="str">
        <f t="shared" si="168"/>
        <v>687</v>
      </c>
      <c r="F1438" t="str">
        <f>"16"</f>
        <v>16</v>
      </c>
    </row>
    <row r="1439" spans="1:6">
      <c r="A1439" t="str">
        <f>"E1900-16"</f>
        <v>E1900-16</v>
      </c>
      <c r="B1439" t="str">
        <f t="shared" si="167"/>
        <v>VICO TROMBETTIERI  3-</v>
      </c>
      <c r="C1439" t="str">
        <f t="shared" si="166"/>
        <v>GEA</v>
      </c>
      <c r="D1439">
        <v>80</v>
      </c>
      <c r="E1439" t="str">
        <f t="shared" si="168"/>
        <v>687</v>
      </c>
      <c r="F1439" t="str">
        <f>"17"</f>
        <v>17</v>
      </c>
    </row>
    <row r="1440" spans="1:6">
      <c r="A1440" t="str">
        <f>"E1900-17"</f>
        <v>E1900-17</v>
      </c>
      <c r="B1440" t="str">
        <f t="shared" si="167"/>
        <v>VICO TROMBETTIERI  3-</v>
      </c>
      <c r="C1440" t="str">
        <f t="shared" si="166"/>
        <v>GEA</v>
      </c>
      <c r="D1440">
        <v>80</v>
      </c>
      <c r="E1440" t="str">
        <f t="shared" si="168"/>
        <v>687</v>
      </c>
      <c r="F1440" t="str">
        <f>"18"</f>
        <v>18</v>
      </c>
    </row>
    <row r="1441" spans="1:6">
      <c r="A1441" t="str">
        <f>"E1900-18"</f>
        <v>E1900-18</v>
      </c>
      <c r="B1441" t="str">
        <f>"PIAZZA SANT ELENA  4-"</f>
        <v>PIAZZA SANT ELENA  4-</v>
      </c>
      <c r="C1441" t="str">
        <f t="shared" si="166"/>
        <v>GEA</v>
      </c>
      <c r="D1441">
        <v>80</v>
      </c>
      <c r="E1441" t="str">
        <f t="shared" si="168"/>
        <v>687</v>
      </c>
      <c r="F1441" t="str">
        <f>"1"</f>
        <v>1</v>
      </c>
    </row>
    <row r="1442" spans="1:6">
      <c r="A1442" t="str">
        <f>"E1901-1"</f>
        <v>E1901-1</v>
      </c>
      <c r="B1442" t="str">
        <f>"VIA DI PRE  110R-"</f>
        <v>VIA DI PRE  110R-</v>
      </c>
      <c r="C1442" t="str">
        <f t="shared" si="166"/>
        <v>GEA</v>
      </c>
      <c r="D1442">
        <v>80</v>
      </c>
      <c r="E1442" t="str">
        <f t="shared" ref="E1442:E1454" si="169">"688"</f>
        <v>688</v>
      </c>
      <c r="F1442" t="str">
        <f>"1"</f>
        <v>1</v>
      </c>
    </row>
    <row r="1443" spans="1:6">
      <c r="A1443" t="str">
        <f>"E1901-2"</f>
        <v>E1901-2</v>
      </c>
      <c r="B1443" t="str">
        <f>"VICO DORA  4R-"</f>
        <v>VICO DORA  4R-</v>
      </c>
      <c r="C1443" t="str">
        <f t="shared" si="166"/>
        <v>GEA</v>
      </c>
      <c r="D1443">
        <v>80</v>
      </c>
      <c r="E1443" t="str">
        <f t="shared" si="169"/>
        <v>688</v>
      </c>
      <c r="F1443" t="str">
        <f>"15"</f>
        <v>15</v>
      </c>
    </row>
    <row r="1444" spans="1:6">
      <c r="A1444" t="str">
        <f>"E1901-3"</f>
        <v>E1901-3</v>
      </c>
      <c r="B1444" t="str">
        <f>"VICO DORA  2R-"</f>
        <v>VICO DORA  2R-</v>
      </c>
      <c r="C1444" t="str">
        <f t="shared" si="166"/>
        <v>GEA</v>
      </c>
      <c r="D1444">
        <v>80</v>
      </c>
      <c r="E1444" t="str">
        <f t="shared" si="169"/>
        <v>688</v>
      </c>
      <c r="F1444" t="str">
        <f>"14"</f>
        <v>14</v>
      </c>
    </row>
    <row r="1445" spans="1:6">
      <c r="A1445" t="str">
        <f>"E1901-4"</f>
        <v>E1901-4</v>
      </c>
      <c r="B1445" t="str">
        <f>"VICO DORA  8-"</f>
        <v>VICO DORA  8-</v>
      </c>
      <c r="C1445" t="str">
        <f t="shared" si="166"/>
        <v>GEA</v>
      </c>
      <c r="D1445">
        <v>80</v>
      </c>
      <c r="E1445" t="str">
        <f t="shared" si="169"/>
        <v>688</v>
      </c>
      <c r="F1445" t="str">
        <f>"4"</f>
        <v>4</v>
      </c>
    </row>
    <row r="1446" spans="1:6">
      <c r="A1446" t="str">
        <f>"E1901-5"</f>
        <v>E1901-5</v>
      </c>
      <c r="B1446" t="str">
        <f t="shared" ref="B1446:B1454" si="170">"VICO DORA  6-"</f>
        <v>VICO DORA  6-</v>
      </c>
      <c r="C1446" t="str">
        <f t="shared" si="166"/>
        <v>GEA</v>
      </c>
      <c r="D1446">
        <v>80</v>
      </c>
      <c r="E1446" t="str">
        <f t="shared" si="169"/>
        <v>688</v>
      </c>
      <c r="F1446" t="str">
        <f>"5"</f>
        <v>5</v>
      </c>
    </row>
    <row r="1447" spans="1:6">
      <c r="A1447" t="str">
        <f>"E1901-6"</f>
        <v>E1901-6</v>
      </c>
      <c r="B1447" t="str">
        <f t="shared" si="170"/>
        <v>VICO DORA  6-</v>
      </c>
      <c r="C1447" t="str">
        <f t="shared" si="166"/>
        <v>GEA</v>
      </c>
      <c r="D1447">
        <v>80</v>
      </c>
      <c r="E1447" t="str">
        <f t="shared" si="169"/>
        <v>688</v>
      </c>
      <c r="F1447" t="str">
        <f>"6"</f>
        <v>6</v>
      </c>
    </row>
    <row r="1448" spans="1:6">
      <c r="A1448" t="str">
        <f>"E1901-7"</f>
        <v>E1901-7</v>
      </c>
      <c r="B1448" t="str">
        <f t="shared" si="170"/>
        <v>VICO DORA  6-</v>
      </c>
      <c r="C1448" t="str">
        <f t="shared" si="166"/>
        <v>GEA</v>
      </c>
      <c r="D1448">
        <v>80</v>
      </c>
      <c r="E1448" t="str">
        <f t="shared" si="169"/>
        <v>688</v>
      </c>
      <c r="F1448" t="str">
        <f>"7"</f>
        <v>7</v>
      </c>
    </row>
    <row r="1449" spans="1:6">
      <c r="A1449" t="str">
        <f>"E1901-8"</f>
        <v>E1901-8</v>
      </c>
      <c r="B1449" t="str">
        <f t="shared" si="170"/>
        <v>VICO DORA  6-</v>
      </c>
      <c r="C1449" t="str">
        <f t="shared" si="166"/>
        <v>GEA</v>
      </c>
      <c r="D1449">
        <v>80</v>
      </c>
      <c r="E1449" t="str">
        <f t="shared" si="169"/>
        <v>688</v>
      </c>
      <c r="F1449" t="str">
        <f>"8"</f>
        <v>8</v>
      </c>
    </row>
    <row r="1450" spans="1:6">
      <c r="A1450" t="str">
        <f>"E1901-9"</f>
        <v>E1901-9</v>
      </c>
      <c r="B1450" t="str">
        <f t="shared" si="170"/>
        <v>VICO DORA  6-</v>
      </c>
      <c r="C1450" t="str">
        <f t="shared" si="166"/>
        <v>GEA</v>
      </c>
      <c r="D1450">
        <v>80</v>
      </c>
      <c r="E1450" t="str">
        <f t="shared" si="169"/>
        <v>688</v>
      </c>
      <c r="F1450" t="str">
        <f>"9"</f>
        <v>9</v>
      </c>
    </row>
    <row r="1451" spans="1:6">
      <c r="A1451" t="str">
        <f>"E1901-10"</f>
        <v>E1901-10</v>
      </c>
      <c r="B1451" t="str">
        <f t="shared" si="170"/>
        <v>VICO DORA  6-</v>
      </c>
      <c r="C1451" t="str">
        <f t="shared" si="166"/>
        <v>GEA</v>
      </c>
      <c r="D1451">
        <v>80</v>
      </c>
      <c r="E1451" t="str">
        <f t="shared" si="169"/>
        <v>688</v>
      </c>
      <c r="F1451" t="str">
        <f>"10"</f>
        <v>10</v>
      </c>
    </row>
    <row r="1452" spans="1:6">
      <c r="A1452" t="str">
        <f>"E1901-11"</f>
        <v>E1901-11</v>
      </c>
      <c r="B1452" t="str">
        <f t="shared" si="170"/>
        <v>VICO DORA  6-</v>
      </c>
      <c r="C1452" t="str">
        <f t="shared" si="166"/>
        <v>GEA</v>
      </c>
      <c r="D1452">
        <v>80</v>
      </c>
      <c r="E1452" t="str">
        <f t="shared" si="169"/>
        <v>688</v>
      </c>
      <c r="F1452" t="str">
        <f>"11"</f>
        <v>11</v>
      </c>
    </row>
    <row r="1453" spans="1:6">
      <c r="A1453" t="str">
        <f>"E1901-12"</f>
        <v>E1901-12</v>
      </c>
      <c r="B1453" t="str">
        <f t="shared" si="170"/>
        <v>VICO DORA  6-</v>
      </c>
      <c r="C1453" t="str">
        <f t="shared" si="166"/>
        <v>GEA</v>
      </c>
      <c r="D1453">
        <v>80</v>
      </c>
      <c r="E1453" t="str">
        <f t="shared" si="169"/>
        <v>688</v>
      </c>
      <c r="F1453" t="str">
        <f>"12"</f>
        <v>12</v>
      </c>
    </row>
    <row r="1454" spans="1:6">
      <c r="A1454" t="str">
        <f>"E1901-13"</f>
        <v>E1901-13</v>
      </c>
      <c r="B1454" t="str">
        <f t="shared" si="170"/>
        <v>VICO DORA  6-</v>
      </c>
      <c r="C1454" t="str">
        <f t="shared" si="166"/>
        <v>GEA</v>
      </c>
      <c r="D1454">
        <v>80</v>
      </c>
      <c r="E1454" t="str">
        <f t="shared" si="169"/>
        <v>688</v>
      </c>
      <c r="F1454" t="str">
        <f>"13"</f>
        <v>13</v>
      </c>
    </row>
    <row r="1455" spans="1:6">
      <c r="A1455" t="str">
        <f>"E1902-1"</f>
        <v>E1902-1</v>
      </c>
      <c r="B1455" t="str">
        <f>"VIA DI PRE  103R-"</f>
        <v>VIA DI PRE  103R-</v>
      </c>
      <c r="C1455" t="str">
        <f t="shared" si="166"/>
        <v>GEA</v>
      </c>
      <c r="D1455">
        <v>80</v>
      </c>
      <c r="E1455" t="str">
        <f t="shared" ref="E1455:E1473" si="171">"729"</f>
        <v>729</v>
      </c>
      <c r="F1455" t="str">
        <f>"3"</f>
        <v>3</v>
      </c>
    </row>
    <row r="1456" spans="1:6">
      <c r="A1456" t="str">
        <f>"E1902-2"</f>
        <v>E1902-2</v>
      </c>
      <c r="B1456" t="str">
        <f>"VIA DI PRE  109R-"</f>
        <v>VIA DI PRE  109R-</v>
      </c>
      <c r="C1456" t="str">
        <f t="shared" si="166"/>
        <v>GEA</v>
      </c>
      <c r="D1456">
        <v>80</v>
      </c>
      <c r="E1456" t="str">
        <f t="shared" si="171"/>
        <v>729</v>
      </c>
      <c r="F1456" t="str">
        <f>"5"</f>
        <v>5</v>
      </c>
    </row>
    <row r="1457" spans="1:6">
      <c r="A1457" t="str">
        <f>"E1902-3"</f>
        <v>E1902-3</v>
      </c>
      <c r="B1457" t="str">
        <f>"VICO DELLA PACE  4R-"</f>
        <v>VICO DELLA PACE  4R-</v>
      </c>
      <c r="C1457" t="str">
        <f t="shared" ref="C1457:C1488" si="172">"GEA"</f>
        <v>GEA</v>
      </c>
      <c r="D1457">
        <v>80</v>
      </c>
      <c r="E1457" t="str">
        <f t="shared" si="171"/>
        <v>729</v>
      </c>
      <c r="F1457" t="str">
        <f>"4"</f>
        <v>4</v>
      </c>
    </row>
    <row r="1458" spans="1:6">
      <c r="A1458" t="str">
        <f>"E1902-4"</f>
        <v>E1902-4</v>
      </c>
      <c r="B1458" t="str">
        <f>"VICO DI SAN CRISTOFORO  0-"</f>
        <v>VICO DI SAN CRISTOFORO  0-</v>
      </c>
      <c r="C1458" t="str">
        <f t="shared" si="172"/>
        <v>GEA</v>
      </c>
      <c r="D1458">
        <v>80</v>
      </c>
      <c r="E1458" t="str">
        <f t="shared" si="171"/>
        <v>729</v>
      </c>
      <c r="F1458" t="str">
        <f>"6"</f>
        <v>6</v>
      </c>
    </row>
    <row r="1459" spans="1:6">
      <c r="A1459" t="str">
        <f>"E1902-5"</f>
        <v>E1902-5</v>
      </c>
      <c r="B1459" t="str">
        <f t="shared" ref="B1459:B1473" si="173">"VIA DI PRE  29-"</f>
        <v>VIA DI PRE  29-</v>
      </c>
      <c r="C1459" t="str">
        <f t="shared" si="172"/>
        <v>GEA</v>
      </c>
      <c r="D1459">
        <v>80</v>
      </c>
      <c r="E1459" t="str">
        <f t="shared" si="171"/>
        <v>729</v>
      </c>
      <c r="F1459" t="str">
        <f>"7"</f>
        <v>7</v>
      </c>
    </row>
    <row r="1460" spans="1:6">
      <c r="A1460" t="str">
        <f>"E1902-6"</f>
        <v>E1902-6</v>
      </c>
      <c r="B1460" t="str">
        <f t="shared" si="173"/>
        <v>VIA DI PRE  29-</v>
      </c>
      <c r="C1460" t="str">
        <f t="shared" si="172"/>
        <v>GEA</v>
      </c>
      <c r="D1460">
        <v>80</v>
      </c>
      <c r="E1460" t="str">
        <f t="shared" si="171"/>
        <v>729</v>
      </c>
      <c r="F1460" t="str">
        <f>"8"</f>
        <v>8</v>
      </c>
    </row>
    <row r="1461" spans="1:6">
      <c r="A1461" t="str">
        <f>"E1902-7"</f>
        <v>E1902-7</v>
      </c>
      <c r="B1461" t="str">
        <f t="shared" si="173"/>
        <v>VIA DI PRE  29-</v>
      </c>
      <c r="C1461" t="str">
        <f t="shared" si="172"/>
        <v>GEA</v>
      </c>
      <c r="D1461">
        <v>80</v>
      </c>
      <c r="E1461" t="str">
        <f t="shared" si="171"/>
        <v>729</v>
      </c>
      <c r="F1461" t="str">
        <f>"10"</f>
        <v>10</v>
      </c>
    </row>
    <row r="1462" spans="1:6">
      <c r="A1462" t="str">
        <f>"E1902-8"</f>
        <v>E1902-8</v>
      </c>
      <c r="B1462" t="str">
        <f t="shared" si="173"/>
        <v>VIA DI PRE  29-</v>
      </c>
      <c r="C1462" t="str">
        <f t="shared" si="172"/>
        <v>GEA</v>
      </c>
      <c r="D1462">
        <v>80</v>
      </c>
      <c r="E1462" t="str">
        <f t="shared" si="171"/>
        <v>729</v>
      </c>
      <c r="F1462" t="str">
        <f>"9"</f>
        <v>9</v>
      </c>
    </row>
    <row r="1463" spans="1:6">
      <c r="A1463" t="str">
        <f>"E1902-9"</f>
        <v>E1902-9</v>
      </c>
      <c r="B1463" t="str">
        <f t="shared" si="173"/>
        <v>VIA DI PRE  29-</v>
      </c>
      <c r="C1463" t="str">
        <f t="shared" si="172"/>
        <v>GEA</v>
      </c>
      <c r="D1463">
        <v>80</v>
      </c>
      <c r="E1463" t="str">
        <f t="shared" si="171"/>
        <v>729</v>
      </c>
      <c r="F1463" t="str">
        <f>"11"</f>
        <v>11</v>
      </c>
    </row>
    <row r="1464" spans="1:6">
      <c r="A1464" t="str">
        <f>"E1902-10"</f>
        <v>E1902-10</v>
      </c>
      <c r="B1464" t="str">
        <f t="shared" si="173"/>
        <v>VIA DI PRE  29-</v>
      </c>
      <c r="C1464" t="str">
        <f t="shared" si="172"/>
        <v>GEA</v>
      </c>
      <c r="D1464">
        <v>80</v>
      </c>
      <c r="E1464" t="str">
        <f t="shared" si="171"/>
        <v>729</v>
      </c>
      <c r="F1464" t="str">
        <f>"13"</f>
        <v>13</v>
      </c>
    </row>
    <row r="1465" spans="1:6">
      <c r="A1465" t="str">
        <f>"E1902-11"</f>
        <v>E1902-11</v>
      </c>
      <c r="B1465" t="str">
        <f t="shared" si="173"/>
        <v>VIA DI PRE  29-</v>
      </c>
      <c r="C1465" t="str">
        <f t="shared" si="172"/>
        <v>GEA</v>
      </c>
      <c r="D1465">
        <v>80</v>
      </c>
      <c r="E1465" t="str">
        <f t="shared" si="171"/>
        <v>729</v>
      </c>
      <c r="F1465" t="str">
        <f>"12"</f>
        <v>12</v>
      </c>
    </row>
    <row r="1466" spans="1:6">
      <c r="A1466" t="str">
        <f>"E1902-12"</f>
        <v>E1902-12</v>
      </c>
      <c r="B1466" t="str">
        <f t="shared" si="173"/>
        <v>VIA DI PRE  29-</v>
      </c>
      <c r="C1466" t="str">
        <f t="shared" si="172"/>
        <v>GEA</v>
      </c>
      <c r="D1466">
        <v>80</v>
      </c>
      <c r="E1466" t="str">
        <f t="shared" si="171"/>
        <v>729</v>
      </c>
      <c r="F1466" t="str">
        <f>"14"</f>
        <v>14</v>
      </c>
    </row>
    <row r="1467" spans="1:6">
      <c r="A1467" t="str">
        <f>"E1902-13"</f>
        <v>E1902-13</v>
      </c>
      <c r="B1467" t="str">
        <f t="shared" si="173"/>
        <v>VIA DI PRE  29-</v>
      </c>
      <c r="C1467" t="str">
        <f t="shared" si="172"/>
        <v>GEA</v>
      </c>
      <c r="D1467">
        <v>80</v>
      </c>
      <c r="E1467" t="str">
        <f t="shared" si="171"/>
        <v>729</v>
      </c>
      <c r="F1467" t="str">
        <f>"16"</f>
        <v>16</v>
      </c>
    </row>
    <row r="1468" spans="1:6">
      <c r="A1468" t="str">
        <f>"E1902-14"</f>
        <v>E1902-14</v>
      </c>
      <c r="B1468" t="str">
        <f t="shared" si="173"/>
        <v>VIA DI PRE  29-</v>
      </c>
      <c r="C1468" t="str">
        <f t="shared" si="172"/>
        <v>GEA</v>
      </c>
      <c r="D1468">
        <v>80</v>
      </c>
      <c r="E1468" t="str">
        <f t="shared" si="171"/>
        <v>729</v>
      </c>
      <c r="F1468" t="str">
        <f>"15"</f>
        <v>15</v>
      </c>
    </row>
    <row r="1469" spans="1:6">
      <c r="A1469" t="str">
        <f>"E1902-15"</f>
        <v>E1902-15</v>
      </c>
      <c r="B1469" t="str">
        <f t="shared" si="173"/>
        <v>VIA DI PRE  29-</v>
      </c>
      <c r="C1469" t="str">
        <f t="shared" si="172"/>
        <v>GEA</v>
      </c>
      <c r="D1469">
        <v>80</v>
      </c>
      <c r="E1469" t="str">
        <f t="shared" si="171"/>
        <v>729</v>
      </c>
      <c r="F1469" t="str">
        <f>"17"</f>
        <v>17</v>
      </c>
    </row>
    <row r="1470" spans="1:6">
      <c r="A1470" t="str">
        <f>"E1902-16"</f>
        <v>E1902-16</v>
      </c>
      <c r="B1470" t="str">
        <f t="shared" si="173"/>
        <v>VIA DI PRE  29-</v>
      </c>
      <c r="C1470" t="str">
        <f t="shared" si="172"/>
        <v>GEA</v>
      </c>
      <c r="D1470">
        <v>80</v>
      </c>
      <c r="E1470" t="str">
        <f t="shared" si="171"/>
        <v>729</v>
      </c>
      <c r="F1470" t="str">
        <f>"18"</f>
        <v>18</v>
      </c>
    </row>
    <row r="1471" spans="1:6">
      <c r="A1471" t="str">
        <f>"E1902-17"</f>
        <v>E1902-17</v>
      </c>
      <c r="B1471" t="str">
        <f t="shared" si="173"/>
        <v>VIA DI PRE  29-</v>
      </c>
      <c r="C1471" t="str">
        <f t="shared" si="172"/>
        <v>GEA</v>
      </c>
      <c r="D1471">
        <v>80</v>
      </c>
      <c r="E1471" t="str">
        <f t="shared" si="171"/>
        <v>729</v>
      </c>
      <c r="F1471" t="str">
        <f>"19"</f>
        <v>19</v>
      </c>
    </row>
    <row r="1472" spans="1:6">
      <c r="A1472" t="str">
        <f>"E1902-18"</f>
        <v>E1902-18</v>
      </c>
      <c r="B1472" t="str">
        <f t="shared" si="173"/>
        <v>VIA DI PRE  29-</v>
      </c>
      <c r="C1472" t="str">
        <f t="shared" si="172"/>
        <v>GEA</v>
      </c>
      <c r="D1472">
        <v>80</v>
      </c>
      <c r="E1472" t="str">
        <f t="shared" si="171"/>
        <v>729</v>
      </c>
      <c r="F1472" t="str">
        <f>"2"</f>
        <v>2</v>
      </c>
    </row>
    <row r="1473" spans="1:6">
      <c r="A1473" t="str">
        <f>"E1902-19"</f>
        <v>E1902-19</v>
      </c>
      <c r="B1473" t="str">
        <f t="shared" si="173"/>
        <v>VIA DI PRE  29-</v>
      </c>
      <c r="C1473" t="str">
        <f t="shared" si="172"/>
        <v>GEA</v>
      </c>
      <c r="D1473">
        <v>80</v>
      </c>
      <c r="E1473" t="str">
        <f t="shared" si="171"/>
        <v>729</v>
      </c>
      <c r="F1473" t="str">
        <f>"1"</f>
        <v>1</v>
      </c>
    </row>
    <row r="1474" spans="1:6">
      <c r="A1474" t="str">
        <f>"E1903-1"</f>
        <v>E1903-1</v>
      </c>
      <c r="B1474" t="str">
        <f>"VICO DELLA PACE  8R-"</f>
        <v>VICO DELLA PACE  8R-</v>
      </c>
      <c r="C1474" t="str">
        <f t="shared" si="172"/>
        <v>GEA</v>
      </c>
      <c r="D1474">
        <v>80</v>
      </c>
      <c r="E1474" t="str">
        <f t="shared" ref="E1474:E1484" si="174">"730"</f>
        <v>730</v>
      </c>
      <c r="F1474" t="str">
        <f>"2"</f>
        <v>2</v>
      </c>
    </row>
    <row r="1475" spans="1:6">
      <c r="A1475" t="str">
        <f>"E1903-2"</f>
        <v>E1903-2</v>
      </c>
      <c r="B1475" t="str">
        <f>"VICO DELLA PACE  6R-"</f>
        <v>VICO DELLA PACE  6R-</v>
      </c>
      <c r="C1475" t="str">
        <f t="shared" si="172"/>
        <v>GEA</v>
      </c>
      <c r="D1475">
        <v>80</v>
      </c>
      <c r="E1475" t="str">
        <f t="shared" si="174"/>
        <v>730</v>
      </c>
      <c r="F1475" t="str">
        <f>"3"</f>
        <v>3</v>
      </c>
    </row>
    <row r="1476" spans="1:6">
      <c r="A1476" t="str">
        <f>"E1903-3"</f>
        <v>E1903-3</v>
      </c>
      <c r="B1476" t="str">
        <f t="shared" ref="B1476:B1484" si="175">"VICO DELLA PACE  4-"</f>
        <v>VICO DELLA PACE  4-</v>
      </c>
      <c r="C1476" t="str">
        <f t="shared" si="172"/>
        <v>GEA</v>
      </c>
      <c r="D1476">
        <v>80</v>
      </c>
      <c r="E1476" t="str">
        <f t="shared" si="174"/>
        <v>730</v>
      </c>
      <c r="F1476" t="str">
        <f>"5"</f>
        <v>5</v>
      </c>
    </row>
    <row r="1477" spans="1:6">
      <c r="A1477" t="str">
        <f>"E1903-4"</f>
        <v>E1903-4</v>
      </c>
      <c r="B1477" t="str">
        <f t="shared" si="175"/>
        <v>VICO DELLA PACE  4-</v>
      </c>
      <c r="C1477" t="str">
        <f t="shared" si="172"/>
        <v>GEA</v>
      </c>
      <c r="D1477">
        <v>80</v>
      </c>
      <c r="E1477" t="str">
        <f t="shared" si="174"/>
        <v>730</v>
      </c>
      <c r="F1477" t="str">
        <f>"4"</f>
        <v>4</v>
      </c>
    </row>
    <row r="1478" spans="1:6">
      <c r="A1478" t="str">
        <f>"E1903-5"</f>
        <v>E1903-5</v>
      </c>
      <c r="B1478" t="str">
        <f t="shared" si="175"/>
        <v>VICO DELLA PACE  4-</v>
      </c>
      <c r="C1478" t="str">
        <f t="shared" si="172"/>
        <v>GEA</v>
      </c>
      <c r="D1478">
        <v>80</v>
      </c>
      <c r="E1478" t="str">
        <f t="shared" si="174"/>
        <v>730</v>
      </c>
      <c r="F1478" t="str">
        <f>"7"</f>
        <v>7</v>
      </c>
    </row>
    <row r="1479" spans="1:6">
      <c r="A1479" t="str">
        <f>"E1903-6"</f>
        <v>E1903-6</v>
      </c>
      <c r="B1479" t="str">
        <f t="shared" si="175"/>
        <v>VICO DELLA PACE  4-</v>
      </c>
      <c r="C1479" t="str">
        <f t="shared" si="172"/>
        <v>GEA</v>
      </c>
      <c r="D1479">
        <v>80</v>
      </c>
      <c r="E1479" t="str">
        <f t="shared" si="174"/>
        <v>730</v>
      </c>
      <c r="F1479" t="str">
        <f>"6"</f>
        <v>6</v>
      </c>
    </row>
    <row r="1480" spans="1:6">
      <c r="A1480" t="str">
        <f>"E1903-7"</f>
        <v>E1903-7</v>
      </c>
      <c r="B1480" t="str">
        <f t="shared" si="175"/>
        <v>VICO DELLA PACE  4-</v>
      </c>
      <c r="C1480" t="str">
        <f t="shared" si="172"/>
        <v>GEA</v>
      </c>
      <c r="D1480">
        <v>80</v>
      </c>
      <c r="E1480" t="str">
        <f t="shared" si="174"/>
        <v>730</v>
      </c>
      <c r="F1480" t="str">
        <f>"9"</f>
        <v>9</v>
      </c>
    </row>
    <row r="1481" spans="1:6">
      <c r="A1481" t="str">
        <f>"E1903-8"</f>
        <v>E1903-8</v>
      </c>
      <c r="B1481" t="str">
        <f t="shared" si="175"/>
        <v>VICO DELLA PACE  4-</v>
      </c>
      <c r="C1481" t="str">
        <f t="shared" si="172"/>
        <v>GEA</v>
      </c>
      <c r="D1481">
        <v>80</v>
      </c>
      <c r="E1481" t="str">
        <f t="shared" si="174"/>
        <v>730</v>
      </c>
      <c r="F1481" t="str">
        <f>"8"</f>
        <v>8</v>
      </c>
    </row>
    <row r="1482" spans="1:6">
      <c r="A1482" t="str">
        <f>"E1903-9"</f>
        <v>E1903-9</v>
      </c>
      <c r="B1482" t="str">
        <f t="shared" si="175"/>
        <v>VICO DELLA PACE  4-</v>
      </c>
      <c r="C1482" t="str">
        <f t="shared" si="172"/>
        <v>GEA</v>
      </c>
      <c r="D1482">
        <v>80</v>
      </c>
      <c r="E1482" t="str">
        <f t="shared" si="174"/>
        <v>730</v>
      </c>
      <c r="F1482" t="str">
        <f>"11"</f>
        <v>11</v>
      </c>
    </row>
    <row r="1483" spans="1:6">
      <c r="A1483" t="str">
        <f>"E1903-10"</f>
        <v>E1903-10</v>
      </c>
      <c r="B1483" t="str">
        <f t="shared" si="175"/>
        <v>VICO DELLA PACE  4-</v>
      </c>
      <c r="C1483" t="str">
        <f t="shared" si="172"/>
        <v>GEA</v>
      </c>
      <c r="D1483">
        <v>80</v>
      </c>
      <c r="E1483" t="str">
        <f t="shared" si="174"/>
        <v>730</v>
      </c>
      <c r="F1483" t="str">
        <f>"10"</f>
        <v>10</v>
      </c>
    </row>
    <row r="1484" spans="1:6">
      <c r="A1484" t="str">
        <f>"E1903-11"</f>
        <v>E1903-11</v>
      </c>
      <c r="B1484" t="str">
        <f t="shared" si="175"/>
        <v>VICO DELLA PACE  4-</v>
      </c>
      <c r="C1484" t="str">
        <f t="shared" si="172"/>
        <v>GEA</v>
      </c>
      <c r="D1484">
        <v>80</v>
      </c>
      <c r="E1484" t="str">
        <f t="shared" si="174"/>
        <v>730</v>
      </c>
      <c r="F1484" t="str">
        <f>"1"</f>
        <v>1</v>
      </c>
    </row>
    <row r="1485" spans="1:6">
      <c r="A1485" t="str">
        <f>"E1904-1"</f>
        <v>E1904-1</v>
      </c>
      <c r="B1485" t="str">
        <f>"VICO DELLA PACE  10R-"</f>
        <v>VICO DELLA PACE  10R-</v>
      </c>
      <c r="C1485" t="str">
        <f t="shared" si="172"/>
        <v>GEA</v>
      </c>
      <c r="D1485">
        <v>1</v>
      </c>
      <c r="E1485" t="str">
        <f>"731"</f>
        <v>731</v>
      </c>
      <c r="F1485" t="str">
        <f>"2"</f>
        <v>2</v>
      </c>
    </row>
    <row r="1486" spans="1:6">
      <c r="A1486" t="str">
        <f>"E1904-2"</f>
        <v>E1904-2</v>
      </c>
      <c r="B1486" t="str">
        <f>"VICO DELLA PACE  6-"</f>
        <v>VICO DELLA PACE  6-</v>
      </c>
      <c r="C1486" t="str">
        <f t="shared" si="172"/>
        <v>GEA</v>
      </c>
      <c r="D1486">
        <v>80</v>
      </c>
      <c r="E1486" t="str">
        <f>"731"</f>
        <v>731</v>
      </c>
      <c r="F1486" t="str">
        <f>"3"</f>
        <v>3</v>
      </c>
    </row>
    <row r="1487" spans="1:6">
      <c r="A1487" t="str">
        <f>"E1904-3"</f>
        <v>E1904-3</v>
      </c>
      <c r="B1487" t="str">
        <f>"VICO DELLA PACE  6-"</f>
        <v>VICO DELLA PACE  6-</v>
      </c>
      <c r="C1487" t="str">
        <f t="shared" si="172"/>
        <v>GEA</v>
      </c>
      <c r="D1487">
        <v>80</v>
      </c>
      <c r="E1487" t="str">
        <f>"731"</f>
        <v>731</v>
      </c>
      <c r="F1487" t="str">
        <f>"4"</f>
        <v>4</v>
      </c>
    </row>
    <row r="1488" spans="1:6">
      <c r="A1488" t="str">
        <f>"E1904-4"</f>
        <v>E1904-4</v>
      </c>
      <c r="B1488" t="str">
        <f>"VICO DELLA PACE  6-"</f>
        <v>VICO DELLA PACE  6-</v>
      </c>
      <c r="C1488" t="str">
        <f t="shared" si="172"/>
        <v>GEA</v>
      </c>
      <c r="D1488">
        <v>80</v>
      </c>
      <c r="E1488" t="str">
        <f>"731"</f>
        <v>731</v>
      </c>
      <c r="F1488" t="str">
        <f>"0001"</f>
        <v>0001</v>
      </c>
    </row>
    <row r="1489" spans="1:6">
      <c r="A1489" t="str">
        <f>"E1905-1"</f>
        <v>E1905-1</v>
      </c>
      <c r="B1489" t="str">
        <f>"VICO DELLA PACE  12R-"</f>
        <v>VICO DELLA PACE  12R-</v>
      </c>
      <c r="C1489" t="str">
        <f t="shared" ref="C1489:C1506" si="176">"GEA"</f>
        <v>GEA</v>
      </c>
      <c r="D1489">
        <v>80</v>
      </c>
      <c r="E1489" t="str">
        <f t="shared" ref="E1489:E1498" si="177">"732"</f>
        <v>732</v>
      </c>
      <c r="F1489" t="str">
        <f>"3"</f>
        <v>3</v>
      </c>
    </row>
    <row r="1490" spans="1:6">
      <c r="A1490" t="str">
        <f>"E1905-2"</f>
        <v>E1905-2</v>
      </c>
      <c r="B1490" t="str">
        <f t="shared" ref="B1490:B1497" si="178">"VICO DELLA PACE  8-"</f>
        <v>VICO DELLA PACE  8-</v>
      </c>
      <c r="C1490" t="str">
        <f t="shared" si="176"/>
        <v>GEA</v>
      </c>
      <c r="D1490">
        <v>80</v>
      </c>
      <c r="E1490" t="str">
        <f t="shared" si="177"/>
        <v>732</v>
      </c>
      <c r="F1490" t="str">
        <f>"4"</f>
        <v>4</v>
      </c>
    </row>
    <row r="1491" spans="1:6">
      <c r="A1491" t="str">
        <f>"E1905-3"</f>
        <v>E1905-3</v>
      </c>
      <c r="B1491" t="str">
        <f t="shared" si="178"/>
        <v>VICO DELLA PACE  8-</v>
      </c>
      <c r="C1491" t="str">
        <f t="shared" si="176"/>
        <v>GEA</v>
      </c>
      <c r="D1491">
        <v>80</v>
      </c>
      <c r="E1491" t="str">
        <f t="shared" si="177"/>
        <v>732</v>
      </c>
      <c r="F1491" t="str">
        <f>"5"</f>
        <v>5</v>
      </c>
    </row>
    <row r="1492" spans="1:6">
      <c r="A1492" t="str">
        <f>"E1905-4"</f>
        <v>E1905-4</v>
      </c>
      <c r="B1492" t="str">
        <f t="shared" si="178"/>
        <v>VICO DELLA PACE  8-</v>
      </c>
      <c r="C1492" t="str">
        <f t="shared" si="176"/>
        <v>GEA</v>
      </c>
      <c r="D1492">
        <v>80</v>
      </c>
      <c r="E1492" t="str">
        <f t="shared" si="177"/>
        <v>732</v>
      </c>
      <c r="F1492" t="str">
        <f>"6"</f>
        <v>6</v>
      </c>
    </row>
    <row r="1493" spans="1:6">
      <c r="A1493" t="str">
        <f>"E1905-5"</f>
        <v>E1905-5</v>
      </c>
      <c r="B1493" t="str">
        <f t="shared" si="178"/>
        <v>VICO DELLA PACE  8-</v>
      </c>
      <c r="C1493" t="str">
        <f t="shared" si="176"/>
        <v>GEA</v>
      </c>
      <c r="D1493">
        <v>80</v>
      </c>
      <c r="E1493" t="str">
        <f t="shared" si="177"/>
        <v>732</v>
      </c>
      <c r="F1493" t="str">
        <f>"7"</f>
        <v>7</v>
      </c>
    </row>
    <row r="1494" spans="1:6">
      <c r="A1494" t="str">
        <f>"E1905-6"</f>
        <v>E1905-6</v>
      </c>
      <c r="B1494" t="str">
        <f t="shared" si="178"/>
        <v>VICO DELLA PACE  8-</v>
      </c>
      <c r="C1494" t="str">
        <f t="shared" si="176"/>
        <v>GEA</v>
      </c>
      <c r="D1494">
        <v>80</v>
      </c>
      <c r="E1494" t="str">
        <f t="shared" si="177"/>
        <v>732</v>
      </c>
      <c r="F1494" t="str">
        <f>"8"</f>
        <v>8</v>
      </c>
    </row>
    <row r="1495" spans="1:6">
      <c r="A1495" t="str">
        <f>"E1905-7"</f>
        <v>E1905-7</v>
      </c>
      <c r="B1495" t="str">
        <f t="shared" si="178"/>
        <v>VICO DELLA PACE  8-</v>
      </c>
      <c r="C1495" t="str">
        <f t="shared" si="176"/>
        <v>GEA</v>
      </c>
      <c r="D1495">
        <v>80</v>
      </c>
      <c r="E1495" t="str">
        <f t="shared" si="177"/>
        <v>732</v>
      </c>
      <c r="F1495" t="str">
        <f>"9"</f>
        <v>9</v>
      </c>
    </row>
    <row r="1496" spans="1:6">
      <c r="A1496" t="str">
        <f>"E1905-8"</f>
        <v>E1905-8</v>
      </c>
      <c r="B1496" t="str">
        <f t="shared" si="178"/>
        <v>VICO DELLA PACE  8-</v>
      </c>
      <c r="C1496" t="str">
        <f t="shared" si="176"/>
        <v>GEA</v>
      </c>
      <c r="D1496">
        <v>80</v>
      </c>
      <c r="E1496" t="str">
        <f t="shared" si="177"/>
        <v>732</v>
      </c>
      <c r="F1496" t="str">
        <f>"10"</f>
        <v>10</v>
      </c>
    </row>
    <row r="1497" spans="1:6">
      <c r="A1497" t="str">
        <f>"E1905-9"</f>
        <v>E1905-9</v>
      </c>
      <c r="B1497" t="str">
        <f t="shared" si="178"/>
        <v>VICO DELLA PACE  8-</v>
      </c>
      <c r="C1497" t="str">
        <f t="shared" si="176"/>
        <v>GEA</v>
      </c>
      <c r="D1497">
        <v>80</v>
      </c>
      <c r="E1497" t="str">
        <f t="shared" si="177"/>
        <v>732</v>
      </c>
      <c r="F1497" t="str">
        <f>"1"</f>
        <v>1</v>
      </c>
    </row>
    <row r="1498" spans="1:6">
      <c r="A1498" t="str">
        <f>"E1905-10"</f>
        <v>E1905-10</v>
      </c>
      <c r="B1498" t="str">
        <f>"VICO DI SAN CRISTOFORO VICINO AL 7R-"</f>
        <v>VICO DI SAN CRISTOFORO VICINO AL 7R-</v>
      </c>
      <c r="C1498" t="str">
        <f t="shared" si="176"/>
        <v>GEA</v>
      </c>
      <c r="D1498">
        <v>80</v>
      </c>
      <c r="E1498" t="str">
        <f t="shared" si="177"/>
        <v>732</v>
      </c>
      <c r="F1498" t="str">
        <f>"2"</f>
        <v>2</v>
      </c>
    </row>
    <row r="1499" spans="1:6">
      <c r="A1499" t="str">
        <f>"E1906-1"</f>
        <v>E1906-1</v>
      </c>
      <c r="B1499" t="str">
        <f>"VICO DI SAN CRISTOFORO  9R-"</f>
        <v>VICO DI SAN CRISTOFORO  9R-</v>
      </c>
      <c r="C1499" t="str">
        <f t="shared" si="176"/>
        <v>GEA</v>
      </c>
      <c r="D1499">
        <v>80</v>
      </c>
      <c r="E1499" t="str">
        <f t="shared" ref="E1499:E1505" si="179">"733"</f>
        <v>733</v>
      </c>
      <c r="F1499" t="str">
        <f>"8"</f>
        <v>8</v>
      </c>
    </row>
    <row r="1500" spans="1:6">
      <c r="A1500" t="str">
        <f>"E1906-2"</f>
        <v>E1906-2</v>
      </c>
      <c r="B1500" t="str">
        <f>"VICO DELLA PACE  10-"</f>
        <v>VICO DELLA PACE  10-</v>
      </c>
      <c r="C1500" t="str">
        <f t="shared" si="176"/>
        <v>GEA</v>
      </c>
      <c r="D1500">
        <v>80</v>
      </c>
      <c r="E1500" t="str">
        <f t="shared" si="179"/>
        <v>733</v>
      </c>
      <c r="F1500" t="str">
        <f>"4"</f>
        <v>4</v>
      </c>
    </row>
    <row r="1501" spans="1:6">
      <c r="A1501" t="str">
        <f>"E1906-3"</f>
        <v>E1906-3</v>
      </c>
      <c r="B1501" t="str">
        <f>"VICO DELLA PACE  10-"</f>
        <v>VICO DELLA PACE  10-</v>
      </c>
      <c r="C1501" t="str">
        <f t="shared" si="176"/>
        <v>GEA</v>
      </c>
      <c r="D1501">
        <v>80</v>
      </c>
      <c r="E1501" t="str">
        <f t="shared" si="179"/>
        <v>733</v>
      </c>
      <c r="F1501" t="str">
        <f>"5"</f>
        <v>5</v>
      </c>
    </row>
    <row r="1502" spans="1:6">
      <c r="A1502" t="str">
        <f>"E1906-4"</f>
        <v>E1906-4</v>
      </c>
      <c r="B1502" t="str">
        <f>"VICO DELLA PACE  10-"</f>
        <v>VICO DELLA PACE  10-</v>
      </c>
      <c r="C1502" t="str">
        <f t="shared" si="176"/>
        <v>GEA</v>
      </c>
      <c r="D1502">
        <v>80</v>
      </c>
      <c r="E1502" t="str">
        <f t="shared" si="179"/>
        <v>733</v>
      </c>
      <c r="F1502" t="str">
        <f>"6"</f>
        <v>6</v>
      </c>
    </row>
    <row r="1503" spans="1:6">
      <c r="A1503" t="str">
        <f>"E1906-5"</f>
        <v>E1906-5</v>
      </c>
      <c r="B1503" t="str">
        <f>"VICO DELLA PACE  8-"</f>
        <v>VICO DELLA PACE  8-</v>
      </c>
      <c r="C1503" t="str">
        <f t="shared" si="176"/>
        <v>GEA</v>
      </c>
      <c r="D1503">
        <v>80</v>
      </c>
      <c r="E1503" t="str">
        <f t="shared" si="179"/>
        <v>733</v>
      </c>
      <c r="F1503" t="str">
        <f>"7"</f>
        <v>7</v>
      </c>
    </row>
    <row r="1504" spans="1:6">
      <c r="A1504" t="str">
        <f>"E1906-6"</f>
        <v>E1906-6</v>
      </c>
      <c r="B1504" t="str">
        <f>"VICO DELLA PACE  10-"</f>
        <v>VICO DELLA PACE  10-</v>
      </c>
      <c r="C1504" t="str">
        <f t="shared" si="176"/>
        <v>GEA</v>
      </c>
      <c r="D1504">
        <v>80</v>
      </c>
      <c r="E1504" t="str">
        <f t="shared" si="179"/>
        <v>733</v>
      </c>
      <c r="F1504" t="str">
        <f>"1"</f>
        <v>1</v>
      </c>
    </row>
    <row r="1505" spans="1:6">
      <c r="A1505" t="str">
        <f>"E1906-6"</f>
        <v>E1906-6</v>
      </c>
      <c r="B1505" t="str">
        <f>"VICO DELLA PACE  10-"</f>
        <v>VICO DELLA PACE  10-</v>
      </c>
      <c r="C1505" t="str">
        <f t="shared" si="176"/>
        <v>GEA</v>
      </c>
      <c r="D1505">
        <v>80</v>
      </c>
      <c r="E1505" t="str">
        <f t="shared" si="179"/>
        <v>733</v>
      </c>
      <c r="F1505" t="str">
        <f>"2"</f>
        <v>2</v>
      </c>
    </row>
    <row r="1506" spans="1:6">
      <c r="A1506" t="str">
        <f>"E1907-1"</f>
        <v>E1907-1</v>
      </c>
      <c r="B1506" t="str">
        <f>"VICO DI SAN CRISTOFORO  3R-"</f>
        <v>VICO DI SAN CRISTOFORO  3R-</v>
      </c>
      <c r="C1506" t="str">
        <f t="shared" si="176"/>
        <v>GEA</v>
      </c>
      <c r="D1506">
        <v>80</v>
      </c>
      <c r="E1506" t="str">
        <f>"718"</f>
        <v>718</v>
      </c>
      <c r="F1506" t="str">
        <f>"1"</f>
        <v>1</v>
      </c>
    </row>
    <row r="1507" spans="1:6">
      <c r="A1507" t="str">
        <f>"E1916-1"</f>
        <v>E1916-1</v>
      </c>
      <c r="B1507" t="str">
        <f t="shared" ref="B1507:B1514" si="180">"SALITA DI OREGINA  53-"</f>
        <v>SALITA DI OREGINA  53-</v>
      </c>
      <c r="C1507" t="str">
        <f t="shared" ref="C1507:C1538" si="181">"GEC"</f>
        <v>GEC</v>
      </c>
      <c r="D1507">
        <v>3</v>
      </c>
      <c r="E1507" t="str">
        <f t="shared" ref="E1507:E1522" si="182">"80"</f>
        <v>80</v>
      </c>
      <c r="F1507" t="str">
        <f>"4"</f>
        <v>4</v>
      </c>
    </row>
    <row r="1508" spans="1:6">
      <c r="A1508" t="str">
        <f>"E1916-2"</f>
        <v>E1916-2</v>
      </c>
      <c r="B1508" t="str">
        <f t="shared" si="180"/>
        <v>SALITA DI OREGINA  53-</v>
      </c>
      <c r="C1508" t="str">
        <f t="shared" si="181"/>
        <v>GEC</v>
      </c>
      <c r="D1508">
        <v>3</v>
      </c>
      <c r="E1508" t="str">
        <f t="shared" si="182"/>
        <v>80</v>
      </c>
      <c r="F1508" t="str">
        <f>"8"</f>
        <v>8</v>
      </c>
    </row>
    <row r="1509" spans="1:6">
      <c r="A1509" t="str">
        <f>"E1916-3"</f>
        <v>E1916-3</v>
      </c>
      <c r="B1509" t="str">
        <f t="shared" si="180"/>
        <v>SALITA DI OREGINA  53-</v>
      </c>
      <c r="C1509" t="str">
        <f t="shared" si="181"/>
        <v>GEC</v>
      </c>
      <c r="D1509">
        <v>3</v>
      </c>
      <c r="E1509" t="str">
        <f t="shared" si="182"/>
        <v>80</v>
      </c>
      <c r="F1509" t="str">
        <f>"9"</f>
        <v>9</v>
      </c>
    </row>
    <row r="1510" spans="1:6">
      <c r="A1510" t="str">
        <f>"E1916-4"</f>
        <v>E1916-4</v>
      </c>
      <c r="B1510" t="str">
        <f t="shared" si="180"/>
        <v>SALITA DI OREGINA  53-</v>
      </c>
      <c r="C1510" t="str">
        <f t="shared" si="181"/>
        <v>GEC</v>
      </c>
      <c r="D1510">
        <v>3</v>
      </c>
      <c r="E1510" t="str">
        <f t="shared" si="182"/>
        <v>80</v>
      </c>
      <c r="F1510" t="str">
        <f>"12"</f>
        <v>12</v>
      </c>
    </row>
    <row r="1511" spans="1:6">
      <c r="A1511" t="str">
        <f>"E1916-5"</f>
        <v>E1916-5</v>
      </c>
      <c r="B1511" t="str">
        <f t="shared" si="180"/>
        <v>SALITA DI OREGINA  53-</v>
      </c>
      <c r="C1511" t="str">
        <f t="shared" si="181"/>
        <v>GEC</v>
      </c>
      <c r="D1511">
        <v>3</v>
      </c>
      <c r="E1511" t="str">
        <f t="shared" si="182"/>
        <v>80</v>
      </c>
      <c r="F1511" t="str">
        <f>"15"</f>
        <v>15</v>
      </c>
    </row>
    <row r="1512" spans="1:6">
      <c r="A1512" t="str">
        <f>"E1916-6"</f>
        <v>E1916-6</v>
      </c>
      <c r="B1512" t="str">
        <f t="shared" si="180"/>
        <v>SALITA DI OREGINA  53-</v>
      </c>
      <c r="C1512" t="str">
        <f t="shared" si="181"/>
        <v>GEC</v>
      </c>
      <c r="D1512">
        <v>3</v>
      </c>
      <c r="E1512" t="str">
        <f t="shared" si="182"/>
        <v>80</v>
      </c>
      <c r="F1512" t="str">
        <f>"16"</f>
        <v>16</v>
      </c>
    </row>
    <row r="1513" spans="1:6">
      <c r="A1513" t="str">
        <f>"E1916-7"</f>
        <v>E1916-7</v>
      </c>
      <c r="B1513" t="str">
        <f t="shared" si="180"/>
        <v>SALITA DI OREGINA  53-</v>
      </c>
      <c r="C1513" t="str">
        <f t="shared" si="181"/>
        <v>GEC</v>
      </c>
      <c r="D1513">
        <v>3</v>
      </c>
      <c r="E1513" t="str">
        <f t="shared" si="182"/>
        <v>80</v>
      </c>
      <c r="F1513" t="str">
        <f>"20"</f>
        <v>20</v>
      </c>
    </row>
    <row r="1514" spans="1:6">
      <c r="A1514" t="str">
        <f>"E1916-8"</f>
        <v>E1916-8</v>
      </c>
      <c r="B1514" t="str">
        <f t="shared" si="180"/>
        <v>SALITA DI OREGINA  53-</v>
      </c>
      <c r="C1514" t="str">
        <f t="shared" si="181"/>
        <v>GEC</v>
      </c>
      <c r="D1514">
        <v>3</v>
      </c>
      <c r="E1514" t="str">
        <f t="shared" si="182"/>
        <v>80</v>
      </c>
      <c r="F1514" t="str">
        <f>"21"</f>
        <v>21</v>
      </c>
    </row>
    <row r="1515" spans="1:6">
      <c r="A1515" t="str">
        <f>"E1916-9"</f>
        <v>E1916-9</v>
      </c>
      <c r="B1515" t="str">
        <f t="shared" ref="B1515:B1522" si="183">"SALITA DI OREGINA  55-"</f>
        <v>SALITA DI OREGINA  55-</v>
      </c>
      <c r="C1515" t="str">
        <f t="shared" si="181"/>
        <v>GEC</v>
      </c>
      <c r="D1515">
        <v>3</v>
      </c>
      <c r="E1515" t="str">
        <f t="shared" si="182"/>
        <v>80</v>
      </c>
      <c r="F1515" t="str">
        <f>"26"</f>
        <v>26</v>
      </c>
    </row>
    <row r="1516" spans="1:6">
      <c r="A1516" t="str">
        <f>"E1916-10"</f>
        <v>E1916-10</v>
      </c>
      <c r="B1516" t="str">
        <f t="shared" si="183"/>
        <v>SALITA DI OREGINA  55-</v>
      </c>
      <c r="C1516" t="str">
        <f t="shared" si="181"/>
        <v>GEC</v>
      </c>
      <c r="D1516">
        <v>3</v>
      </c>
      <c r="E1516" t="str">
        <f t="shared" si="182"/>
        <v>80</v>
      </c>
      <c r="F1516" t="str">
        <f>"32"</f>
        <v>32</v>
      </c>
    </row>
    <row r="1517" spans="1:6">
      <c r="A1517" t="str">
        <f>"E1916-11"</f>
        <v>E1916-11</v>
      </c>
      <c r="B1517" t="str">
        <f t="shared" si="183"/>
        <v>SALITA DI OREGINA  55-</v>
      </c>
      <c r="C1517" t="str">
        <f t="shared" si="181"/>
        <v>GEC</v>
      </c>
      <c r="D1517">
        <v>3</v>
      </c>
      <c r="E1517" t="str">
        <f t="shared" si="182"/>
        <v>80</v>
      </c>
      <c r="F1517" t="str">
        <f>"40"</f>
        <v>40</v>
      </c>
    </row>
    <row r="1518" spans="1:6">
      <c r="A1518" t="str">
        <f>"E1916-12"</f>
        <v>E1916-12</v>
      </c>
      <c r="B1518" t="str">
        <f t="shared" si="183"/>
        <v>SALITA DI OREGINA  55-</v>
      </c>
      <c r="C1518" t="str">
        <f t="shared" si="181"/>
        <v>GEC</v>
      </c>
      <c r="D1518">
        <v>3</v>
      </c>
      <c r="E1518" t="str">
        <f t="shared" si="182"/>
        <v>80</v>
      </c>
      <c r="F1518" t="str">
        <f>"42"</f>
        <v>42</v>
      </c>
    </row>
    <row r="1519" spans="1:6">
      <c r="A1519" t="str">
        <f>"E1916-13"</f>
        <v>E1916-13</v>
      </c>
      <c r="B1519" t="str">
        <f t="shared" si="183"/>
        <v>SALITA DI OREGINA  55-</v>
      </c>
      <c r="C1519" t="str">
        <f t="shared" si="181"/>
        <v>GEC</v>
      </c>
      <c r="D1519">
        <v>3</v>
      </c>
      <c r="E1519" t="str">
        <f t="shared" si="182"/>
        <v>80</v>
      </c>
      <c r="F1519" t="str">
        <f>"43"</f>
        <v>43</v>
      </c>
    </row>
    <row r="1520" spans="1:6">
      <c r="A1520" t="str">
        <f>"E1916-14"</f>
        <v>E1916-14</v>
      </c>
      <c r="B1520" t="str">
        <f t="shared" si="183"/>
        <v>SALITA DI OREGINA  55-</v>
      </c>
      <c r="C1520" t="str">
        <f t="shared" si="181"/>
        <v>GEC</v>
      </c>
      <c r="D1520">
        <v>3</v>
      </c>
      <c r="E1520" t="str">
        <f t="shared" si="182"/>
        <v>80</v>
      </c>
      <c r="F1520" t="str">
        <f>"44"</f>
        <v>44</v>
      </c>
    </row>
    <row r="1521" spans="1:6">
      <c r="A1521" t="str">
        <f>"E1916-15"</f>
        <v>E1916-15</v>
      </c>
      <c r="B1521" t="str">
        <f t="shared" si="183"/>
        <v>SALITA DI OREGINA  55-</v>
      </c>
      <c r="C1521" t="str">
        <f t="shared" si="181"/>
        <v>GEC</v>
      </c>
      <c r="D1521">
        <v>3</v>
      </c>
      <c r="E1521" t="str">
        <f t="shared" si="182"/>
        <v>80</v>
      </c>
      <c r="F1521" t="str">
        <f>"45"</f>
        <v>45</v>
      </c>
    </row>
    <row r="1522" spans="1:6">
      <c r="A1522" t="str">
        <f>"E1916-16"</f>
        <v>E1916-16</v>
      </c>
      <c r="B1522" t="str">
        <f t="shared" si="183"/>
        <v>SALITA DI OREGINA  55-</v>
      </c>
      <c r="C1522" t="str">
        <f t="shared" si="181"/>
        <v>GEC</v>
      </c>
      <c r="D1522">
        <v>3</v>
      </c>
      <c r="E1522" t="str">
        <f t="shared" si="182"/>
        <v>80</v>
      </c>
      <c r="F1522" t="str">
        <f>"46"</f>
        <v>46</v>
      </c>
    </row>
    <row r="1523" spans="1:6">
      <c r="A1523" t="str">
        <f>"E1917-1"</f>
        <v>E1917-1</v>
      </c>
      <c r="B1523" t="str">
        <f t="shared" ref="B1523:B1532" si="184">"VIA PAOLO DELLA CELLA  6-"</f>
        <v>VIA PAOLO DELLA CELLA  6-</v>
      </c>
      <c r="C1523" t="str">
        <f t="shared" si="181"/>
        <v>GEC</v>
      </c>
      <c r="D1523">
        <v>3</v>
      </c>
      <c r="E1523" t="str">
        <f t="shared" ref="E1523:E1542" si="185">"76"</f>
        <v>76</v>
      </c>
      <c r="F1523" t="str">
        <f>"2"</f>
        <v>2</v>
      </c>
    </row>
    <row r="1524" spans="1:6">
      <c r="A1524" t="str">
        <f>"E1917-2"</f>
        <v>E1917-2</v>
      </c>
      <c r="B1524" t="str">
        <f t="shared" si="184"/>
        <v>VIA PAOLO DELLA CELLA  6-</v>
      </c>
      <c r="C1524" t="str">
        <f t="shared" si="181"/>
        <v>GEC</v>
      </c>
      <c r="D1524">
        <v>3</v>
      </c>
      <c r="E1524" t="str">
        <f t="shared" si="185"/>
        <v>76</v>
      </c>
      <c r="F1524" t="str">
        <f>"3"</f>
        <v>3</v>
      </c>
    </row>
    <row r="1525" spans="1:6">
      <c r="A1525" t="str">
        <f>"E1917-3"</f>
        <v>E1917-3</v>
      </c>
      <c r="B1525" t="str">
        <f t="shared" si="184"/>
        <v>VIA PAOLO DELLA CELLA  6-</v>
      </c>
      <c r="C1525" t="str">
        <f t="shared" si="181"/>
        <v>GEC</v>
      </c>
      <c r="D1525">
        <v>3</v>
      </c>
      <c r="E1525" t="str">
        <f t="shared" si="185"/>
        <v>76</v>
      </c>
      <c r="F1525" t="str">
        <f>"4"</f>
        <v>4</v>
      </c>
    </row>
    <row r="1526" spans="1:6">
      <c r="A1526" t="str">
        <f>"E1917-4"</f>
        <v>E1917-4</v>
      </c>
      <c r="B1526" t="str">
        <f t="shared" si="184"/>
        <v>VIA PAOLO DELLA CELLA  6-</v>
      </c>
      <c r="C1526" t="str">
        <f t="shared" si="181"/>
        <v>GEC</v>
      </c>
      <c r="D1526">
        <v>3</v>
      </c>
      <c r="E1526" t="str">
        <f t="shared" si="185"/>
        <v>76</v>
      </c>
      <c r="F1526" t="str">
        <f>"5"</f>
        <v>5</v>
      </c>
    </row>
    <row r="1527" spans="1:6">
      <c r="A1527" t="str">
        <f>"E1917-5"</f>
        <v>E1917-5</v>
      </c>
      <c r="B1527" t="str">
        <f t="shared" si="184"/>
        <v>VIA PAOLO DELLA CELLA  6-</v>
      </c>
      <c r="C1527" t="str">
        <f t="shared" si="181"/>
        <v>GEC</v>
      </c>
      <c r="D1527">
        <v>3</v>
      </c>
      <c r="E1527" t="str">
        <f t="shared" si="185"/>
        <v>76</v>
      </c>
      <c r="F1527" t="str">
        <f>"7"</f>
        <v>7</v>
      </c>
    </row>
    <row r="1528" spans="1:6">
      <c r="A1528" t="str">
        <f>"E1917-6"</f>
        <v>E1917-6</v>
      </c>
      <c r="B1528" t="str">
        <f t="shared" si="184"/>
        <v>VIA PAOLO DELLA CELLA  6-</v>
      </c>
      <c r="C1528" t="str">
        <f t="shared" si="181"/>
        <v>GEC</v>
      </c>
      <c r="D1528">
        <v>3</v>
      </c>
      <c r="E1528" t="str">
        <f t="shared" si="185"/>
        <v>76</v>
      </c>
      <c r="F1528" t="str">
        <f>"9"</f>
        <v>9</v>
      </c>
    </row>
    <row r="1529" spans="1:6">
      <c r="A1529" t="str">
        <f>"E1917-7"</f>
        <v>E1917-7</v>
      </c>
      <c r="B1529" t="str">
        <f t="shared" si="184"/>
        <v>VIA PAOLO DELLA CELLA  6-</v>
      </c>
      <c r="C1529" t="str">
        <f t="shared" si="181"/>
        <v>GEC</v>
      </c>
      <c r="D1529">
        <v>3</v>
      </c>
      <c r="E1529" t="str">
        <f t="shared" si="185"/>
        <v>76</v>
      </c>
      <c r="F1529" t="str">
        <f>"13"</f>
        <v>13</v>
      </c>
    </row>
    <row r="1530" spans="1:6">
      <c r="A1530" t="str">
        <f>"E1917-8"</f>
        <v>E1917-8</v>
      </c>
      <c r="B1530" t="str">
        <f t="shared" si="184"/>
        <v>VIA PAOLO DELLA CELLA  6-</v>
      </c>
      <c r="C1530" t="str">
        <f t="shared" si="181"/>
        <v>GEC</v>
      </c>
      <c r="D1530">
        <v>3</v>
      </c>
      <c r="E1530" t="str">
        <f t="shared" si="185"/>
        <v>76</v>
      </c>
      <c r="F1530" t="str">
        <f>"17"</f>
        <v>17</v>
      </c>
    </row>
    <row r="1531" spans="1:6">
      <c r="A1531" t="str">
        <f>"E1917-9"</f>
        <v>E1917-9</v>
      </c>
      <c r="B1531" t="str">
        <f t="shared" si="184"/>
        <v>VIA PAOLO DELLA CELLA  6-</v>
      </c>
      <c r="C1531" t="str">
        <f t="shared" si="181"/>
        <v>GEC</v>
      </c>
      <c r="D1531">
        <v>3</v>
      </c>
      <c r="E1531" t="str">
        <f t="shared" si="185"/>
        <v>76</v>
      </c>
      <c r="F1531" t="str">
        <f>"18"</f>
        <v>18</v>
      </c>
    </row>
    <row r="1532" spans="1:6">
      <c r="A1532" t="str">
        <f>"E1917-10"</f>
        <v>E1917-10</v>
      </c>
      <c r="B1532" t="str">
        <f t="shared" si="184"/>
        <v>VIA PAOLO DELLA CELLA  6-</v>
      </c>
      <c r="C1532" t="str">
        <f t="shared" si="181"/>
        <v>GEC</v>
      </c>
      <c r="D1532">
        <v>3</v>
      </c>
      <c r="E1532" t="str">
        <f t="shared" si="185"/>
        <v>76</v>
      </c>
      <c r="F1532" t="str">
        <f>"21"</f>
        <v>21</v>
      </c>
    </row>
    <row r="1533" spans="1:6">
      <c r="A1533" t="str">
        <f>"E1917-11"</f>
        <v>E1917-11</v>
      </c>
      <c r="B1533" t="str">
        <f t="shared" ref="B1533:B1542" si="186">"VIA PAOLO DELLA CELLA  8-"</f>
        <v>VIA PAOLO DELLA CELLA  8-</v>
      </c>
      <c r="C1533" t="str">
        <f t="shared" si="181"/>
        <v>GEC</v>
      </c>
      <c r="D1533">
        <v>3</v>
      </c>
      <c r="E1533" t="str">
        <f t="shared" si="185"/>
        <v>76</v>
      </c>
      <c r="F1533" t="str">
        <f>"23"</f>
        <v>23</v>
      </c>
    </row>
    <row r="1534" spans="1:6">
      <c r="A1534" t="str">
        <f>"E1917-12"</f>
        <v>E1917-12</v>
      </c>
      <c r="B1534" t="str">
        <f t="shared" si="186"/>
        <v>VIA PAOLO DELLA CELLA  8-</v>
      </c>
      <c r="C1534" t="str">
        <f t="shared" si="181"/>
        <v>GEC</v>
      </c>
      <c r="D1534">
        <v>3</v>
      </c>
      <c r="E1534" t="str">
        <f t="shared" si="185"/>
        <v>76</v>
      </c>
      <c r="F1534" t="str">
        <f>"26"</f>
        <v>26</v>
      </c>
    </row>
    <row r="1535" spans="1:6">
      <c r="A1535" t="str">
        <f>"E1917-13"</f>
        <v>E1917-13</v>
      </c>
      <c r="B1535" t="str">
        <f t="shared" si="186"/>
        <v>VIA PAOLO DELLA CELLA  8-</v>
      </c>
      <c r="C1535" t="str">
        <f t="shared" si="181"/>
        <v>GEC</v>
      </c>
      <c r="D1535">
        <v>3</v>
      </c>
      <c r="E1535" t="str">
        <f t="shared" si="185"/>
        <v>76</v>
      </c>
      <c r="F1535" t="str">
        <f>"27"</f>
        <v>27</v>
      </c>
    </row>
    <row r="1536" spans="1:6">
      <c r="A1536" t="str">
        <f>"E1917-14"</f>
        <v>E1917-14</v>
      </c>
      <c r="B1536" t="str">
        <f t="shared" si="186"/>
        <v>VIA PAOLO DELLA CELLA  8-</v>
      </c>
      <c r="C1536" t="str">
        <f t="shared" si="181"/>
        <v>GEC</v>
      </c>
      <c r="D1536">
        <v>3</v>
      </c>
      <c r="E1536" t="str">
        <f t="shared" si="185"/>
        <v>76</v>
      </c>
      <c r="F1536" t="str">
        <f>"30"</f>
        <v>30</v>
      </c>
    </row>
    <row r="1537" spans="1:6">
      <c r="A1537" t="str">
        <f>"E1917-15"</f>
        <v>E1917-15</v>
      </c>
      <c r="B1537" t="str">
        <f t="shared" si="186"/>
        <v>VIA PAOLO DELLA CELLA  8-</v>
      </c>
      <c r="C1537" t="str">
        <f t="shared" si="181"/>
        <v>GEC</v>
      </c>
      <c r="D1537">
        <v>3</v>
      </c>
      <c r="E1537" t="str">
        <f t="shared" si="185"/>
        <v>76</v>
      </c>
      <c r="F1537" t="str">
        <f>"31"</f>
        <v>31</v>
      </c>
    </row>
    <row r="1538" spans="1:6">
      <c r="A1538" t="str">
        <f>"E1917-16"</f>
        <v>E1917-16</v>
      </c>
      <c r="B1538" t="str">
        <f t="shared" si="186"/>
        <v>VIA PAOLO DELLA CELLA  8-</v>
      </c>
      <c r="C1538" t="str">
        <f t="shared" si="181"/>
        <v>GEC</v>
      </c>
      <c r="D1538">
        <v>3</v>
      </c>
      <c r="E1538" t="str">
        <f t="shared" si="185"/>
        <v>76</v>
      </c>
      <c r="F1538" t="str">
        <f>"36"</f>
        <v>36</v>
      </c>
    </row>
    <row r="1539" spans="1:6">
      <c r="A1539" t="str">
        <f>"E1917-17"</f>
        <v>E1917-17</v>
      </c>
      <c r="B1539" t="str">
        <f t="shared" si="186"/>
        <v>VIA PAOLO DELLA CELLA  8-</v>
      </c>
      <c r="C1539" t="str">
        <f t="shared" ref="C1539:C1570" si="187">"GEC"</f>
        <v>GEC</v>
      </c>
      <c r="D1539">
        <v>3</v>
      </c>
      <c r="E1539" t="str">
        <f t="shared" si="185"/>
        <v>76</v>
      </c>
      <c r="F1539" t="str">
        <f>"39"</f>
        <v>39</v>
      </c>
    </row>
    <row r="1540" spans="1:6">
      <c r="A1540" t="str">
        <f>"E1917-18"</f>
        <v>E1917-18</v>
      </c>
      <c r="B1540" t="str">
        <f t="shared" si="186"/>
        <v>VIA PAOLO DELLA CELLA  8-</v>
      </c>
      <c r="C1540" t="str">
        <f t="shared" si="187"/>
        <v>GEC</v>
      </c>
      <c r="D1540">
        <v>3</v>
      </c>
      <c r="E1540" t="str">
        <f t="shared" si="185"/>
        <v>76</v>
      </c>
      <c r="F1540" t="str">
        <f>"40"</f>
        <v>40</v>
      </c>
    </row>
    <row r="1541" spans="1:6">
      <c r="A1541" t="str">
        <f>"E1917-19"</f>
        <v>E1917-19</v>
      </c>
      <c r="B1541" t="str">
        <f t="shared" si="186"/>
        <v>VIA PAOLO DELLA CELLA  8-</v>
      </c>
      <c r="C1541" t="str">
        <f t="shared" si="187"/>
        <v>GEC</v>
      </c>
      <c r="D1541">
        <v>3</v>
      </c>
      <c r="E1541" t="str">
        <f t="shared" si="185"/>
        <v>76</v>
      </c>
      <c r="F1541" t="str">
        <f>"41"</f>
        <v>41</v>
      </c>
    </row>
    <row r="1542" spans="1:6">
      <c r="A1542" t="str">
        <f>"E1917-20"</f>
        <v>E1917-20</v>
      </c>
      <c r="B1542" t="str">
        <f t="shared" si="186"/>
        <v>VIA PAOLO DELLA CELLA  8-</v>
      </c>
      <c r="C1542" t="str">
        <f t="shared" si="187"/>
        <v>GEC</v>
      </c>
      <c r="D1542">
        <v>3</v>
      </c>
      <c r="E1542" t="str">
        <f t="shared" si="185"/>
        <v>76</v>
      </c>
      <c r="F1542" t="str">
        <f>"42"</f>
        <v>42</v>
      </c>
    </row>
    <row r="1543" spans="1:6">
      <c r="A1543" t="str">
        <f>"E1918-1"</f>
        <v>E1918-1</v>
      </c>
      <c r="B1543" t="str">
        <f t="shared" ref="B1543:B1549" si="188">"VIA PAOLO DELLA CELLA  10-"</f>
        <v>VIA PAOLO DELLA CELLA  10-</v>
      </c>
      <c r="C1543" t="str">
        <f t="shared" si="187"/>
        <v>GEC</v>
      </c>
      <c r="D1543">
        <v>3</v>
      </c>
      <c r="E1543" t="str">
        <f t="shared" ref="E1543:E1549" si="189">"77"</f>
        <v>77</v>
      </c>
      <c r="F1543" t="str">
        <f>"1"</f>
        <v>1</v>
      </c>
    </row>
    <row r="1544" spans="1:6">
      <c r="A1544" t="str">
        <f>"E1918-2"</f>
        <v>E1918-2</v>
      </c>
      <c r="B1544" t="str">
        <f t="shared" si="188"/>
        <v>VIA PAOLO DELLA CELLA  10-</v>
      </c>
      <c r="C1544" t="str">
        <f t="shared" si="187"/>
        <v>GEC</v>
      </c>
      <c r="D1544">
        <v>3</v>
      </c>
      <c r="E1544" t="str">
        <f t="shared" si="189"/>
        <v>77</v>
      </c>
      <c r="F1544" t="str">
        <f>"4"</f>
        <v>4</v>
      </c>
    </row>
    <row r="1545" spans="1:6">
      <c r="A1545" t="str">
        <f>"E1918-3"</f>
        <v>E1918-3</v>
      </c>
      <c r="B1545" t="str">
        <f t="shared" si="188"/>
        <v>VIA PAOLO DELLA CELLA  10-</v>
      </c>
      <c r="C1545" t="str">
        <f t="shared" si="187"/>
        <v>GEC</v>
      </c>
      <c r="D1545">
        <v>3</v>
      </c>
      <c r="E1545" t="str">
        <f t="shared" si="189"/>
        <v>77</v>
      </c>
      <c r="F1545" t="str">
        <f>"9"</f>
        <v>9</v>
      </c>
    </row>
    <row r="1546" spans="1:6">
      <c r="A1546" t="str">
        <f>"E1918-4"</f>
        <v>E1918-4</v>
      </c>
      <c r="B1546" t="str">
        <f t="shared" si="188"/>
        <v>VIA PAOLO DELLA CELLA  10-</v>
      </c>
      <c r="C1546" t="str">
        <f t="shared" si="187"/>
        <v>GEC</v>
      </c>
      <c r="D1546">
        <v>3</v>
      </c>
      <c r="E1546" t="str">
        <f t="shared" si="189"/>
        <v>77</v>
      </c>
      <c r="F1546" t="str">
        <f>"11"</f>
        <v>11</v>
      </c>
    </row>
    <row r="1547" spans="1:6">
      <c r="A1547" t="str">
        <f>"E1918-5"</f>
        <v>E1918-5</v>
      </c>
      <c r="B1547" t="str">
        <f t="shared" si="188"/>
        <v>VIA PAOLO DELLA CELLA  10-</v>
      </c>
      <c r="C1547" t="str">
        <f t="shared" si="187"/>
        <v>GEC</v>
      </c>
      <c r="D1547">
        <v>3</v>
      </c>
      <c r="E1547" t="str">
        <f t="shared" si="189"/>
        <v>77</v>
      </c>
      <c r="F1547" t="str">
        <f>"12"</f>
        <v>12</v>
      </c>
    </row>
    <row r="1548" spans="1:6">
      <c r="A1548" t="str">
        <f>"E1918-6"</f>
        <v>E1918-6</v>
      </c>
      <c r="B1548" t="str">
        <f t="shared" si="188"/>
        <v>VIA PAOLO DELLA CELLA  10-</v>
      </c>
      <c r="C1548" t="str">
        <f t="shared" si="187"/>
        <v>GEC</v>
      </c>
      <c r="D1548">
        <v>3</v>
      </c>
      <c r="E1548" t="str">
        <f t="shared" si="189"/>
        <v>77</v>
      </c>
      <c r="F1548" t="str">
        <f>"15"</f>
        <v>15</v>
      </c>
    </row>
    <row r="1549" spans="1:6">
      <c r="A1549" t="str">
        <f>"E1918-7"</f>
        <v>E1918-7</v>
      </c>
      <c r="B1549" t="str">
        <f t="shared" si="188"/>
        <v>VIA PAOLO DELLA CELLA  10-</v>
      </c>
      <c r="C1549" t="str">
        <f t="shared" si="187"/>
        <v>GEC</v>
      </c>
      <c r="D1549">
        <v>3</v>
      </c>
      <c r="E1549" t="str">
        <f t="shared" si="189"/>
        <v>77</v>
      </c>
      <c r="F1549" t="str">
        <f>"19"</f>
        <v>19</v>
      </c>
    </row>
    <row r="1550" spans="1:6">
      <c r="A1550" t="str">
        <f>"E1920-1"</f>
        <v>E1920-1</v>
      </c>
      <c r="B1550" t="str">
        <f t="shared" ref="B1550:B1562" si="190">"VIA PAOLO DELLA CELLA  12-"</f>
        <v>VIA PAOLO DELLA CELLA  12-</v>
      </c>
      <c r="C1550" t="str">
        <f t="shared" si="187"/>
        <v>GEC</v>
      </c>
      <c r="D1550">
        <v>3</v>
      </c>
      <c r="E1550" t="str">
        <f t="shared" ref="E1550:E1562" si="191">"78"</f>
        <v>78</v>
      </c>
      <c r="F1550" t="str">
        <f>"1"</f>
        <v>1</v>
      </c>
    </row>
    <row r="1551" spans="1:6">
      <c r="A1551" t="str">
        <f>"E1920-2"</f>
        <v>E1920-2</v>
      </c>
      <c r="B1551" t="str">
        <f t="shared" si="190"/>
        <v>VIA PAOLO DELLA CELLA  12-</v>
      </c>
      <c r="C1551" t="str">
        <f t="shared" si="187"/>
        <v>GEC</v>
      </c>
      <c r="D1551">
        <v>3</v>
      </c>
      <c r="E1551" t="str">
        <f t="shared" si="191"/>
        <v>78</v>
      </c>
      <c r="F1551" t="str">
        <f>"4"</f>
        <v>4</v>
      </c>
    </row>
    <row r="1552" spans="1:6">
      <c r="A1552" t="str">
        <f>"E1920-3"</f>
        <v>E1920-3</v>
      </c>
      <c r="B1552" t="str">
        <f t="shared" si="190"/>
        <v>VIA PAOLO DELLA CELLA  12-</v>
      </c>
      <c r="C1552" t="str">
        <f t="shared" si="187"/>
        <v>GEC</v>
      </c>
      <c r="D1552">
        <v>3</v>
      </c>
      <c r="E1552" t="str">
        <f t="shared" si="191"/>
        <v>78</v>
      </c>
      <c r="F1552" t="str">
        <f>"7"</f>
        <v>7</v>
      </c>
    </row>
    <row r="1553" spans="1:6">
      <c r="A1553" t="str">
        <f>"E1920-4"</f>
        <v>E1920-4</v>
      </c>
      <c r="B1553" t="str">
        <f t="shared" si="190"/>
        <v>VIA PAOLO DELLA CELLA  12-</v>
      </c>
      <c r="C1553" t="str">
        <f t="shared" si="187"/>
        <v>GEC</v>
      </c>
      <c r="D1553">
        <v>3</v>
      </c>
      <c r="E1553" t="str">
        <f t="shared" si="191"/>
        <v>78</v>
      </c>
      <c r="F1553" t="str">
        <f>"10"</f>
        <v>10</v>
      </c>
    </row>
    <row r="1554" spans="1:6">
      <c r="A1554" t="str">
        <f>"E1920-5"</f>
        <v>E1920-5</v>
      </c>
      <c r="B1554" t="str">
        <f t="shared" si="190"/>
        <v>VIA PAOLO DELLA CELLA  12-</v>
      </c>
      <c r="C1554" t="str">
        <f t="shared" si="187"/>
        <v>GEC</v>
      </c>
      <c r="D1554">
        <v>3</v>
      </c>
      <c r="E1554" t="str">
        <f t="shared" si="191"/>
        <v>78</v>
      </c>
      <c r="F1554" t="str">
        <f>"11"</f>
        <v>11</v>
      </c>
    </row>
    <row r="1555" spans="1:6">
      <c r="A1555" t="str">
        <f>"E1920-6"</f>
        <v>E1920-6</v>
      </c>
      <c r="B1555" t="str">
        <f t="shared" si="190"/>
        <v>VIA PAOLO DELLA CELLA  12-</v>
      </c>
      <c r="C1555" t="str">
        <f t="shared" si="187"/>
        <v>GEC</v>
      </c>
      <c r="D1555">
        <v>3</v>
      </c>
      <c r="E1555" t="str">
        <f t="shared" si="191"/>
        <v>78</v>
      </c>
      <c r="F1555" t="str">
        <f>"12"</f>
        <v>12</v>
      </c>
    </row>
    <row r="1556" spans="1:6">
      <c r="A1556" t="str">
        <f>"E1920-7"</f>
        <v>E1920-7</v>
      </c>
      <c r="B1556" t="str">
        <f t="shared" si="190"/>
        <v>VIA PAOLO DELLA CELLA  12-</v>
      </c>
      <c r="C1556" t="str">
        <f t="shared" si="187"/>
        <v>GEC</v>
      </c>
      <c r="D1556">
        <v>3</v>
      </c>
      <c r="E1556" t="str">
        <f t="shared" si="191"/>
        <v>78</v>
      </c>
      <c r="F1556" t="str">
        <f>"15"</f>
        <v>15</v>
      </c>
    </row>
    <row r="1557" spans="1:6">
      <c r="A1557" t="str">
        <f>"E1920-8"</f>
        <v>E1920-8</v>
      </c>
      <c r="B1557" t="str">
        <f t="shared" si="190"/>
        <v>VIA PAOLO DELLA CELLA  12-</v>
      </c>
      <c r="C1557" t="str">
        <f t="shared" si="187"/>
        <v>GEC</v>
      </c>
      <c r="D1557">
        <v>3</v>
      </c>
      <c r="E1557" t="str">
        <f t="shared" si="191"/>
        <v>78</v>
      </c>
      <c r="F1557" t="str">
        <f>"16"</f>
        <v>16</v>
      </c>
    </row>
    <row r="1558" spans="1:6">
      <c r="A1558" t="str">
        <f>"E1920-9"</f>
        <v>E1920-9</v>
      </c>
      <c r="B1558" t="str">
        <f t="shared" si="190"/>
        <v>VIA PAOLO DELLA CELLA  12-</v>
      </c>
      <c r="C1558" t="str">
        <f t="shared" si="187"/>
        <v>GEC</v>
      </c>
      <c r="D1558">
        <v>3</v>
      </c>
      <c r="E1558" t="str">
        <f t="shared" si="191"/>
        <v>78</v>
      </c>
      <c r="F1558" t="str">
        <f>"18"</f>
        <v>18</v>
      </c>
    </row>
    <row r="1559" spans="1:6">
      <c r="A1559" t="str">
        <f>"E1920-10"</f>
        <v>E1920-10</v>
      </c>
      <c r="B1559" t="str">
        <f t="shared" si="190"/>
        <v>VIA PAOLO DELLA CELLA  12-</v>
      </c>
      <c r="C1559" t="str">
        <f t="shared" si="187"/>
        <v>GEC</v>
      </c>
      <c r="D1559">
        <v>3</v>
      </c>
      <c r="E1559" t="str">
        <f t="shared" si="191"/>
        <v>78</v>
      </c>
      <c r="F1559" t="str">
        <f>"20"</f>
        <v>20</v>
      </c>
    </row>
    <row r="1560" spans="1:6">
      <c r="A1560" t="str">
        <f>"E1920-11"</f>
        <v>E1920-11</v>
      </c>
      <c r="B1560" t="str">
        <f t="shared" si="190"/>
        <v>VIA PAOLO DELLA CELLA  12-</v>
      </c>
      <c r="C1560" t="str">
        <f t="shared" si="187"/>
        <v>GEC</v>
      </c>
      <c r="D1560">
        <v>3</v>
      </c>
      <c r="E1560" t="str">
        <f t="shared" si="191"/>
        <v>78</v>
      </c>
      <c r="F1560" t="str">
        <f>"21"</f>
        <v>21</v>
      </c>
    </row>
    <row r="1561" spans="1:6">
      <c r="A1561" t="str">
        <f>"E1920-12"</f>
        <v>E1920-12</v>
      </c>
      <c r="B1561" t="str">
        <f t="shared" si="190"/>
        <v>VIA PAOLO DELLA CELLA  12-</v>
      </c>
      <c r="C1561" t="str">
        <f t="shared" si="187"/>
        <v>GEC</v>
      </c>
      <c r="D1561">
        <v>3</v>
      </c>
      <c r="E1561" t="str">
        <f t="shared" si="191"/>
        <v>78</v>
      </c>
      <c r="F1561" t="str">
        <f>"22"</f>
        <v>22</v>
      </c>
    </row>
    <row r="1562" spans="1:6">
      <c r="A1562" t="str">
        <f>"E1920-13"</f>
        <v>E1920-13</v>
      </c>
      <c r="B1562" t="str">
        <f t="shared" si="190"/>
        <v>VIA PAOLO DELLA CELLA  12-</v>
      </c>
      <c r="C1562" t="str">
        <f t="shared" si="187"/>
        <v>GEC</v>
      </c>
      <c r="D1562">
        <v>3</v>
      </c>
      <c r="E1562" t="str">
        <f t="shared" si="191"/>
        <v>78</v>
      </c>
      <c r="F1562" t="str">
        <f>"13"</f>
        <v>13</v>
      </c>
    </row>
    <row r="1563" spans="1:6">
      <c r="A1563" t="str">
        <f>"E1921-1"</f>
        <v>E1921-1</v>
      </c>
      <c r="B1563" t="str">
        <f t="shared" ref="B1563:B1570" si="192">"VIA PAOLO DELLA CELLA  14-"</f>
        <v>VIA PAOLO DELLA CELLA  14-</v>
      </c>
      <c r="C1563" t="str">
        <f t="shared" si="187"/>
        <v>GEC</v>
      </c>
      <c r="D1563">
        <v>3</v>
      </c>
      <c r="E1563" t="str">
        <f t="shared" ref="E1563:E1570" si="193">"79"</f>
        <v>79</v>
      </c>
      <c r="F1563" t="str">
        <f>"5"</f>
        <v>5</v>
      </c>
    </row>
    <row r="1564" spans="1:6">
      <c r="A1564" t="str">
        <f>"E1921-2"</f>
        <v>E1921-2</v>
      </c>
      <c r="B1564" t="str">
        <f t="shared" si="192"/>
        <v>VIA PAOLO DELLA CELLA  14-</v>
      </c>
      <c r="C1564" t="str">
        <f t="shared" si="187"/>
        <v>GEC</v>
      </c>
      <c r="D1564">
        <v>3</v>
      </c>
      <c r="E1564" t="str">
        <f t="shared" si="193"/>
        <v>79</v>
      </c>
      <c r="F1564" t="str">
        <f>"6"</f>
        <v>6</v>
      </c>
    </row>
    <row r="1565" spans="1:6">
      <c r="A1565" t="str">
        <f>"E1921-3"</f>
        <v>E1921-3</v>
      </c>
      <c r="B1565" t="str">
        <f t="shared" si="192"/>
        <v>VIA PAOLO DELLA CELLA  14-</v>
      </c>
      <c r="C1565" t="str">
        <f t="shared" si="187"/>
        <v>GEC</v>
      </c>
      <c r="D1565">
        <v>3</v>
      </c>
      <c r="E1565" t="str">
        <f t="shared" si="193"/>
        <v>79</v>
      </c>
      <c r="F1565" t="str">
        <f>"8"</f>
        <v>8</v>
      </c>
    </row>
    <row r="1566" spans="1:6">
      <c r="A1566" t="str">
        <f>"E1921-4"</f>
        <v>E1921-4</v>
      </c>
      <c r="B1566" t="str">
        <f t="shared" si="192"/>
        <v>VIA PAOLO DELLA CELLA  14-</v>
      </c>
      <c r="C1566" t="str">
        <f t="shared" si="187"/>
        <v>GEC</v>
      </c>
      <c r="D1566">
        <v>3</v>
      </c>
      <c r="E1566" t="str">
        <f t="shared" si="193"/>
        <v>79</v>
      </c>
      <c r="F1566" t="str">
        <f>"14"</f>
        <v>14</v>
      </c>
    </row>
    <row r="1567" spans="1:6">
      <c r="A1567" t="str">
        <f>"E1921-5"</f>
        <v>E1921-5</v>
      </c>
      <c r="B1567" t="str">
        <f t="shared" si="192"/>
        <v>VIA PAOLO DELLA CELLA  14-</v>
      </c>
      <c r="C1567" t="str">
        <f t="shared" si="187"/>
        <v>GEC</v>
      </c>
      <c r="D1567">
        <v>3</v>
      </c>
      <c r="E1567" t="str">
        <f t="shared" si="193"/>
        <v>79</v>
      </c>
      <c r="F1567" t="str">
        <f>"15"</f>
        <v>15</v>
      </c>
    </row>
    <row r="1568" spans="1:6">
      <c r="A1568" t="str">
        <f>"E1921-6"</f>
        <v>E1921-6</v>
      </c>
      <c r="B1568" t="str">
        <f t="shared" si="192"/>
        <v>VIA PAOLO DELLA CELLA  14-</v>
      </c>
      <c r="C1568" t="str">
        <f t="shared" si="187"/>
        <v>GEC</v>
      </c>
      <c r="D1568">
        <v>3</v>
      </c>
      <c r="E1568" t="str">
        <f t="shared" si="193"/>
        <v>79</v>
      </c>
      <c r="F1568" t="str">
        <f>"18"</f>
        <v>18</v>
      </c>
    </row>
    <row r="1569" spans="1:6">
      <c r="A1569" t="str">
        <f>"E1921-7"</f>
        <v>E1921-7</v>
      </c>
      <c r="B1569" t="str">
        <f t="shared" si="192"/>
        <v>VIA PAOLO DELLA CELLA  14-</v>
      </c>
      <c r="C1569" t="str">
        <f t="shared" si="187"/>
        <v>GEC</v>
      </c>
      <c r="D1569">
        <v>3</v>
      </c>
      <c r="E1569" t="str">
        <f t="shared" si="193"/>
        <v>79</v>
      </c>
      <c r="F1569" t="str">
        <f>"19"</f>
        <v>19</v>
      </c>
    </row>
    <row r="1570" spans="1:6">
      <c r="A1570" t="str">
        <f>"E1921-8"</f>
        <v>E1921-8</v>
      </c>
      <c r="B1570" t="str">
        <f t="shared" si="192"/>
        <v>VIA PAOLO DELLA CELLA  14-</v>
      </c>
      <c r="C1570" t="str">
        <f t="shared" si="187"/>
        <v>GEC</v>
      </c>
      <c r="D1570">
        <v>3</v>
      </c>
      <c r="E1570" t="str">
        <f t="shared" si="193"/>
        <v>79</v>
      </c>
      <c r="F1570" t="str">
        <f>"21"</f>
        <v>21</v>
      </c>
    </row>
    <row r="1571" spans="1:6">
      <c r="A1571" t="str">
        <f>"E1922-1"</f>
        <v>E1922-1</v>
      </c>
      <c r="B1571" t="str">
        <f>"PIAZZETTA NINFEO  30-"</f>
        <v>PIAZZETTA NINFEO  30-</v>
      </c>
      <c r="C1571" t="str">
        <f>"GEA"</f>
        <v>GEA</v>
      </c>
      <c r="D1571">
        <v>85</v>
      </c>
      <c r="E1571" t="str">
        <f>"1662"</f>
        <v>1662</v>
      </c>
      <c r="F1571" t="str">
        <f>"200"</f>
        <v>200</v>
      </c>
    </row>
    <row r="1572" spans="1:6">
      <c r="A1572" t="str">
        <f>"E1922-2"</f>
        <v>E1922-2</v>
      </c>
      <c r="B1572" t="str">
        <f>"PASSO DELLE MURETTE VICINO AL 11-"</f>
        <v>PASSO DELLE MURETTE VICINO AL 11-</v>
      </c>
      <c r="C1572" t="str">
        <f>"GEA"</f>
        <v>GEA</v>
      </c>
      <c r="D1572">
        <v>85</v>
      </c>
      <c r="E1572" t="str">
        <f>"1656"</f>
        <v>1656</v>
      </c>
      <c r="F1572" t="str">
        <f>"1"</f>
        <v>1</v>
      </c>
    </row>
    <row r="1573" spans="1:6">
      <c r="C1573" t="str">
        <f>"GEA"</f>
        <v>GEA</v>
      </c>
      <c r="D1573">
        <v>85</v>
      </c>
      <c r="E1573" t="str">
        <f>"1663"</f>
        <v>1663</v>
      </c>
      <c r="F1573" t="str">
        <f>"1"</f>
        <v>1</v>
      </c>
    </row>
    <row r="1574" spans="1:6">
      <c r="A1574" t="str">
        <f>"E1923-1"</f>
        <v>E1923-1</v>
      </c>
      <c r="B1574" t="str">
        <f>"VIA DEL CAMPO SITO NEL 29R-"</f>
        <v>VIA DEL CAMPO SITO NEL 29R-</v>
      </c>
      <c r="C1574" t="str">
        <f>"GEA"</f>
        <v>GEA</v>
      </c>
      <c r="D1574">
        <v>81</v>
      </c>
      <c r="E1574" t="str">
        <f>"102"</f>
        <v>102</v>
      </c>
      <c r="F1574" t="str">
        <f>"5"</f>
        <v>5</v>
      </c>
    </row>
    <row r="1575" spans="1:6">
      <c r="A1575" t="str">
        <f>"E1932-1"</f>
        <v>E1932-1</v>
      </c>
      <c r="B1575" t="str">
        <f>"VIA DEL LAGACCIO  21-"</f>
        <v>VIA DEL LAGACCIO  21-</v>
      </c>
      <c r="C1575" t="str">
        <f>"GEC"</f>
        <v>GEC</v>
      </c>
      <c r="D1575">
        <v>11</v>
      </c>
      <c r="E1575" t="str">
        <f>"681"</f>
        <v>681</v>
      </c>
      <c r="F1575" t="str">
        <f>"1"</f>
        <v>1</v>
      </c>
    </row>
    <row r="1576" spans="1:6">
      <c r="A1576" t="str">
        <f>"E1933-1"</f>
        <v>E1933-1</v>
      </c>
      <c r="B1576" t="str">
        <f>"VICO DEGLI STOPPIERI  3-"</f>
        <v>VICO DEGLI STOPPIERI  3-</v>
      </c>
      <c r="C1576" t="str">
        <f t="shared" ref="C1576:C1584" si="194">"GEA"</f>
        <v>GEA</v>
      </c>
      <c r="D1576">
        <v>84</v>
      </c>
      <c r="E1576" t="str">
        <f>"177"</f>
        <v>177</v>
      </c>
      <c r="F1576" t="str">
        <f>"35"</f>
        <v>35</v>
      </c>
    </row>
    <row r="1577" spans="1:6">
      <c r="A1577" t="str">
        <f>"E1935-1"</f>
        <v>E1935-1</v>
      </c>
      <c r="B1577" t="str">
        <f>"VICO DEL DRAGONE  37R-"</f>
        <v>VICO DEL DRAGONE  37R-</v>
      </c>
      <c r="C1577" t="str">
        <f t="shared" si="194"/>
        <v>GEA</v>
      </c>
      <c r="D1577">
        <v>97</v>
      </c>
      <c r="E1577" t="str">
        <f t="shared" ref="E1577:E1584" si="195">"101"</f>
        <v>101</v>
      </c>
      <c r="F1577" t="str">
        <f>"10"</f>
        <v>10</v>
      </c>
    </row>
    <row r="1578" spans="1:6">
      <c r="A1578" t="str">
        <f>"E1935-2"</f>
        <v>E1935-2</v>
      </c>
      <c r="B1578" t="str">
        <f t="shared" ref="B1578:B1584" si="196">"VICO DEL DRAGONE  7-"</f>
        <v>VICO DEL DRAGONE  7-</v>
      </c>
      <c r="C1578" t="str">
        <f t="shared" si="194"/>
        <v>GEA</v>
      </c>
      <c r="D1578">
        <v>97</v>
      </c>
      <c r="E1578" t="str">
        <f t="shared" si="195"/>
        <v>101</v>
      </c>
      <c r="F1578" t="str">
        <f>"11"</f>
        <v>11</v>
      </c>
    </row>
    <row r="1579" spans="1:6">
      <c r="A1579" t="str">
        <f>"E1935-3"</f>
        <v>E1935-3</v>
      </c>
      <c r="B1579" t="str">
        <f t="shared" si="196"/>
        <v>VICO DEL DRAGONE  7-</v>
      </c>
      <c r="C1579" t="str">
        <f t="shared" si="194"/>
        <v>GEA</v>
      </c>
      <c r="D1579">
        <v>97</v>
      </c>
      <c r="E1579" t="str">
        <f t="shared" si="195"/>
        <v>101</v>
      </c>
      <c r="F1579" t="str">
        <f>"12"</f>
        <v>12</v>
      </c>
    </row>
    <row r="1580" spans="1:6">
      <c r="A1580" t="str">
        <f>"E1935-4"</f>
        <v>E1935-4</v>
      </c>
      <c r="B1580" t="str">
        <f t="shared" si="196"/>
        <v>VICO DEL DRAGONE  7-</v>
      </c>
      <c r="C1580" t="str">
        <f t="shared" si="194"/>
        <v>GEA</v>
      </c>
      <c r="D1580">
        <v>97</v>
      </c>
      <c r="E1580" t="str">
        <f t="shared" si="195"/>
        <v>101</v>
      </c>
      <c r="F1580" t="str">
        <f>"13"</f>
        <v>13</v>
      </c>
    </row>
    <row r="1581" spans="1:6">
      <c r="A1581" t="str">
        <f>"E1935-5"</f>
        <v>E1935-5</v>
      </c>
      <c r="B1581" t="str">
        <f t="shared" si="196"/>
        <v>VICO DEL DRAGONE  7-</v>
      </c>
      <c r="C1581" t="str">
        <f t="shared" si="194"/>
        <v>GEA</v>
      </c>
      <c r="D1581">
        <v>97</v>
      </c>
      <c r="E1581" t="str">
        <f t="shared" si="195"/>
        <v>101</v>
      </c>
      <c r="F1581" t="str">
        <f>"14"</f>
        <v>14</v>
      </c>
    </row>
    <row r="1582" spans="1:6">
      <c r="A1582" t="str">
        <f>"E1935-6"</f>
        <v>E1935-6</v>
      </c>
      <c r="B1582" t="str">
        <f t="shared" si="196"/>
        <v>VICO DEL DRAGONE  7-</v>
      </c>
      <c r="C1582" t="str">
        <f t="shared" si="194"/>
        <v>GEA</v>
      </c>
      <c r="D1582">
        <v>97</v>
      </c>
      <c r="E1582" t="str">
        <f t="shared" si="195"/>
        <v>101</v>
      </c>
      <c r="F1582" t="str">
        <f>"15"</f>
        <v>15</v>
      </c>
    </row>
    <row r="1583" spans="1:6">
      <c r="A1583" t="str">
        <f>"E1935-7"</f>
        <v>E1935-7</v>
      </c>
      <c r="B1583" t="str">
        <f t="shared" si="196"/>
        <v>VICO DEL DRAGONE  7-</v>
      </c>
      <c r="C1583" t="str">
        <f t="shared" si="194"/>
        <v>GEA</v>
      </c>
      <c r="D1583">
        <v>97</v>
      </c>
      <c r="E1583" t="str">
        <f t="shared" si="195"/>
        <v>101</v>
      </c>
      <c r="F1583" t="str">
        <f>"16"</f>
        <v>16</v>
      </c>
    </row>
    <row r="1584" spans="1:6">
      <c r="A1584" t="str">
        <f>"E1935-8"</f>
        <v>E1935-8</v>
      </c>
      <c r="B1584" t="str">
        <f t="shared" si="196"/>
        <v>VICO DEL DRAGONE  7-</v>
      </c>
      <c r="C1584" t="str">
        <f t="shared" si="194"/>
        <v>GEA</v>
      </c>
      <c r="D1584">
        <v>97</v>
      </c>
      <c r="E1584" t="str">
        <f t="shared" si="195"/>
        <v>101</v>
      </c>
      <c r="F1584" t="str">
        <f>"17"</f>
        <v>17</v>
      </c>
    </row>
    <row r="1585" spans="1:6">
      <c r="A1585" t="str">
        <f>"E1946-1"</f>
        <v>E1946-1</v>
      </c>
      <c r="B1585" t="str">
        <f>"VIA DEL LAGACCIO  10R-"</f>
        <v>VIA DEL LAGACCIO  10R-</v>
      </c>
      <c r="C1585" t="str">
        <f>"GEC"</f>
        <v>GEC</v>
      </c>
      <c r="D1585">
        <v>11</v>
      </c>
      <c r="E1585" t="str">
        <f>"1073"</f>
        <v>1073</v>
      </c>
      <c r="F1585" t="str">
        <f>"2"</f>
        <v>2</v>
      </c>
    </row>
    <row r="1586" spans="1:6">
      <c r="A1586" t="str">
        <f>"E1947-1"</f>
        <v>E1947-1</v>
      </c>
      <c r="B1586" t="str">
        <f>"VIA CARLO TARGA  3-"</f>
        <v>VIA CARLO TARGA  3-</v>
      </c>
      <c r="C1586" t="str">
        <f>"GEA"</f>
        <v>GEA</v>
      </c>
      <c r="D1586">
        <v>94</v>
      </c>
      <c r="E1586" t="str">
        <f>"1"</f>
        <v>1</v>
      </c>
      <c r="F1586" t="str">
        <f>"1"</f>
        <v>1</v>
      </c>
    </row>
    <row r="1587" spans="1:6">
      <c r="A1587" t="str">
        <f>"E1947-1"</f>
        <v>E1947-1</v>
      </c>
      <c r="B1587" t="str">
        <f>"VIA CARLO TARGA  3-"</f>
        <v>VIA CARLO TARGA  3-</v>
      </c>
      <c r="C1587" t="str">
        <f>"GEA"</f>
        <v>GEA</v>
      </c>
      <c r="D1587">
        <v>94</v>
      </c>
      <c r="E1587" t="str">
        <f>"503"</f>
        <v>503</v>
      </c>
      <c r="F1587" t="str">
        <f>"2"</f>
        <v>2</v>
      </c>
    </row>
    <row r="1588" spans="1:6">
      <c r="A1588" t="str">
        <f>"E1961-1"</f>
        <v>E1961-1</v>
      </c>
      <c r="B1588" t="str">
        <f>"VIA ASMARA  2-"</f>
        <v>VIA ASMARA  2-</v>
      </c>
      <c r="C1588" t="str">
        <f>"GEC"</f>
        <v>GEC</v>
      </c>
      <c r="D1588">
        <v>1</v>
      </c>
      <c r="E1588" t="str">
        <f>"44"</f>
        <v>44</v>
      </c>
      <c r="F1588" t="str">
        <f>"0000"</f>
        <v>0000</v>
      </c>
    </row>
    <row r="1589" spans="1:6">
      <c r="A1589" t="str">
        <f>"E1962-1"</f>
        <v>E1962-1</v>
      </c>
      <c r="B1589" t="str">
        <f>"VIA DELLA MADDALENA  16-"</f>
        <v>VIA DELLA MADDALENA  16-</v>
      </c>
      <c r="C1589" t="str">
        <f>"1"</f>
        <v>1</v>
      </c>
      <c r="D1589">
        <v>45</v>
      </c>
      <c r="E1589" t="str">
        <f>"355"</f>
        <v>355</v>
      </c>
      <c r="F1589" t="str">
        <f>"0000"</f>
        <v>0000</v>
      </c>
    </row>
    <row r="1590" spans="1:6">
      <c r="A1590" t="str">
        <f>"E1962-1"</f>
        <v>E1962-1</v>
      </c>
      <c r="B1590" t="str">
        <f>"VIA DELLA MADDALENA  16-"</f>
        <v>VIA DELLA MADDALENA  16-</v>
      </c>
      <c r="C1590" t="str">
        <f>"1"</f>
        <v>1</v>
      </c>
      <c r="D1590">
        <v>45</v>
      </c>
      <c r="E1590" t="str">
        <f>"930"</f>
        <v>930</v>
      </c>
      <c r="F1590" t="str">
        <f>"0000"</f>
        <v>0000</v>
      </c>
    </row>
    <row r="1591" spans="1:6">
      <c r="A1591" t="str">
        <f>"E1969-1"</f>
        <v>E1969-1</v>
      </c>
      <c r="B1591" t="str">
        <f t="shared" ref="B1591:B1602" si="197">"VIA AL FORTE DI BEGATO VICINO AL 7-"</f>
        <v>VIA AL FORTE DI BEGATO VICINO AL 7-</v>
      </c>
      <c r="C1591" t="str">
        <f t="shared" ref="C1591:C1601" si="198">"GEC"</f>
        <v>GEC</v>
      </c>
      <c r="D1591">
        <v>2</v>
      </c>
      <c r="E1591" t="str">
        <f t="shared" ref="E1591:E1602" si="199">"A"</f>
        <v>A</v>
      </c>
      <c r="F1591" t="str">
        <f>"9"</f>
        <v>9</v>
      </c>
    </row>
    <row r="1592" spans="1:6">
      <c r="A1592" t="str">
        <f>"E1969-2"</f>
        <v>E1969-2</v>
      </c>
      <c r="B1592" t="str">
        <f t="shared" si="197"/>
        <v>VIA AL FORTE DI BEGATO VICINO AL 7-</v>
      </c>
      <c r="C1592" t="str">
        <f t="shared" si="198"/>
        <v>GEC</v>
      </c>
      <c r="D1592">
        <v>2</v>
      </c>
      <c r="E1592" t="str">
        <f t="shared" si="199"/>
        <v>A</v>
      </c>
      <c r="F1592" t="str">
        <f>"10"</f>
        <v>10</v>
      </c>
    </row>
    <row r="1593" spans="1:6">
      <c r="A1593" t="str">
        <f>"E1969-3"</f>
        <v>E1969-3</v>
      </c>
      <c r="B1593" t="str">
        <f t="shared" si="197"/>
        <v>VIA AL FORTE DI BEGATO VICINO AL 7-</v>
      </c>
      <c r="C1593" t="str">
        <f t="shared" si="198"/>
        <v>GEC</v>
      </c>
      <c r="D1593">
        <v>2</v>
      </c>
      <c r="E1593" t="str">
        <f t="shared" si="199"/>
        <v>A</v>
      </c>
      <c r="F1593" t="str">
        <f>"11"</f>
        <v>11</v>
      </c>
    </row>
    <row r="1594" spans="1:6">
      <c r="A1594" t="str">
        <f>"E1969-4"</f>
        <v>E1969-4</v>
      </c>
      <c r="B1594" t="str">
        <f t="shared" si="197"/>
        <v>VIA AL FORTE DI BEGATO VICINO AL 7-</v>
      </c>
      <c r="C1594" t="str">
        <f t="shared" si="198"/>
        <v>GEC</v>
      </c>
      <c r="D1594">
        <v>2</v>
      </c>
      <c r="E1594" t="str">
        <f t="shared" si="199"/>
        <v>A</v>
      </c>
      <c r="F1594" t="str">
        <f>"12"</f>
        <v>12</v>
      </c>
    </row>
    <row r="1595" spans="1:6">
      <c r="A1595" t="str">
        <f>"E1969-5"</f>
        <v>E1969-5</v>
      </c>
      <c r="B1595" t="str">
        <f t="shared" si="197"/>
        <v>VIA AL FORTE DI BEGATO VICINO AL 7-</v>
      </c>
      <c r="C1595" t="str">
        <f t="shared" si="198"/>
        <v>GEC</v>
      </c>
      <c r="D1595">
        <v>2</v>
      </c>
      <c r="E1595" t="str">
        <f t="shared" si="199"/>
        <v>A</v>
      </c>
      <c r="F1595" t="str">
        <f>"13"</f>
        <v>13</v>
      </c>
    </row>
    <row r="1596" spans="1:6">
      <c r="A1596" t="str">
        <f>"E1970-1"</f>
        <v>E1970-1</v>
      </c>
      <c r="B1596" t="str">
        <f t="shared" si="197"/>
        <v>VIA AL FORTE DI BEGATO VICINO AL 7-</v>
      </c>
      <c r="C1596" t="str">
        <f t="shared" si="198"/>
        <v>GEC</v>
      </c>
      <c r="D1596">
        <v>2</v>
      </c>
      <c r="E1596" t="str">
        <f t="shared" si="199"/>
        <v>A</v>
      </c>
      <c r="F1596" t="str">
        <f>"2"</f>
        <v>2</v>
      </c>
    </row>
    <row r="1597" spans="1:6">
      <c r="A1597" t="str">
        <f>"E1970-1"</f>
        <v>E1970-1</v>
      </c>
      <c r="B1597" t="str">
        <f t="shared" si="197"/>
        <v>VIA AL FORTE DI BEGATO VICINO AL 7-</v>
      </c>
      <c r="C1597" t="str">
        <f t="shared" si="198"/>
        <v>GEC</v>
      </c>
      <c r="D1597">
        <v>2</v>
      </c>
      <c r="E1597" t="str">
        <f t="shared" si="199"/>
        <v>A</v>
      </c>
      <c r="F1597" t="str">
        <f>"3"</f>
        <v>3</v>
      </c>
    </row>
    <row r="1598" spans="1:6">
      <c r="A1598" t="str">
        <f>"E1971-1"</f>
        <v>E1971-1</v>
      </c>
      <c r="B1598" t="str">
        <f t="shared" si="197"/>
        <v>VIA AL FORTE DI BEGATO VICINO AL 7-</v>
      </c>
      <c r="C1598" t="str">
        <f t="shared" si="198"/>
        <v>GEC</v>
      </c>
      <c r="D1598">
        <v>2</v>
      </c>
      <c r="E1598" t="str">
        <f t="shared" si="199"/>
        <v>A</v>
      </c>
      <c r="F1598" t="str">
        <f>"4"</f>
        <v>4</v>
      </c>
    </row>
    <row r="1599" spans="1:6">
      <c r="A1599" t="str">
        <f>"E1971-2"</f>
        <v>E1971-2</v>
      </c>
      <c r="B1599" t="str">
        <f t="shared" si="197"/>
        <v>VIA AL FORTE DI BEGATO VICINO AL 7-</v>
      </c>
      <c r="C1599" t="str">
        <f t="shared" si="198"/>
        <v>GEC</v>
      </c>
      <c r="D1599">
        <v>2</v>
      </c>
      <c r="E1599" t="str">
        <f t="shared" si="199"/>
        <v>A</v>
      </c>
      <c r="F1599" t="str">
        <f>"5"</f>
        <v>5</v>
      </c>
    </row>
    <row r="1600" spans="1:6">
      <c r="A1600" t="str">
        <f>"E1972-1"</f>
        <v>E1972-1</v>
      </c>
      <c r="B1600" t="str">
        <f t="shared" si="197"/>
        <v>VIA AL FORTE DI BEGATO VICINO AL 7-</v>
      </c>
      <c r="C1600" t="str">
        <f t="shared" si="198"/>
        <v>GEC</v>
      </c>
      <c r="D1600">
        <v>2</v>
      </c>
      <c r="E1600" t="str">
        <f t="shared" si="199"/>
        <v>A</v>
      </c>
      <c r="F1600" t="str">
        <f>"6"</f>
        <v>6</v>
      </c>
    </row>
    <row r="1601" spans="1:6">
      <c r="A1601" t="str">
        <f>"E1973-1"</f>
        <v>E1973-1</v>
      </c>
      <c r="B1601" t="str">
        <f t="shared" si="197"/>
        <v>VIA AL FORTE DI BEGATO VICINO AL 7-</v>
      </c>
      <c r="C1601" t="str">
        <f t="shared" si="198"/>
        <v>GEC</v>
      </c>
      <c r="D1601">
        <v>2</v>
      </c>
      <c r="E1601" t="str">
        <f t="shared" si="199"/>
        <v>A</v>
      </c>
      <c r="F1601" t="str">
        <f>"7"</f>
        <v>7</v>
      </c>
    </row>
    <row r="1602" spans="1:6">
      <c r="A1602" t="str">
        <f>"E1974-1"</f>
        <v>E1974-1</v>
      </c>
      <c r="B1602" t="str">
        <f t="shared" si="197"/>
        <v>VIA AL FORTE DI BEGATO VICINO AL 7-</v>
      </c>
      <c r="C1602" t="str">
        <f>"1"</f>
        <v>1</v>
      </c>
      <c r="D1602">
        <v>6</v>
      </c>
      <c r="E1602" t="str">
        <f t="shared" si="199"/>
        <v>A</v>
      </c>
      <c r="F1602" t="str">
        <f>"0000"</f>
        <v>0000</v>
      </c>
    </row>
    <row r="1603" spans="1:6">
      <c r="A1603" t="str">
        <f>"E1975-1"</f>
        <v>E1975-1</v>
      </c>
      <c r="B1603" t="str">
        <f>"VIA DI SAN DONATO  4A-"</f>
        <v>VIA DI SAN DONATO  4A-</v>
      </c>
      <c r="C1603" t="str">
        <f t="shared" ref="C1603:C1619" si="200">"GEA"</f>
        <v>GEA</v>
      </c>
      <c r="D1603">
        <v>84</v>
      </c>
      <c r="E1603" t="str">
        <f t="shared" ref="E1603:E1615" si="201">"1650"</f>
        <v>1650</v>
      </c>
      <c r="F1603" t="str">
        <f>"4"</f>
        <v>4</v>
      </c>
    </row>
    <row r="1604" spans="1:6">
      <c r="A1604" t="str">
        <f>"E1975-2"</f>
        <v>E1975-2</v>
      </c>
      <c r="B1604" t="str">
        <f>"VIA DI SAN DONATO  6R-"</f>
        <v>VIA DI SAN DONATO  6R-</v>
      </c>
      <c r="C1604" t="str">
        <f t="shared" si="200"/>
        <v>GEA</v>
      </c>
      <c r="D1604">
        <v>84</v>
      </c>
      <c r="E1604" t="str">
        <f t="shared" si="201"/>
        <v>1650</v>
      </c>
      <c r="F1604" t="str">
        <f>"5"</f>
        <v>5</v>
      </c>
    </row>
    <row r="1605" spans="1:6">
      <c r="A1605" t="str">
        <f>"E1975-3"</f>
        <v>E1975-3</v>
      </c>
      <c r="B1605" t="str">
        <f t="shared" ref="B1605:B1615" si="202">"VIA DI SAN DONATO  4C-"</f>
        <v>VIA DI SAN DONATO  4C-</v>
      </c>
      <c r="C1605" t="str">
        <f t="shared" si="200"/>
        <v>GEA</v>
      </c>
      <c r="D1605">
        <v>84</v>
      </c>
      <c r="E1605" t="str">
        <f t="shared" si="201"/>
        <v>1650</v>
      </c>
      <c r="F1605" t="str">
        <f>"6"</f>
        <v>6</v>
      </c>
    </row>
    <row r="1606" spans="1:6">
      <c r="A1606" t="str">
        <f>"E1975-4"</f>
        <v>E1975-4</v>
      </c>
      <c r="B1606" t="str">
        <f t="shared" si="202"/>
        <v>VIA DI SAN DONATO  4C-</v>
      </c>
      <c r="C1606" t="str">
        <f t="shared" si="200"/>
        <v>GEA</v>
      </c>
      <c r="D1606">
        <v>84</v>
      </c>
      <c r="E1606" t="str">
        <f t="shared" si="201"/>
        <v>1650</v>
      </c>
      <c r="F1606" t="str">
        <f>"7"</f>
        <v>7</v>
      </c>
    </row>
    <row r="1607" spans="1:6">
      <c r="A1607" t="str">
        <f>"E1975-5"</f>
        <v>E1975-5</v>
      </c>
      <c r="B1607" t="str">
        <f t="shared" si="202"/>
        <v>VIA DI SAN DONATO  4C-</v>
      </c>
      <c r="C1607" t="str">
        <f t="shared" si="200"/>
        <v>GEA</v>
      </c>
      <c r="D1607">
        <v>84</v>
      </c>
      <c r="E1607" t="str">
        <f t="shared" si="201"/>
        <v>1650</v>
      </c>
      <c r="F1607" t="str">
        <f>"8"</f>
        <v>8</v>
      </c>
    </row>
    <row r="1608" spans="1:6">
      <c r="A1608" t="str">
        <f>"E1975-6"</f>
        <v>E1975-6</v>
      </c>
      <c r="B1608" t="str">
        <f t="shared" si="202"/>
        <v>VIA DI SAN DONATO  4C-</v>
      </c>
      <c r="C1608" t="str">
        <f t="shared" si="200"/>
        <v>GEA</v>
      </c>
      <c r="D1608">
        <v>84</v>
      </c>
      <c r="E1608" t="str">
        <f t="shared" si="201"/>
        <v>1650</v>
      </c>
      <c r="F1608" t="str">
        <f>"9"</f>
        <v>9</v>
      </c>
    </row>
    <row r="1609" spans="1:6">
      <c r="A1609" t="str">
        <f>"E1975-7"</f>
        <v>E1975-7</v>
      </c>
      <c r="B1609" t="str">
        <f t="shared" si="202"/>
        <v>VIA DI SAN DONATO  4C-</v>
      </c>
      <c r="C1609" t="str">
        <f t="shared" si="200"/>
        <v>GEA</v>
      </c>
      <c r="D1609">
        <v>84</v>
      </c>
      <c r="E1609" t="str">
        <f t="shared" si="201"/>
        <v>1650</v>
      </c>
      <c r="F1609" t="str">
        <f>"10"</f>
        <v>10</v>
      </c>
    </row>
    <row r="1610" spans="1:6">
      <c r="A1610" t="str">
        <f>"E1975-8"</f>
        <v>E1975-8</v>
      </c>
      <c r="B1610" t="str">
        <f t="shared" si="202"/>
        <v>VIA DI SAN DONATO  4C-</v>
      </c>
      <c r="C1610" t="str">
        <f t="shared" si="200"/>
        <v>GEA</v>
      </c>
      <c r="D1610">
        <v>84</v>
      </c>
      <c r="E1610" t="str">
        <f t="shared" si="201"/>
        <v>1650</v>
      </c>
      <c r="F1610" t="str">
        <f>"11"</f>
        <v>11</v>
      </c>
    </row>
    <row r="1611" spans="1:6">
      <c r="A1611" t="str">
        <f>"E1975-9"</f>
        <v>E1975-9</v>
      </c>
      <c r="B1611" t="str">
        <f t="shared" si="202"/>
        <v>VIA DI SAN DONATO  4C-</v>
      </c>
      <c r="C1611" t="str">
        <f t="shared" si="200"/>
        <v>GEA</v>
      </c>
      <c r="D1611">
        <v>84</v>
      </c>
      <c r="E1611" t="str">
        <f t="shared" si="201"/>
        <v>1650</v>
      </c>
      <c r="F1611" t="str">
        <f>"12"</f>
        <v>12</v>
      </c>
    </row>
    <row r="1612" spans="1:6">
      <c r="A1612" t="str">
        <f>"E1975-10"</f>
        <v>E1975-10</v>
      </c>
      <c r="B1612" t="str">
        <f t="shared" si="202"/>
        <v>VIA DI SAN DONATO  4C-</v>
      </c>
      <c r="C1612" t="str">
        <f t="shared" si="200"/>
        <v>GEA</v>
      </c>
      <c r="D1612">
        <v>84</v>
      </c>
      <c r="E1612" t="str">
        <f t="shared" si="201"/>
        <v>1650</v>
      </c>
      <c r="F1612" t="str">
        <f>"13"</f>
        <v>13</v>
      </c>
    </row>
    <row r="1613" spans="1:6">
      <c r="A1613" t="str">
        <f>"E1975-11"</f>
        <v>E1975-11</v>
      </c>
      <c r="B1613" t="str">
        <f t="shared" si="202"/>
        <v>VIA DI SAN DONATO  4C-</v>
      </c>
      <c r="C1613" t="str">
        <f t="shared" si="200"/>
        <v>GEA</v>
      </c>
      <c r="D1613">
        <v>84</v>
      </c>
      <c r="E1613" t="str">
        <f t="shared" si="201"/>
        <v>1650</v>
      </c>
      <c r="F1613" t="str">
        <f>"14"</f>
        <v>14</v>
      </c>
    </row>
    <row r="1614" spans="1:6">
      <c r="A1614" t="str">
        <f>"E1975-12"</f>
        <v>E1975-12</v>
      </c>
      <c r="B1614" t="str">
        <f t="shared" si="202"/>
        <v>VIA DI SAN DONATO  4C-</v>
      </c>
      <c r="C1614" t="str">
        <f t="shared" si="200"/>
        <v>GEA</v>
      </c>
      <c r="D1614">
        <v>84</v>
      </c>
      <c r="E1614" t="str">
        <f t="shared" si="201"/>
        <v>1650</v>
      </c>
      <c r="F1614" t="str">
        <f>"15"</f>
        <v>15</v>
      </c>
    </row>
    <row r="1615" spans="1:6">
      <c r="A1615" t="str">
        <f>"E1975-13"</f>
        <v>E1975-13</v>
      </c>
      <c r="B1615" t="str">
        <f t="shared" si="202"/>
        <v>VIA DI SAN DONATO  4C-</v>
      </c>
      <c r="C1615" t="str">
        <f t="shared" si="200"/>
        <v>GEA</v>
      </c>
      <c r="D1615">
        <v>84</v>
      </c>
      <c r="E1615" t="str">
        <f t="shared" si="201"/>
        <v>1650</v>
      </c>
      <c r="F1615" t="str">
        <f>"16"</f>
        <v>16</v>
      </c>
    </row>
    <row r="1616" spans="1:6">
      <c r="A1616" t="str">
        <f>"E1976-1"</f>
        <v>E1976-1</v>
      </c>
      <c r="B1616" t="str">
        <f>"PIAZZA CAVOUR  11-"</f>
        <v>PIAZZA CAVOUR  11-</v>
      </c>
      <c r="C1616" t="str">
        <f t="shared" si="200"/>
        <v>GEA</v>
      </c>
      <c r="D1616">
        <v>84</v>
      </c>
      <c r="E1616" t="str">
        <f>"163"</f>
        <v>163</v>
      </c>
      <c r="F1616" t="str">
        <f>"0001"</f>
        <v>0001</v>
      </c>
    </row>
    <row r="1617" spans="1:6">
      <c r="A1617" t="str">
        <f>"E1976-2"</f>
        <v>E1976-2</v>
      </c>
      <c r="B1617" t="str">
        <f>"PIAZZA CAVOUR  13AR-"</f>
        <v>PIAZZA CAVOUR  13AR-</v>
      </c>
      <c r="C1617" t="str">
        <f t="shared" si="200"/>
        <v>GEA</v>
      </c>
      <c r="D1617">
        <v>84</v>
      </c>
      <c r="E1617" t="str">
        <f>"163"</f>
        <v>163</v>
      </c>
      <c r="F1617" t="str">
        <f>"0005"</f>
        <v>0005</v>
      </c>
    </row>
    <row r="1618" spans="1:6">
      <c r="A1618" t="str">
        <f>"E1976-3"</f>
        <v>E1976-3</v>
      </c>
      <c r="B1618" t="str">
        <f>"PIAZZA CAVOUR  11-"</f>
        <v>PIAZZA CAVOUR  11-</v>
      </c>
      <c r="C1618" t="str">
        <f t="shared" si="200"/>
        <v>GEA</v>
      </c>
      <c r="D1618">
        <v>84</v>
      </c>
      <c r="E1618" t="str">
        <f>"163"</f>
        <v>163</v>
      </c>
      <c r="F1618" t="str">
        <f>"0006"</f>
        <v>0006</v>
      </c>
    </row>
    <row r="1619" spans="1:6">
      <c r="A1619" t="str">
        <f>"E1976-4"</f>
        <v>E1976-4</v>
      </c>
      <c r="B1619" t="str">
        <f>"PIAZZA CAVOUR  11-"</f>
        <v>PIAZZA CAVOUR  11-</v>
      </c>
      <c r="C1619" t="str">
        <f t="shared" si="200"/>
        <v>GEA</v>
      </c>
      <c r="D1619">
        <v>84</v>
      </c>
      <c r="E1619" t="str">
        <f>"163"</f>
        <v>163</v>
      </c>
      <c r="F1619" t="str">
        <f>"0007"</f>
        <v>0007</v>
      </c>
    </row>
    <row r="1620" spans="1:6">
      <c r="A1620" t="str">
        <f>"E1983-1"</f>
        <v>E1983-1</v>
      </c>
      <c r="B1620" t="str">
        <f>"VIA DEL PERALTO  15-"</f>
        <v>VIA DEL PERALTO  15-</v>
      </c>
      <c r="C1620" t="str">
        <f>"GEC"</f>
        <v>GEC</v>
      </c>
      <c r="D1620">
        <v>1</v>
      </c>
      <c r="E1620" t="str">
        <f>"A"</f>
        <v>A</v>
      </c>
      <c r="F1620" t="str">
        <f>"1"</f>
        <v>1</v>
      </c>
    </row>
    <row r="1621" spans="1:6">
      <c r="A1621" t="str">
        <f>"E1983-2"</f>
        <v>E1983-2</v>
      </c>
      <c r="B1621" t="str">
        <f>"VIA DEL PERALTO  15-"</f>
        <v>VIA DEL PERALTO  15-</v>
      </c>
      <c r="C1621" t="str">
        <f>"GEC"</f>
        <v>GEC</v>
      </c>
      <c r="D1621">
        <v>1</v>
      </c>
      <c r="E1621" t="str">
        <f>"A"</f>
        <v>A</v>
      </c>
      <c r="F1621" t="str">
        <f>"2"</f>
        <v>2</v>
      </c>
    </row>
    <row r="1622" spans="1:6">
      <c r="A1622" t="str">
        <f>"E1986-1"</f>
        <v>E1986-1</v>
      </c>
      <c r="B1622" t="str">
        <f>"MURA DELLE CAPPUCCINE VICINO AL 14-"</f>
        <v>MURA DELLE CAPPUCCINE VICINO AL 14-</v>
      </c>
      <c r="C1622" t="str">
        <f>"GEA"</f>
        <v>GEA</v>
      </c>
      <c r="D1622">
        <v>109</v>
      </c>
      <c r="E1622" t="str">
        <f>"14"</f>
        <v>14</v>
      </c>
      <c r="F1622" t="str">
        <f>"0001"</f>
        <v>0001</v>
      </c>
    </row>
    <row r="1623" spans="1:6">
      <c r="A1623" t="str">
        <f>"E1986-2"</f>
        <v>E1986-2</v>
      </c>
      <c r="B1623" t="str">
        <f>"MURA DELLE CAPPUCCINE VICINO AL 14-"</f>
        <v>MURA DELLE CAPPUCCINE VICINO AL 14-</v>
      </c>
      <c r="C1623" t="str">
        <f>"GEA"</f>
        <v>GEA</v>
      </c>
      <c r="D1623">
        <v>109</v>
      </c>
      <c r="E1623" t="str">
        <f>"14"</f>
        <v>14</v>
      </c>
      <c r="F1623" t="str">
        <f>"0002"</f>
        <v>0002</v>
      </c>
    </row>
    <row r="1624" spans="1:6">
      <c r="A1624" s="5"/>
      <c r="B1624" s="6"/>
      <c r="C1624" s="7"/>
      <c r="D1624" s="8"/>
      <c r="E1624" s="7"/>
      <c r="F1624" s="7"/>
    </row>
    <row r="1625" spans="1:6">
      <c r="A1625" s="5"/>
      <c r="B1625" s="6"/>
      <c r="C1625" s="7"/>
      <c r="D1625" s="8"/>
      <c r="E1625" s="7"/>
      <c r="F1625" s="7"/>
    </row>
    <row r="1626" spans="1:6">
      <c r="A1626" s="5"/>
      <c r="B1626" s="6"/>
      <c r="C1626" s="7"/>
      <c r="D1626" s="8"/>
      <c r="E1626" s="7"/>
      <c r="F1626" s="7"/>
    </row>
    <row r="1627" spans="1:6">
      <c r="A1627" s="5"/>
      <c r="B1627" s="6"/>
      <c r="C1627" s="7"/>
      <c r="D1627" s="8"/>
      <c r="E1627" s="7"/>
      <c r="F1627" s="7"/>
    </row>
    <row r="1628" spans="1:6">
      <c r="A1628" s="5"/>
      <c r="B1628" s="6"/>
      <c r="C1628" s="7"/>
      <c r="D1628" s="8"/>
      <c r="E1628" s="7"/>
      <c r="F1628" s="7"/>
    </row>
    <row r="1629" spans="1:6">
      <c r="A1629" s="5"/>
      <c r="B1629" s="6"/>
      <c r="C1629" s="7"/>
      <c r="D1629" s="8"/>
      <c r="E1629" s="7"/>
      <c r="F1629" s="7"/>
    </row>
    <row r="1630" spans="1:6">
      <c r="A1630" s="5"/>
      <c r="B1630" s="6"/>
      <c r="C1630" s="7"/>
      <c r="D1630" s="8"/>
      <c r="E1630" s="7"/>
      <c r="F1630" s="7"/>
    </row>
    <row r="1631" spans="1:6">
      <c r="A1631" s="5"/>
      <c r="B1631" s="6"/>
      <c r="C1631" s="7"/>
      <c r="D1631" s="8"/>
      <c r="E1631" s="7"/>
      <c r="F1631" s="7"/>
    </row>
    <row r="1632" spans="1:6">
      <c r="A1632" s="5"/>
      <c r="B1632" s="6"/>
      <c r="C1632" s="7"/>
      <c r="D1632" s="8"/>
      <c r="E1632" s="7"/>
      <c r="F1632" s="7"/>
    </row>
    <row r="1633" spans="1:6">
      <c r="A1633" s="5"/>
      <c r="B1633" s="6"/>
      <c r="C1633" s="7"/>
      <c r="D1633" s="8"/>
      <c r="E1633" s="7"/>
      <c r="F1633" s="7"/>
    </row>
    <row r="1634" spans="1:6">
      <c r="A1634" s="5"/>
      <c r="B1634" s="6"/>
      <c r="C1634" s="7"/>
      <c r="D1634" s="8"/>
      <c r="E1634" s="7"/>
      <c r="F1634" s="7"/>
    </row>
    <row r="1635" spans="1:6">
      <c r="A1635" s="5"/>
      <c r="B1635" s="6"/>
      <c r="C1635" s="7"/>
      <c r="D1635" s="8"/>
      <c r="E1635" s="7"/>
      <c r="F1635" s="7"/>
    </row>
    <row r="1636" spans="1:6">
      <c r="A1636" s="5"/>
      <c r="B1636" s="6"/>
      <c r="C1636" s="7"/>
      <c r="D1636" s="8"/>
      <c r="E1636" s="7"/>
      <c r="F1636" s="7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06"/>
  <sheetViews>
    <sheetView workbookViewId="0"/>
  </sheetViews>
  <sheetFormatPr defaultRowHeight="12.75"/>
  <cols>
    <col min="1" max="1" width="19.5703125" bestFit="1" customWidth="1"/>
    <col min="2" max="2" width="42.285156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"E115-2"</f>
        <v>E115-2</v>
      </c>
      <c r="B2" t="str">
        <f>"SALITA DI GRANAROLO  24-"</f>
        <v>SALITA DI GRANAROLO  24-</v>
      </c>
      <c r="C2" t="str">
        <f>"GEC"</f>
        <v>GEC</v>
      </c>
      <c r="D2">
        <v>10</v>
      </c>
      <c r="E2" t="str">
        <f>"141"</f>
        <v>141</v>
      </c>
      <c r="F2" t="str">
        <f>"2"</f>
        <v>2</v>
      </c>
    </row>
    <row r="3" spans="1:6">
      <c r="A3" t="str">
        <f>"E172-1"</f>
        <v>E172-1</v>
      </c>
      <c r="B3" t="str">
        <f>"VIA CADUTI SENZA CROCE  12-"</f>
        <v>VIA CADUTI SENZA CROCE  12-</v>
      </c>
      <c r="C3" t="str">
        <f>"GEC"</f>
        <v>GEC</v>
      </c>
      <c r="D3">
        <v>4</v>
      </c>
      <c r="E3" t="str">
        <f>"1373"</f>
        <v>1373</v>
      </c>
      <c r="F3" t="str">
        <f>"1"</f>
        <v>1</v>
      </c>
    </row>
    <row r="4" spans="1:6">
      <c r="A4" t="str">
        <f>"E175-1"</f>
        <v>E175-1</v>
      </c>
      <c r="B4" t="str">
        <f>"VIA RINALDO RIGOLA  52-"</f>
        <v>VIA RINALDO RIGOLA  52-</v>
      </c>
      <c r="C4" t="str">
        <f>"1"</f>
        <v>1</v>
      </c>
      <c r="D4">
        <v>42</v>
      </c>
      <c r="E4" t="str">
        <f>"400"</f>
        <v>400</v>
      </c>
      <c r="F4" t="str">
        <f>"0000"</f>
        <v>0000</v>
      </c>
    </row>
    <row r="5" spans="1:6">
      <c r="C5" t="str">
        <f>"1"</f>
        <v>1</v>
      </c>
      <c r="D5">
        <v>42</v>
      </c>
      <c r="E5" t="str">
        <f>"401"</f>
        <v>401</v>
      </c>
      <c r="F5" t="str">
        <f>"0000"</f>
        <v>0000</v>
      </c>
    </row>
    <row r="6" spans="1:6">
      <c r="C6" t="str">
        <f>"1"</f>
        <v>1</v>
      </c>
      <c r="D6">
        <v>42</v>
      </c>
      <c r="E6" t="str">
        <f>"90"</f>
        <v>90</v>
      </c>
      <c r="F6" t="str">
        <f>"0000"</f>
        <v>0000</v>
      </c>
    </row>
    <row r="7" spans="1:6">
      <c r="A7" t="str">
        <f>"E185-1"</f>
        <v>E185-1</v>
      </c>
      <c r="B7" t="str">
        <f>"PIAZZA DINEGRO  3-"</f>
        <v>PIAZZA DINEGRO  3-</v>
      </c>
      <c r="C7" t="str">
        <f t="shared" ref="C7:C38" si="0">"GEC"</f>
        <v>GEC</v>
      </c>
      <c r="D7">
        <v>15</v>
      </c>
      <c r="E7" t="str">
        <f>"180"</f>
        <v>180</v>
      </c>
      <c r="F7" t="str">
        <f>"0000"</f>
        <v>0000</v>
      </c>
    </row>
    <row r="8" spans="1:6">
      <c r="C8" t="str">
        <f t="shared" si="0"/>
        <v>GEC</v>
      </c>
      <c r="D8">
        <v>15</v>
      </c>
      <c r="E8" t="str">
        <f>"304"</f>
        <v>304</v>
      </c>
      <c r="F8" t="str">
        <f>"0000"</f>
        <v>0000</v>
      </c>
    </row>
    <row r="9" spans="1:6">
      <c r="C9" t="str">
        <f t="shared" si="0"/>
        <v>GEC</v>
      </c>
      <c r="D9">
        <v>15</v>
      </c>
      <c r="E9" t="str">
        <f>"425"</f>
        <v>425</v>
      </c>
      <c r="F9" t="str">
        <f>"1"</f>
        <v>1</v>
      </c>
    </row>
    <row r="10" spans="1:6">
      <c r="C10" t="str">
        <f t="shared" si="0"/>
        <v>GEC</v>
      </c>
      <c r="D10">
        <v>15</v>
      </c>
      <c r="E10" t="str">
        <f>"303"</f>
        <v>303</v>
      </c>
      <c r="F10" t="str">
        <f>"0000"</f>
        <v>0000</v>
      </c>
    </row>
    <row r="11" spans="1:6">
      <c r="A11" t="str">
        <f>"E207-1"</f>
        <v>E207-1</v>
      </c>
      <c r="B11" t="str">
        <f>"VIA VENEZIA  128AR-"</f>
        <v>VIA VENEZIA  128AR-</v>
      </c>
      <c r="C11" t="str">
        <f t="shared" si="0"/>
        <v>GEC</v>
      </c>
      <c r="D11">
        <v>14</v>
      </c>
      <c r="E11" t="str">
        <f>"339"</f>
        <v>339</v>
      </c>
      <c r="F11" t="str">
        <f>"4"</f>
        <v>4</v>
      </c>
    </row>
    <row r="12" spans="1:6">
      <c r="C12" t="str">
        <f t="shared" si="0"/>
        <v>GEC</v>
      </c>
      <c r="D12">
        <v>14</v>
      </c>
      <c r="E12" t="str">
        <f>"576"</f>
        <v>576</v>
      </c>
      <c r="F12" t="str">
        <f>"0000"</f>
        <v>0000</v>
      </c>
    </row>
    <row r="13" spans="1:6">
      <c r="A13" t="str">
        <f>"E207-31"</f>
        <v>E207-31</v>
      </c>
      <c r="B13" t="str">
        <f>"VIA FEDERICO ALIZERI  3A-"</f>
        <v>VIA FEDERICO ALIZERI  3A-</v>
      </c>
      <c r="C13" t="str">
        <f t="shared" si="0"/>
        <v>GEC</v>
      </c>
      <c r="D13">
        <v>14</v>
      </c>
      <c r="E13" t="str">
        <f>"339"</f>
        <v>339</v>
      </c>
      <c r="F13" t="str">
        <f>"6"</f>
        <v>6</v>
      </c>
    </row>
    <row r="14" spans="1:6">
      <c r="A14" t="str">
        <f>"E207-32"</f>
        <v>E207-32</v>
      </c>
      <c r="B14" t="str">
        <f>"VIA FEDERICO ALIZERI  3B-"</f>
        <v>VIA FEDERICO ALIZERI  3B-</v>
      </c>
      <c r="C14" t="str">
        <f t="shared" si="0"/>
        <v>GEC</v>
      </c>
      <c r="D14">
        <v>14</v>
      </c>
      <c r="E14" t="str">
        <f>"339"</f>
        <v>339</v>
      </c>
      <c r="F14" t="str">
        <f>"35"</f>
        <v>35</v>
      </c>
    </row>
    <row r="15" spans="1:6">
      <c r="A15" t="str">
        <f>"E238-1"</f>
        <v>E238-1</v>
      </c>
      <c r="B15" t="str">
        <f t="shared" ref="B15:B44" si="1">"VIA LUGO  10-"</f>
        <v>VIA LUGO  10-</v>
      </c>
      <c r="C15" t="str">
        <f t="shared" si="0"/>
        <v>GEC</v>
      </c>
      <c r="D15">
        <v>10</v>
      </c>
      <c r="E15" t="str">
        <f t="shared" ref="E15:E46" si="2">"294"</f>
        <v>294</v>
      </c>
      <c r="F15" t="str">
        <f>"279"</f>
        <v>279</v>
      </c>
    </row>
    <row r="16" spans="1:6">
      <c r="A16" t="str">
        <f>"E238-2"</f>
        <v>E238-2</v>
      </c>
      <c r="B16" t="str">
        <f t="shared" si="1"/>
        <v>VIA LUGO  10-</v>
      </c>
      <c r="C16" t="str">
        <f t="shared" si="0"/>
        <v>GEC</v>
      </c>
      <c r="D16">
        <v>10</v>
      </c>
      <c r="E16" t="str">
        <f t="shared" si="2"/>
        <v>294</v>
      </c>
      <c r="F16" t="str">
        <f>"278"</f>
        <v>278</v>
      </c>
    </row>
    <row r="17" spans="1:6">
      <c r="A17" t="str">
        <f>"E238-3"</f>
        <v>E238-3</v>
      </c>
      <c r="B17" t="str">
        <f t="shared" si="1"/>
        <v>VIA LUGO  10-</v>
      </c>
      <c r="C17" t="str">
        <f t="shared" si="0"/>
        <v>GEC</v>
      </c>
      <c r="D17">
        <v>10</v>
      </c>
      <c r="E17" t="str">
        <f t="shared" si="2"/>
        <v>294</v>
      </c>
      <c r="F17" t="str">
        <f>"277"</f>
        <v>277</v>
      </c>
    </row>
    <row r="18" spans="1:6">
      <c r="A18" t="str">
        <f>"E238-4"</f>
        <v>E238-4</v>
      </c>
      <c r="B18" t="str">
        <f t="shared" si="1"/>
        <v>VIA LUGO  10-</v>
      </c>
      <c r="C18" t="str">
        <f t="shared" si="0"/>
        <v>GEC</v>
      </c>
      <c r="D18">
        <v>10</v>
      </c>
      <c r="E18" t="str">
        <f t="shared" si="2"/>
        <v>294</v>
      </c>
      <c r="F18" t="str">
        <f>"276"</f>
        <v>276</v>
      </c>
    </row>
    <row r="19" spans="1:6">
      <c r="A19" t="str">
        <f>"E238-5"</f>
        <v>E238-5</v>
      </c>
      <c r="B19" t="str">
        <f t="shared" si="1"/>
        <v>VIA LUGO  10-</v>
      </c>
      <c r="C19" t="str">
        <f t="shared" si="0"/>
        <v>GEC</v>
      </c>
      <c r="D19">
        <v>10</v>
      </c>
      <c r="E19" t="str">
        <f t="shared" si="2"/>
        <v>294</v>
      </c>
      <c r="F19" t="str">
        <f>"275"</f>
        <v>275</v>
      </c>
    </row>
    <row r="20" spans="1:6">
      <c r="A20" t="str">
        <f>"E238-6"</f>
        <v>E238-6</v>
      </c>
      <c r="B20" t="str">
        <f t="shared" si="1"/>
        <v>VIA LUGO  10-</v>
      </c>
      <c r="C20" t="str">
        <f t="shared" si="0"/>
        <v>GEC</v>
      </c>
      <c r="D20">
        <v>10</v>
      </c>
      <c r="E20" t="str">
        <f t="shared" si="2"/>
        <v>294</v>
      </c>
      <c r="F20" t="str">
        <f>"274"</f>
        <v>274</v>
      </c>
    </row>
    <row r="21" spans="1:6">
      <c r="A21" t="str">
        <f>"E238-7"</f>
        <v>E238-7</v>
      </c>
      <c r="B21" t="str">
        <f t="shared" si="1"/>
        <v>VIA LUGO  10-</v>
      </c>
      <c r="C21" t="str">
        <f t="shared" si="0"/>
        <v>GEC</v>
      </c>
      <c r="D21">
        <v>10</v>
      </c>
      <c r="E21" t="str">
        <f t="shared" si="2"/>
        <v>294</v>
      </c>
      <c r="F21" t="str">
        <f>"273"</f>
        <v>273</v>
      </c>
    </row>
    <row r="22" spans="1:6">
      <c r="A22" t="str">
        <f>"E238-8"</f>
        <v>E238-8</v>
      </c>
      <c r="B22" t="str">
        <f t="shared" si="1"/>
        <v>VIA LUGO  10-</v>
      </c>
      <c r="C22" t="str">
        <f t="shared" si="0"/>
        <v>GEC</v>
      </c>
      <c r="D22">
        <v>10</v>
      </c>
      <c r="E22" t="str">
        <f t="shared" si="2"/>
        <v>294</v>
      </c>
      <c r="F22" t="str">
        <f>"272"</f>
        <v>272</v>
      </c>
    </row>
    <row r="23" spans="1:6">
      <c r="A23" t="str">
        <f>"E238-9"</f>
        <v>E238-9</v>
      </c>
      <c r="B23" t="str">
        <f t="shared" si="1"/>
        <v>VIA LUGO  10-</v>
      </c>
      <c r="C23" t="str">
        <f t="shared" si="0"/>
        <v>GEC</v>
      </c>
      <c r="D23">
        <v>10</v>
      </c>
      <c r="E23" t="str">
        <f t="shared" si="2"/>
        <v>294</v>
      </c>
      <c r="F23" t="str">
        <f>"271"</f>
        <v>271</v>
      </c>
    </row>
    <row r="24" spans="1:6">
      <c r="A24" t="str">
        <f>"E238-10"</f>
        <v>E238-10</v>
      </c>
      <c r="B24" t="str">
        <f t="shared" si="1"/>
        <v>VIA LUGO  10-</v>
      </c>
      <c r="C24" t="str">
        <f t="shared" si="0"/>
        <v>GEC</v>
      </c>
      <c r="D24">
        <v>10</v>
      </c>
      <c r="E24" t="str">
        <f t="shared" si="2"/>
        <v>294</v>
      </c>
      <c r="F24" t="str">
        <f>"270"</f>
        <v>270</v>
      </c>
    </row>
    <row r="25" spans="1:6">
      <c r="A25" t="str">
        <f>"E238-11"</f>
        <v>E238-11</v>
      </c>
      <c r="B25" t="str">
        <f t="shared" si="1"/>
        <v>VIA LUGO  10-</v>
      </c>
      <c r="C25" t="str">
        <f t="shared" si="0"/>
        <v>GEC</v>
      </c>
      <c r="D25">
        <v>10</v>
      </c>
      <c r="E25" t="str">
        <f t="shared" si="2"/>
        <v>294</v>
      </c>
      <c r="F25" t="str">
        <f>"269"</f>
        <v>269</v>
      </c>
    </row>
    <row r="26" spans="1:6">
      <c r="A26" t="str">
        <f>"E238-12"</f>
        <v>E238-12</v>
      </c>
      <c r="B26" t="str">
        <f t="shared" si="1"/>
        <v>VIA LUGO  10-</v>
      </c>
      <c r="C26" t="str">
        <f t="shared" si="0"/>
        <v>GEC</v>
      </c>
      <c r="D26">
        <v>10</v>
      </c>
      <c r="E26" t="str">
        <f t="shared" si="2"/>
        <v>294</v>
      </c>
      <c r="F26" t="str">
        <f>"268"</f>
        <v>268</v>
      </c>
    </row>
    <row r="27" spans="1:6">
      <c r="A27" t="str">
        <f>"E238-13"</f>
        <v>E238-13</v>
      </c>
      <c r="B27" t="str">
        <f t="shared" si="1"/>
        <v>VIA LUGO  10-</v>
      </c>
      <c r="C27" t="str">
        <f t="shared" si="0"/>
        <v>GEC</v>
      </c>
      <c r="D27">
        <v>10</v>
      </c>
      <c r="E27" t="str">
        <f t="shared" si="2"/>
        <v>294</v>
      </c>
      <c r="F27" t="str">
        <f>"403"</f>
        <v>403</v>
      </c>
    </row>
    <row r="28" spans="1:6">
      <c r="A28" t="str">
        <f>"E238-14"</f>
        <v>E238-14</v>
      </c>
      <c r="B28" t="str">
        <f t="shared" si="1"/>
        <v>VIA LUGO  10-</v>
      </c>
      <c r="C28" t="str">
        <f t="shared" si="0"/>
        <v>GEC</v>
      </c>
      <c r="D28">
        <v>10</v>
      </c>
      <c r="E28" t="str">
        <f t="shared" si="2"/>
        <v>294</v>
      </c>
      <c r="F28" t="str">
        <f>"402"</f>
        <v>402</v>
      </c>
    </row>
    <row r="29" spans="1:6">
      <c r="A29" t="str">
        <f>"E238-15"</f>
        <v>E238-15</v>
      </c>
      <c r="B29" t="str">
        <f t="shared" si="1"/>
        <v>VIA LUGO  10-</v>
      </c>
      <c r="C29" t="str">
        <f t="shared" si="0"/>
        <v>GEC</v>
      </c>
      <c r="D29">
        <v>10</v>
      </c>
      <c r="E29" t="str">
        <f t="shared" si="2"/>
        <v>294</v>
      </c>
      <c r="F29" t="str">
        <f>"401"</f>
        <v>401</v>
      </c>
    </row>
    <row r="30" spans="1:6">
      <c r="A30" t="str">
        <f>"E238-16"</f>
        <v>E238-16</v>
      </c>
      <c r="B30" t="str">
        <f t="shared" si="1"/>
        <v>VIA LUGO  10-</v>
      </c>
      <c r="C30" t="str">
        <f t="shared" si="0"/>
        <v>GEC</v>
      </c>
      <c r="D30">
        <v>10</v>
      </c>
      <c r="E30" t="str">
        <f t="shared" si="2"/>
        <v>294</v>
      </c>
      <c r="F30" t="str">
        <f>"400"</f>
        <v>400</v>
      </c>
    </row>
    <row r="31" spans="1:6">
      <c r="A31" t="str">
        <f>"E238-17"</f>
        <v>E238-17</v>
      </c>
      <c r="B31" t="str">
        <f t="shared" si="1"/>
        <v>VIA LUGO  10-</v>
      </c>
      <c r="C31" t="str">
        <f t="shared" si="0"/>
        <v>GEC</v>
      </c>
      <c r="D31">
        <v>10</v>
      </c>
      <c r="E31" t="str">
        <f t="shared" si="2"/>
        <v>294</v>
      </c>
      <c r="F31" t="str">
        <f>"399"</f>
        <v>399</v>
      </c>
    </row>
    <row r="32" spans="1:6">
      <c r="A32" t="str">
        <f>"E238-18"</f>
        <v>E238-18</v>
      </c>
      <c r="B32" t="str">
        <f t="shared" si="1"/>
        <v>VIA LUGO  10-</v>
      </c>
      <c r="C32" t="str">
        <f t="shared" si="0"/>
        <v>GEC</v>
      </c>
      <c r="D32">
        <v>10</v>
      </c>
      <c r="E32" t="str">
        <f t="shared" si="2"/>
        <v>294</v>
      </c>
      <c r="F32" t="str">
        <f>"398"</f>
        <v>398</v>
      </c>
    </row>
    <row r="33" spans="1:6">
      <c r="A33" t="str">
        <f>"E238-19"</f>
        <v>E238-19</v>
      </c>
      <c r="B33" t="str">
        <f t="shared" si="1"/>
        <v>VIA LUGO  10-</v>
      </c>
      <c r="C33" t="str">
        <f t="shared" si="0"/>
        <v>GEC</v>
      </c>
      <c r="D33">
        <v>10</v>
      </c>
      <c r="E33" t="str">
        <f t="shared" si="2"/>
        <v>294</v>
      </c>
      <c r="F33" t="str">
        <f>"397"</f>
        <v>397</v>
      </c>
    </row>
    <row r="34" spans="1:6">
      <c r="A34" t="str">
        <f>"E238-20"</f>
        <v>E238-20</v>
      </c>
      <c r="B34" t="str">
        <f t="shared" si="1"/>
        <v>VIA LUGO  10-</v>
      </c>
      <c r="C34" t="str">
        <f t="shared" si="0"/>
        <v>GEC</v>
      </c>
      <c r="D34">
        <v>10</v>
      </c>
      <c r="E34" t="str">
        <f t="shared" si="2"/>
        <v>294</v>
      </c>
      <c r="F34" t="str">
        <f>"396"</f>
        <v>396</v>
      </c>
    </row>
    <row r="35" spans="1:6">
      <c r="A35" t="str">
        <f>"E238-21"</f>
        <v>E238-21</v>
      </c>
      <c r="B35" t="str">
        <f t="shared" si="1"/>
        <v>VIA LUGO  10-</v>
      </c>
      <c r="C35" t="str">
        <f t="shared" si="0"/>
        <v>GEC</v>
      </c>
      <c r="D35">
        <v>10</v>
      </c>
      <c r="E35" t="str">
        <f t="shared" si="2"/>
        <v>294</v>
      </c>
      <c r="F35" t="str">
        <f>"395"</f>
        <v>395</v>
      </c>
    </row>
    <row r="36" spans="1:6">
      <c r="A36" t="str">
        <f>"E238-22"</f>
        <v>E238-22</v>
      </c>
      <c r="B36" t="str">
        <f t="shared" si="1"/>
        <v>VIA LUGO  10-</v>
      </c>
      <c r="C36" t="str">
        <f t="shared" si="0"/>
        <v>GEC</v>
      </c>
      <c r="D36">
        <v>10</v>
      </c>
      <c r="E36" t="str">
        <f t="shared" si="2"/>
        <v>294</v>
      </c>
      <c r="F36" t="str">
        <f>"394"</f>
        <v>394</v>
      </c>
    </row>
    <row r="37" spans="1:6">
      <c r="A37" t="str">
        <f>"E238-23"</f>
        <v>E238-23</v>
      </c>
      <c r="B37" t="str">
        <f t="shared" si="1"/>
        <v>VIA LUGO  10-</v>
      </c>
      <c r="C37" t="str">
        <f t="shared" si="0"/>
        <v>GEC</v>
      </c>
      <c r="D37">
        <v>10</v>
      </c>
      <c r="E37" t="str">
        <f t="shared" si="2"/>
        <v>294</v>
      </c>
      <c r="F37" t="str">
        <f>"393"</f>
        <v>393</v>
      </c>
    </row>
    <row r="38" spans="1:6">
      <c r="A38" t="str">
        <f>"E238-24"</f>
        <v>E238-24</v>
      </c>
      <c r="B38" t="str">
        <f t="shared" si="1"/>
        <v>VIA LUGO  10-</v>
      </c>
      <c r="C38" t="str">
        <f t="shared" si="0"/>
        <v>GEC</v>
      </c>
      <c r="D38">
        <v>10</v>
      </c>
      <c r="E38" t="str">
        <f t="shared" si="2"/>
        <v>294</v>
      </c>
      <c r="F38" t="str">
        <f>"392"</f>
        <v>392</v>
      </c>
    </row>
    <row r="39" spans="1:6">
      <c r="A39" t="str">
        <f>"E238-25"</f>
        <v>E238-25</v>
      </c>
      <c r="B39" t="str">
        <f t="shared" si="1"/>
        <v>VIA LUGO  10-</v>
      </c>
      <c r="C39" t="str">
        <f t="shared" ref="C39:C70" si="3">"GEC"</f>
        <v>GEC</v>
      </c>
      <c r="D39">
        <v>10</v>
      </c>
      <c r="E39" t="str">
        <f t="shared" si="2"/>
        <v>294</v>
      </c>
      <c r="F39" t="str">
        <f>"391"</f>
        <v>391</v>
      </c>
    </row>
    <row r="40" spans="1:6">
      <c r="A40" t="str">
        <f>"E238-26"</f>
        <v>E238-26</v>
      </c>
      <c r="B40" t="str">
        <f t="shared" si="1"/>
        <v>VIA LUGO  10-</v>
      </c>
      <c r="C40" t="str">
        <f t="shared" si="3"/>
        <v>GEC</v>
      </c>
      <c r="D40">
        <v>10</v>
      </c>
      <c r="E40" t="str">
        <f t="shared" si="2"/>
        <v>294</v>
      </c>
      <c r="F40" t="str">
        <f>"390"</f>
        <v>390</v>
      </c>
    </row>
    <row r="41" spans="1:6">
      <c r="A41" t="str">
        <f>"E238-27"</f>
        <v>E238-27</v>
      </c>
      <c r="B41" t="str">
        <f t="shared" si="1"/>
        <v>VIA LUGO  10-</v>
      </c>
      <c r="C41" t="str">
        <f t="shared" si="3"/>
        <v>GEC</v>
      </c>
      <c r="D41">
        <v>10</v>
      </c>
      <c r="E41" t="str">
        <f t="shared" si="2"/>
        <v>294</v>
      </c>
      <c r="F41" t="str">
        <f>"407"</f>
        <v>407</v>
      </c>
    </row>
    <row r="42" spans="1:6">
      <c r="A42" t="str">
        <f>"E238-28"</f>
        <v>E238-28</v>
      </c>
      <c r="B42" t="str">
        <f t="shared" si="1"/>
        <v>VIA LUGO  10-</v>
      </c>
      <c r="C42" t="str">
        <f t="shared" si="3"/>
        <v>GEC</v>
      </c>
      <c r="D42">
        <v>10</v>
      </c>
      <c r="E42" t="str">
        <f t="shared" si="2"/>
        <v>294</v>
      </c>
      <c r="F42" t="str">
        <f>"406"</f>
        <v>406</v>
      </c>
    </row>
    <row r="43" spans="1:6">
      <c r="A43" t="str">
        <f>"E238-29"</f>
        <v>E238-29</v>
      </c>
      <c r="B43" t="str">
        <f t="shared" si="1"/>
        <v>VIA LUGO  10-</v>
      </c>
      <c r="C43" t="str">
        <f t="shared" si="3"/>
        <v>GEC</v>
      </c>
      <c r="D43">
        <v>10</v>
      </c>
      <c r="E43" t="str">
        <f t="shared" si="2"/>
        <v>294</v>
      </c>
      <c r="F43" t="str">
        <f>"405"</f>
        <v>405</v>
      </c>
    </row>
    <row r="44" spans="1:6">
      <c r="A44" t="str">
        <f>"E238-30"</f>
        <v>E238-30</v>
      </c>
      <c r="B44" t="str">
        <f t="shared" si="1"/>
        <v>VIA LUGO  10-</v>
      </c>
      <c r="C44" t="str">
        <f t="shared" si="3"/>
        <v>GEC</v>
      </c>
      <c r="D44">
        <v>10</v>
      </c>
      <c r="E44" t="str">
        <f t="shared" si="2"/>
        <v>294</v>
      </c>
      <c r="F44" t="str">
        <f>"404"</f>
        <v>404</v>
      </c>
    </row>
    <row r="45" spans="1:6">
      <c r="A45" t="str">
        <f>"E242-1"</f>
        <v>E242-1</v>
      </c>
      <c r="B45" t="str">
        <f t="shared" ref="B45:B76" si="4">"VIA LUGO  12-"</f>
        <v>VIA LUGO  12-</v>
      </c>
      <c r="C45" t="str">
        <f t="shared" si="3"/>
        <v>GEC</v>
      </c>
      <c r="D45">
        <v>10</v>
      </c>
      <c r="E45" t="str">
        <f t="shared" si="2"/>
        <v>294</v>
      </c>
      <c r="F45" t="str">
        <f>"292"</f>
        <v>292</v>
      </c>
    </row>
    <row r="46" spans="1:6">
      <c r="A46" t="str">
        <f>"E242-2"</f>
        <v>E242-2</v>
      </c>
      <c r="B46" t="str">
        <f t="shared" si="4"/>
        <v>VIA LUGO  12-</v>
      </c>
      <c r="C46" t="str">
        <f t="shared" si="3"/>
        <v>GEC</v>
      </c>
      <c r="D46">
        <v>10</v>
      </c>
      <c r="E46" t="str">
        <f t="shared" si="2"/>
        <v>294</v>
      </c>
      <c r="F46" t="str">
        <f>"293"</f>
        <v>293</v>
      </c>
    </row>
    <row r="47" spans="1:6">
      <c r="A47" t="str">
        <f>"E242-3"</f>
        <v>E242-3</v>
      </c>
      <c r="B47" t="str">
        <f t="shared" si="4"/>
        <v>VIA LUGO  12-</v>
      </c>
      <c r="C47" t="str">
        <f t="shared" si="3"/>
        <v>GEC</v>
      </c>
      <c r="D47">
        <v>10</v>
      </c>
      <c r="E47" t="str">
        <f t="shared" ref="E47:E78" si="5">"294"</f>
        <v>294</v>
      </c>
      <c r="F47" t="str">
        <f>"166"</f>
        <v>166</v>
      </c>
    </row>
    <row r="48" spans="1:6">
      <c r="A48" t="str">
        <f>"E242-4"</f>
        <v>E242-4</v>
      </c>
      <c r="B48" t="str">
        <f t="shared" si="4"/>
        <v>VIA LUGO  12-</v>
      </c>
      <c r="C48" t="str">
        <f t="shared" si="3"/>
        <v>GEC</v>
      </c>
      <c r="D48">
        <v>10</v>
      </c>
      <c r="E48" t="str">
        <f t="shared" si="5"/>
        <v>294</v>
      </c>
      <c r="F48" t="str">
        <f>"167"</f>
        <v>167</v>
      </c>
    </row>
    <row r="49" spans="1:6">
      <c r="A49" t="str">
        <f>"E242-5"</f>
        <v>E242-5</v>
      </c>
      <c r="B49" t="str">
        <f t="shared" si="4"/>
        <v>VIA LUGO  12-</v>
      </c>
      <c r="C49" t="str">
        <f t="shared" si="3"/>
        <v>GEC</v>
      </c>
      <c r="D49">
        <v>10</v>
      </c>
      <c r="E49" t="str">
        <f t="shared" si="5"/>
        <v>294</v>
      </c>
      <c r="F49" t="str">
        <f>"168"</f>
        <v>168</v>
      </c>
    </row>
    <row r="50" spans="1:6">
      <c r="A50" t="str">
        <f>"E242-6"</f>
        <v>E242-6</v>
      </c>
      <c r="B50" t="str">
        <f t="shared" si="4"/>
        <v>VIA LUGO  12-</v>
      </c>
      <c r="C50" t="str">
        <f t="shared" si="3"/>
        <v>GEC</v>
      </c>
      <c r="D50">
        <v>10</v>
      </c>
      <c r="E50" t="str">
        <f t="shared" si="5"/>
        <v>294</v>
      </c>
      <c r="F50" t="str">
        <f>"364"</f>
        <v>364</v>
      </c>
    </row>
    <row r="51" spans="1:6">
      <c r="A51" t="str">
        <f>"E242-7"</f>
        <v>E242-7</v>
      </c>
      <c r="B51" t="str">
        <f t="shared" si="4"/>
        <v>VIA LUGO  12-</v>
      </c>
      <c r="C51" t="str">
        <f t="shared" si="3"/>
        <v>GEC</v>
      </c>
      <c r="D51">
        <v>10</v>
      </c>
      <c r="E51" t="str">
        <f t="shared" si="5"/>
        <v>294</v>
      </c>
      <c r="F51" t="str">
        <f>"365"</f>
        <v>365</v>
      </c>
    </row>
    <row r="52" spans="1:6">
      <c r="A52" t="str">
        <f>"E242-8"</f>
        <v>E242-8</v>
      </c>
      <c r="B52" t="str">
        <f t="shared" si="4"/>
        <v>VIA LUGO  12-</v>
      </c>
      <c r="C52" t="str">
        <f t="shared" si="3"/>
        <v>GEC</v>
      </c>
      <c r="D52">
        <v>10</v>
      </c>
      <c r="E52" t="str">
        <f t="shared" si="5"/>
        <v>294</v>
      </c>
      <c r="F52" t="str">
        <f>"171"</f>
        <v>171</v>
      </c>
    </row>
    <row r="53" spans="1:6">
      <c r="A53" t="str">
        <f>"E242-9"</f>
        <v>E242-9</v>
      </c>
      <c r="B53" t="str">
        <f t="shared" si="4"/>
        <v>VIA LUGO  12-</v>
      </c>
      <c r="C53" t="str">
        <f t="shared" si="3"/>
        <v>GEC</v>
      </c>
      <c r="D53">
        <v>10</v>
      </c>
      <c r="E53" t="str">
        <f t="shared" si="5"/>
        <v>294</v>
      </c>
      <c r="F53" t="str">
        <f>"172"</f>
        <v>172</v>
      </c>
    </row>
    <row r="54" spans="1:6">
      <c r="A54" t="str">
        <f>"E242-10"</f>
        <v>E242-10</v>
      </c>
      <c r="B54" t="str">
        <f t="shared" si="4"/>
        <v>VIA LUGO  12-</v>
      </c>
      <c r="C54" t="str">
        <f t="shared" si="3"/>
        <v>GEC</v>
      </c>
      <c r="D54">
        <v>10</v>
      </c>
      <c r="E54" t="str">
        <f t="shared" si="5"/>
        <v>294</v>
      </c>
      <c r="F54" t="str">
        <f>"173"</f>
        <v>173</v>
      </c>
    </row>
    <row r="55" spans="1:6">
      <c r="A55" t="str">
        <f>"E242-11"</f>
        <v>E242-11</v>
      </c>
      <c r="B55" t="str">
        <f t="shared" si="4"/>
        <v>VIA LUGO  12-</v>
      </c>
      <c r="C55" t="str">
        <f t="shared" si="3"/>
        <v>GEC</v>
      </c>
      <c r="D55">
        <v>10</v>
      </c>
      <c r="E55" t="str">
        <f t="shared" si="5"/>
        <v>294</v>
      </c>
      <c r="F55" t="str">
        <f>"288"</f>
        <v>288</v>
      </c>
    </row>
    <row r="56" spans="1:6">
      <c r="A56" t="str">
        <f>"E242-12"</f>
        <v>E242-12</v>
      </c>
      <c r="B56" t="str">
        <f t="shared" si="4"/>
        <v>VIA LUGO  12-</v>
      </c>
      <c r="C56" t="str">
        <f t="shared" si="3"/>
        <v>GEC</v>
      </c>
      <c r="D56">
        <v>10</v>
      </c>
      <c r="E56" t="str">
        <f t="shared" si="5"/>
        <v>294</v>
      </c>
      <c r="F56" t="str">
        <f>"289"</f>
        <v>289</v>
      </c>
    </row>
    <row r="57" spans="1:6">
      <c r="A57" t="str">
        <f>"E242-13"</f>
        <v>E242-13</v>
      </c>
      <c r="B57" t="str">
        <f t="shared" si="4"/>
        <v>VIA LUGO  12-</v>
      </c>
      <c r="C57" t="str">
        <f t="shared" si="3"/>
        <v>GEC</v>
      </c>
      <c r="D57">
        <v>10</v>
      </c>
      <c r="E57" t="str">
        <f t="shared" si="5"/>
        <v>294</v>
      </c>
      <c r="F57" t="str">
        <f>"290"</f>
        <v>290</v>
      </c>
    </row>
    <row r="58" spans="1:6">
      <c r="A58" t="str">
        <f>"E242-14"</f>
        <v>E242-14</v>
      </c>
      <c r="B58" t="str">
        <f t="shared" si="4"/>
        <v>VIA LUGO  12-</v>
      </c>
      <c r="C58" t="str">
        <f t="shared" si="3"/>
        <v>GEC</v>
      </c>
      <c r="D58">
        <v>10</v>
      </c>
      <c r="E58" t="str">
        <f t="shared" si="5"/>
        <v>294</v>
      </c>
      <c r="F58" t="str">
        <f>"291"</f>
        <v>291</v>
      </c>
    </row>
    <row r="59" spans="1:6">
      <c r="A59" t="str">
        <f>"E242-15"</f>
        <v>E242-15</v>
      </c>
      <c r="B59" t="str">
        <f t="shared" si="4"/>
        <v>VIA LUGO  12-</v>
      </c>
      <c r="C59" t="str">
        <f t="shared" si="3"/>
        <v>GEC</v>
      </c>
      <c r="D59">
        <v>10</v>
      </c>
      <c r="E59" t="str">
        <f t="shared" si="5"/>
        <v>294</v>
      </c>
      <c r="F59" t="str">
        <f>"318"</f>
        <v>318</v>
      </c>
    </row>
    <row r="60" spans="1:6">
      <c r="A60" t="str">
        <f>"E242-16"</f>
        <v>E242-16</v>
      </c>
      <c r="B60" t="str">
        <f t="shared" si="4"/>
        <v>VIA LUGO  12-</v>
      </c>
      <c r="C60" t="str">
        <f t="shared" si="3"/>
        <v>GEC</v>
      </c>
      <c r="D60">
        <v>10</v>
      </c>
      <c r="E60" t="str">
        <f t="shared" si="5"/>
        <v>294</v>
      </c>
      <c r="F60" t="str">
        <f>"319"</f>
        <v>319</v>
      </c>
    </row>
    <row r="61" spans="1:6">
      <c r="A61" t="str">
        <f>"E242-17"</f>
        <v>E242-17</v>
      </c>
      <c r="B61" t="str">
        <f t="shared" si="4"/>
        <v>VIA LUGO  12-</v>
      </c>
      <c r="C61" t="str">
        <f t="shared" si="3"/>
        <v>GEC</v>
      </c>
      <c r="D61">
        <v>10</v>
      </c>
      <c r="E61" t="str">
        <f t="shared" si="5"/>
        <v>294</v>
      </c>
      <c r="F61" t="str">
        <f>"320"</f>
        <v>320</v>
      </c>
    </row>
    <row r="62" spans="1:6">
      <c r="A62" t="str">
        <f>"E242-18"</f>
        <v>E242-18</v>
      </c>
      <c r="B62" t="str">
        <f t="shared" si="4"/>
        <v>VIA LUGO  12-</v>
      </c>
      <c r="C62" t="str">
        <f t="shared" si="3"/>
        <v>GEC</v>
      </c>
      <c r="D62">
        <v>10</v>
      </c>
      <c r="E62" t="str">
        <f t="shared" si="5"/>
        <v>294</v>
      </c>
      <c r="F62" t="str">
        <f>"321"</f>
        <v>321</v>
      </c>
    </row>
    <row r="63" spans="1:6">
      <c r="A63" t="str">
        <f>"E242-19"</f>
        <v>E242-19</v>
      </c>
      <c r="B63" t="str">
        <f t="shared" si="4"/>
        <v>VIA LUGO  12-</v>
      </c>
      <c r="C63" t="str">
        <f t="shared" si="3"/>
        <v>GEC</v>
      </c>
      <c r="D63">
        <v>10</v>
      </c>
      <c r="E63" t="str">
        <f t="shared" si="5"/>
        <v>294</v>
      </c>
      <c r="F63" t="str">
        <f>"326"</f>
        <v>326</v>
      </c>
    </row>
    <row r="64" spans="1:6">
      <c r="A64" t="str">
        <f>"E242-20"</f>
        <v>E242-20</v>
      </c>
      <c r="B64" t="str">
        <f t="shared" si="4"/>
        <v>VIA LUGO  12-</v>
      </c>
      <c r="C64" t="str">
        <f t="shared" si="3"/>
        <v>GEC</v>
      </c>
      <c r="D64">
        <v>10</v>
      </c>
      <c r="E64" t="str">
        <f t="shared" si="5"/>
        <v>294</v>
      </c>
      <c r="F64" t="str">
        <f>"327"</f>
        <v>327</v>
      </c>
    </row>
    <row r="65" spans="1:6">
      <c r="A65" t="str">
        <f>"E242-21"</f>
        <v>E242-21</v>
      </c>
      <c r="B65" t="str">
        <f t="shared" si="4"/>
        <v>VIA LUGO  12-</v>
      </c>
      <c r="C65" t="str">
        <f t="shared" si="3"/>
        <v>GEC</v>
      </c>
      <c r="D65">
        <v>10</v>
      </c>
      <c r="E65" t="str">
        <f t="shared" si="5"/>
        <v>294</v>
      </c>
      <c r="F65" t="str">
        <f>"328"</f>
        <v>328</v>
      </c>
    </row>
    <row r="66" spans="1:6">
      <c r="A66" t="str">
        <f>"E242-22"</f>
        <v>E242-22</v>
      </c>
      <c r="B66" t="str">
        <f t="shared" si="4"/>
        <v>VIA LUGO  12-</v>
      </c>
      <c r="C66" t="str">
        <f t="shared" si="3"/>
        <v>GEC</v>
      </c>
      <c r="D66">
        <v>10</v>
      </c>
      <c r="E66" t="str">
        <f t="shared" si="5"/>
        <v>294</v>
      </c>
      <c r="F66" t="str">
        <f>"329"</f>
        <v>329</v>
      </c>
    </row>
    <row r="67" spans="1:6">
      <c r="A67" t="str">
        <f>"E242-23"</f>
        <v>E242-23</v>
      </c>
      <c r="B67" t="str">
        <f t="shared" si="4"/>
        <v>VIA LUGO  12-</v>
      </c>
      <c r="C67" t="str">
        <f t="shared" si="3"/>
        <v>GEC</v>
      </c>
      <c r="D67">
        <v>10</v>
      </c>
      <c r="E67" t="str">
        <f t="shared" si="5"/>
        <v>294</v>
      </c>
      <c r="F67" t="str">
        <f>"330"</f>
        <v>330</v>
      </c>
    </row>
    <row r="68" spans="1:6">
      <c r="A68" t="str">
        <f>"E242-24"</f>
        <v>E242-24</v>
      </c>
      <c r="B68" t="str">
        <f t="shared" si="4"/>
        <v>VIA LUGO  12-</v>
      </c>
      <c r="C68" t="str">
        <f t="shared" si="3"/>
        <v>GEC</v>
      </c>
      <c r="D68">
        <v>10</v>
      </c>
      <c r="E68" t="str">
        <f t="shared" si="5"/>
        <v>294</v>
      </c>
      <c r="F68" t="str">
        <f>"331"</f>
        <v>331</v>
      </c>
    </row>
    <row r="69" spans="1:6">
      <c r="A69" t="str">
        <f>"E242-25"</f>
        <v>E242-25</v>
      </c>
      <c r="B69" t="str">
        <f t="shared" si="4"/>
        <v>VIA LUGO  12-</v>
      </c>
      <c r="C69" t="str">
        <f t="shared" si="3"/>
        <v>GEC</v>
      </c>
      <c r="D69">
        <v>10</v>
      </c>
      <c r="E69" t="str">
        <f t="shared" si="5"/>
        <v>294</v>
      </c>
      <c r="F69" t="str">
        <f>"332"</f>
        <v>332</v>
      </c>
    </row>
    <row r="70" spans="1:6">
      <c r="A70" t="str">
        <f>"E242-26"</f>
        <v>E242-26</v>
      </c>
      <c r="B70" t="str">
        <f t="shared" si="4"/>
        <v>VIA LUGO  12-</v>
      </c>
      <c r="C70" t="str">
        <f t="shared" si="3"/>
        <v>GEC</v>
      </c>
      <c r="D70">
        <v>10</v>
      </c>
      <c r="E70" t="str">
        <f t="shared" si="5"/>
        <v>294</v>
      </c>
      <c r="F70" t="str">
        <f>"333"</f>
        <v>333</v>
      </c>
    </row>
    <row r="71" spans="1:6">
      <c r="A71" t="str">
        <f>"E242-27"</f>
        <v>E242-27</v>
      </c>
      <c r="B71" t="str">
        <f t="shared" si="4"/>
        <v>VIA LUGO  12-</v>
      </c>
      <c r="C71" t="str">
        <f t="shared" ref="C71:C102" si="6">"GEC"</f>
        <v>GEC</v>
      </c>
      <c r="D71">
        <v>10</v>
      </c>
      <c r="E71" t="str">
        <f t="shared" si="5"/>
        <v>294</v>
      </c>
      <c r="F71" t="str">
        <f>"322"</f>
        <v>322</v>
      </c>
    </row>
    <row r="72" spans="1:6">
      <c r="A72" t="str">
        <f>"E242-28"</f>
        <v>E242-28</v>
      </c>
      <c r="B72" t="str">
        <f t="shared" si="4"/>
        <v>VIA LUGO  12-</v>
      </c>
      <c r="C72" t="str">
        <f t="shared" si="6"/>
        <v>GEC</v>
      </c>
      <c r="D72">
        <v>10</v>
      </c>
      <c r="E72" t="str">
        <f t="shared" si="5"/>
        <v>294</v>
      </c>
      <c r="F72" t="str">
        <f>"323"</f>
        <v>323</v>
      </c>
    </row>
    <row r="73" spans="1:6">
      <c r="A73" t="str">
        <f>"E242-29"</f>
        <v>E242-29</v>
      </c>
      <c r="B73" t="str">
        <f t="shared" si="4"/>
        <v>VIA LUGO  12-</v>
      </c>
      <c r="C73" t="str">
        <f t="shared" si="6"/>
        <v>GEC</v>
      </c>
      <c r="D73">
        <v>10</v>
      </c>
      <c r="E73" t="str">
        <f t="shared" si="5"/>
        <v>294</v>
      </c>
      <c r="F73" t="str">
        <f>"324"</f>
        <v>324</v>
      </c>
    </row>
    <row r="74" spans="1:6">
      <c r="A74" t="str">
        <f>"E242-30"</f>
        <v>E242-30</v>
      </c>
      <c r="B74" t="str">
        <f t="shared" si="4"/>
        <v>VIA LUGO  12-</v>
      </c>
      <c r="C74" t="str">
        <f t="shared" si="6"/>
        <v>GEC</v>
      </c>
      <c r="D74">
        <v>10</v>
      </c>
      <c r="E74" t="str">
        <f t="shared" si="5"/>
        <v>294</v>
      </c>
      <c r="F74" t="str">
        <f>"325"</f>
        <v>325</v>
      </c>
    </row>
    <row r="75" spans="1:6">
      <c r="A75" t="str">
        <f>"E242-31"</f>
        <v>E242-31</v>
      </c>
      <c r="B75" t="str">
        <f t="shared" si="4"/>
        <v>VIA LUGO  12-</v>
      </c>
      <c r="C75" t="str">
        <f t="shared" si="6"/>
        <v>GEC</v>
      </c>
      <c r="D75">
        <v>10</v>
      </c>
      <c r="E75" t="str">
        <f t="shared" si="5"/>
        <v>294</v>
      </c>
      <c r="F75" t="str">
        <f>"334"</f>
        <v>334</v>
      </c>
    </row>
    <row r="76" spans="1:6">
      <c r="A76" t="str">
        <f>"E242-32"</f>
        <v>E242-32</v>
      </c>
      <c r="B76" t="str">
        <f t="shared" si="4"/>
        <v>VIA LUGO  12-</v>
      </c>
      <c r="C76" t="str">
        <f t="shared" si="6"/>
        <v>GEC</v>
      </c>
      <c r="D76">
        <v>10</v>
      </c>
      <c r="E76" t="str">
        <f t="shared" si="5"/>
        <v>294</v>
      </c>
      <c r="F76" t="str">
        <f>"335"</f>
        <v>335</v>
      </c>
    </row>
    <row r="77" spans="1:6">
      <c r="A77" t="str">
        <f>"E242-33"</f>
        <v>E242-33</v>
      </c>
      <c r="B77" t="str">
        <f t="shared" ref="B77:B104" si="7">"VIA LUGO  12-"</f>
        <v>VIA LUGO  12-</v>
      </c>
      <c r="C77" t="str">
        <f t="shared" si="6"/>
        <v>GEC</v>
      </c>
      <c r="D77">
        <v>10</v>
      </c>
      <c r="E77" t="str">
        <f t="shared" si="5"/>
        <v>294</v>
      </c>
      <c r="F77" t="str">
        <f>"336"</f>
        <v>336</v>
      </c>
    </row>
    <row r="78" spans="1:6">
      <c r="A78" t="str">
        <f>"E242-34"</f>
        <v>E242-34</v>
      </c>
      <c r="B78" t="str">
        <f t="shared" si="7"/>
        <v>VIA LUGO  12-</v>
      </c>
      <c r="C78" t="str">
        <f t="shared" si="6"/>
        <v>GEC</v>
      </c>
      <c r="D78">
        <v>10</v>
      </c>
      <c r="E78" t="str">
        <f t="shared" si="5"/>
        <v>294</v>
      </c>
      <c r="F78" t="str">
        <f>"337"</f>
        <v>337</v>
      </c>
    </row>
    <row r="79" spans="1:6">
      <c r="A79" t="str">
        <f>"E242-35"</f>
        <v>E242-35</v>
      </c>
      <c r="B79" t="str">
        <f t="shared" si="7"/>
        <v>VIA LUGO  12-</v>
      </c>
      <c r="C79" t="str">
        <f t="shared" si="6"/>
        <v>GEC</v>
      </c>
      <c r="D79">
        <v>10</v>
      </c>
      <c r="E79" t="str">
        <f t="shared" ref="E79:E110" si="8">"294"</f>
        <v>294</v>
      </c>
      <c r="F79" t="str">
        <f>"338"</f>
        <v>338</v>
      </c>
    </row>
    <row r="80" spans="1:6">
      <c r="A80" t="str">
        <f>"E242-36"</f>
        <v>E242-36</v>
      </c>
      <c r="B80" t="str">
        <f t="shared" si="7"/>
        <v>VIA LUGO  12-</v>
      </c>
      <c r="C80" t="str">
        <f t="shared" si="6"/>
        <v>GEC</v>
      </c>
      <c r="D80">
        <v>10</v>
      </c>
      <c r="E80" t="str">
        <f t="shared" si="8"/>
        <v>294</v>
      </c>
      <c r="F80" t="str">
        <f>"339"</f>
        <v>339</v>
      </c>
    </row>
    <row r="81" spans="1:6">
      <c r="A81" t="str">
        <f>"E242-37"</f>
        <v>E242-37</v>
      </c>
      <c r="B81" t="str">
        <f t="shared" si="7"/>
        <v>VIA LUGO  12-</v>
      </c>
      <c r="C81" t="str">
        <f t="shared" si="6"/>
        <v>GEC</v>
      </c>
      <c r="D81">
        <v>10</v>
      </c>
      <c r="E81" t="str">
        <f t="shared" si="8"/>
        <v>294</v>
      </c>
      <c r="F81" t="str">
        <f>"340"</f>
        <v>340</v>
      </c>
    </row>
    <row r="82" spans="1:6">
      <c r="A82" t="str">
        <f>"E242-38"</f>
        <v>E242-38</v>
      </c>
      <c r="B82" t="str">
        <f t="shared" si="7"/>
        <v>VIA LUGO  12-</v>
      </c>
      <c r="C82" t="str">
        <f t="shared" si="6"/>
        <v>GEC</v>
      </c>
      <c r="D82">
        <v>10</v>
      </c>
      <c r="E82" t="str">
        <f t="shared" si="8"/>
        <v>294</v>
      </c>
      <c r="F82" t="str">
        <f>"341"</f>
        <v>341</v>
      </c>
    </row>
    <row r="83" spans="1:6">
      <c r="A83" t="str">
        <f>"E242-39"</f>
        <v>E242-39</v>
      </c>
      <c r="B83" t="str">
        <f t="shared" si="7"/>
        <v>VIA LUGO  12-</v>
      </c>
      <c r="C83" t="str">
        <f t="shared" si="6"/>
        <v>GEC</v>
      </c>
      <c r="D83">
        <v>10</v>
      </c>
      <c r="E83" t="str">
        <f t="shared" si="8"/>
        <v>294</v>
      </c>
      <c r="F83" t="str">
        <f>"342"</f>
        <v>342</v>
      </c>
    </row>
    <row r="84" spans="1:6">
      <c r="A84" t="str">
        <f>"E242-40"</f>
        <v>E242-40</v>
      </c>
      <c r="B84" t="str">
        <f t="shared" si="7"/>
        <v>VIA LUGO  12-</v>
      </c>
      <c r="C84" t="str">
        <f t="shared" si="6"/>
        <v>GEC</v>
      </c>
      <c r="D84">
        <v>10</v>
      </c>
      <c r="E84" t="str">
        <f t="shared" si="8"/>
        <v>294</v>
      </c>
      <c r="F84" t="str">
        <f>"343"</f>
        <v>343</v>
      </c>
    </row>
    <row r="85" spans="1:6">
      <c r="A85" t="str">
        <f>"E242-41"</f>
        <v>E242-41</v>
      </c>
      <c r="B85" t="str">
        <f t="shared" si="7"/>
        <v>VIA LUGO  12-</v>
      </c>
      <c r="C85" t="str">
        <f t="shared" si="6"/>
        <v>GEC</v>
      </c>
      <c r="D85">
        <v>10</v>
      </c>
      <c r="E85" t="str">
        <f t="shared" si="8"/>
        <v>294</v>
      </c>
      <c r="F85" t="str">
        <f>"344"</f>
        <v>344</v>
      </c>
    </row>
    <row r="86" spans="1:6">
      <c r="A86" t="str">
        <f>"E242-42"</f>
        <v>E242-42</v>
      </c>
      <c r="B86" t="str">
        <f t="shared" si="7"/>
        <v>VIA LUGO  12-</v>
      </c>
      <c r="C86" t="str">
        <f t="shared" si="6"/>
        <v>GEC</v>
      </c>
      <c r="D86">
        <v>10</v>
      </c>
      <c r="E86" t="str">
        <f t="shared" si="8"/>
        <v>294</v>
      </c>
      <c r="F86" t="str">
        <f>"345"</f>
        <v>345</v>
      </c>
    </row>
    <row r="87" spans="1:6">
      <c r="A87" t="str">
        <f>"E242-43"</f>
        <v>E242-43</v>
      </c>
      <c r="B87" t="str">
        <f t="shared" si="7"/>
        <v>VIA LUGO  12-</v>
      </c>
      <c r="C87" t="str">
        <f t="shared" si="6"/>
        <v>GEC</v>
      </c>
      <c r="D87">
        <v>10</v>
      </c>
      <c r="E87" t="str">
        <f t="shared" si="8"/>
        <v>294</v>
      </c>
      <c r="F87" t="str">
        <f>"346"</f>
        <v>346</v>
      </c>
    </row>
    <row r="88" spans="1:6">
      <c r="A88" t="str">
        <f>"E242-44"</f>
        <v>E242-44</v>
      </c>
      <c r="B88" t="str">
        <f t="shared" si="7"/>
        <v>VIA LUGO  12-</v>
      </c>
      <c r="C88" t="str">
        <f t="shared" si="6"/>
        <v>GEC</v>
      </c>
      <c r="D88">
        <v>10</v>
      </c>
      <c r="E88" t="str">
        <f t="shared" si="8"/>
        <v>294</v>
      </c>
      <c r="F88" t="str">
        <f>"347"</f>
        <v>347</v>
      </c>
    </row>
    <row r="89" spans="1:6">
      <c r="A89" t="str">
        <f>"E242-45"</f>
        <v>E242-45</v>
      </c>
      <c r="B89" t="str">
        <f t="shared" si="7"/>
        <v>VIA LUGO  12-</v>
      </c>
      <c r="C89" t="str">
        <f t="shared" si="6"/>
        <v>GEC</v>
      </c>
      <c r="D89">
        <v>10</v>
      </c>
      <c r="E89" t="str">
        <f t="shared" si="8"/>
        <v>294</v>
      </c>
      <c r="F89" t="str">
        <f>"348"</f>
        <v>348</v>
      </c>
    </row>
    <row r="90" spans="1:6">
      <c r="A90" t="str">
        <f>"E242-46"</f>
        <v>E242-46</v>
      </c>
      <c r="B90" t="str">
        <f t="shared" si="7"/>
        <v>VIA LUGO  12-</v>
      </c>
      <c r="C90" t="str">
        <f t="shared" si="6"/>
        <v>GEC</v>
      </c>
      <c r="D90">
        <v>10</v>
      </c>
      <c r="E90" t="str">
        <f t="shared" si="8"/>
        <v>294</v>
      </c>
      <c r="F90" t="str">
        <f>"349"</f>
        <v>349</v>
      </c>
    </row>
    <row r="91" spans="1:6">
      <c r="A91" t="str">
        <f>"E242-47"</f>
        <v>E242-47</v>
      </c>
      <c r="B91" t="str">
        <f t="shared" si="7"/>
        <v>VIA LUGO  12-</v>
      </c>
      <c r="C91" t="str">
        <f t="shared" si="6"/>
        <v>GEC</v>
      </c>
      <c r="D91">
        <v>10</v>
      </c>
      <c r="E91" t="str">
        <f t="shared" si="8"/>
        <v>294</v>
      </c>
      <c r="F91" t="str">
        <f>"350"</f>
        <v>350</v>
      </c>
    </row>
    <row r="92" spans="1:6">
      <c r="A92" t="str">
        <f>"E242-48"</f>
        <v>E242-48</v>
      </c>
      <c r="B92" t="str">
        <f t="shared" si="7"/>
        <v>VIA LUGO  12-</v>
      </c>
      <c r="C92" t="str">
        <f t="shared" si="6"/>
        <v>GEC</v>
      </c>
      <c r="D92">
        <v>10</v>
      </c>
      <c r="E92" t="str">
        <f t="shared" si="8"/>
        <v>294</v>
      </c>
      <c r="F92" t="str">
        <f>"351"</f>
        <v>351</v>
      </c>
    </row>
    <row r="93" spans="1:6">
      <c r="A93" t="str">
        <f>"E242-49"</f>
        <v>E242-49</v>
      </c>
      <c r="B93" t="str">
        <f t="shared" si="7"/>
        <v>VIA LUGO  12-</v>
      </c>
      <c r="C93" t="str">
        <f t="shared" si="6"/>
        <v>GEC</v>
      </c>
      <c r="D93">
        <v>10</v>
      </c>
      <c r="E93" t="str">
        <f t="shared" si="8"/>
        <v>294</v>
      </c>
      <c r="F93" t="str">
        <f>"352"</f>
        <v>352</v>
      </c>
    </row>
    <row r="94" spans="1:6">
      <c r="A94" t="str">
        <f>"E242-50"</f>
        <v>E242-50</v>
      </c>
      <c r="B94" t="str">
        <f t="shared" si="7"/>
        <v>VIA LUGO  12-</v>
      </c>
      <c r="C94" t="str">
        <f t="shared" si="6"/>
        <v>GEC</v>
      </c>
      <c r="D94">
        <v>10</v>
      </c>
      <c r="E94" t="str">
        <f t="shared" si="8"/>
        <v>294</v>
      </c>
      <c r="F94" t="str">
        <f>"353"</f>
        <v>353</v>
      </c>
    </row>
    <row r="95" spans="1:6">
      <c r="A95" t="str">
        <f>"E242-51"</f>
        <v>E242-51</v>
      </c>
      <c r="B95" t="str">
        <f t="shared" si="7"/>
        <v>VIA LUGO  12-</v>
      </c>
      <c r="C95" t="str">
        <f t="shared" si="6"/>
        <v>GEC</v>
      </c>
      <c r="D95">
        <v>10</v>
      </c>
      <c r="E95" t="str">
        <f t="shared" si="8"/>
        <v>294</v>
      </c>
      <c r="F95" t="str">
        <f>"354"</f>
        <v>354</v>
      </c>
    </row>
    <row r="96" spans="1:6">
      <c r="A96" t="str">
        <f>"E242-52"</f>
        <v>E242-52</v>
      </c>
      <c r="B96" t="str">
        <f t="shared" si="7"/>
        <v>VIA LUGO  12-</v>
      </c>
      <c r="C96" t="str">
        <f t="shared" si="6"/>
        <v>GEC</v>
      </c>
      <c r="D96">
        <v>10</v>
      </c>
      <c r="E96" t="str">
        <f t="shared" si="8"/>
        <v>294</v>
      </c>
      <c r="F96" t="str">
        <f>"355"</f>
        <v>355</v>
      </c>
    </row>
    <row r="97" spans="1:6">
      <c r="A97" t="str">
        <f>"E242-53"</f>
        <v>E242-53</v>
      </c>
      <c r="B97" t="str">
        <f t="shared" si="7"/>
        <v>VIA LUGO  12-</v>
      </c>
      <c r="C97" t="str">
        <f t="shared" si="6"/>
        <v>GEC</v>
      </c>
      <c r="D97">
        <v>10</v>
      </c>
      <c r="E97" t="str">
        <f t="shared" si="8"/>
        <v>294</v>
      </c>
      <c r="F97" t="str">
        <f>"356"</f>
        <v>356</v>
      </c>
    </row>
    <row r="98" spans="1:6">
      <c r="A98" t="str">
        <f>"E242-54"</f>
        <v>E242-54</v>
      </c>
      <c r="B98" t="str">
        <f t="shared" si="7"/>
        <v>VIA LUGO  12-</v>
      </c>
      <c r="C98" t="str">
        <f t="shared" si="6"/>
        <v>GEC</v>
      </c>
      <c r="D98">
        <v>10</v>
      </c>
      <c r="E98" t="str">
        <f t="shared" si="8"/>
        <v>294</v>
      </c>
      <c r="F98" t="str">
        <f>"357"</f>
        <v>357</v>
      </c>
    </row>
    <row r="99" spans="1:6">
      <c r="A99" t="str">
        <f>"E242-55"</f>
        <v>E242-55</v>
      </c>
      <c r="B99" t="str">
        <f t="shared" si="7"/>
        <v>VIA LUGO  12-</v>
      </c>
      <c r="C99" t="str">
        <f t="shared" si="6"/>
        <v>GEC</v>
      </c>
      <c r="D99">
        <v>10</v>
      </c>
      <c r="E99" t="str">
        <f t="shared" si="8"/>
        <v>294</v>
      </c>
      <c r="F99" t="str">
        <f>"358"</f>
        <v>358</v>
      </c>
    </row>
    <row r="100" spans="1:6">
      <c r="A100" t="str">
        <f>"E242-56"</f>
        <v>E242-56</v>
      </c>
      <c r="B100" t="str">
        <f t="shared" si="7"/>
        <v>VIA LUGO  12-</v>
      </c>
      <c r="C100" t="str">
        <f t="shared" si="6"/>
        <v>GEC</v>
      </c>
      <c r="D100">
        <v>10</v>
      </c>
      <c r="E100" t="str">
        <f t="shared" si="8"/>
        <v>294</v>
      </c>
      <c r="F100" t="str">
        <f>"359"</f>
        <v>359</v>
      </c>
    </row>
    <row r="101" spans="1:6">
      <c r="A101" t="str">
        <f>"E242-57"</f>
        <v>E242-57</v>
      </c>
      <c r="B101" t="str">
        <f t="shared" si="7"/>
        <v>VIA LUGO  12-</v>
      </c>
      <c r="C101" t="str">
        <f t="shared" si="6"/>
        <v>GEC</v>
      </c>
      <c r="D101">
        <v>10</v>
      </c>
      <c r="E101" t="str">
        <f t="shared" si="8"/>
        <v>294</v>
      </c>
      <c r="F101" t="str">
        <f>"360"</f>
        <v>360</v>
      </c>
    </row>
    <row r="102" spans="1:6">
      <c r="A102" t="str">
        <f>"E242-58"</f>
        <v>E242-58</v>
      </c>
      <c r="B102" t="str">
        <f t="shared" si="7"/>
        <v>VIA LUGO  12-</v>
      </c>
      <c r="C102" t="str">
        <f t="shared" si="6"/>
        <v>GEC</v>
      </c>
      <c r="D102">
        <v>10</v>
      </c>
      <c r="E102" t="str">
        <f t="shared" si="8"/>
        <v>294</v>
      </c>
      <c r="F102" t="str">
        <f>"361"</f>
        <v>361</v>
      </c>
    </row>
    <row r="103" spans="1:6">
      <c r="A103" t="str">
        <f>"E242-59"</f>
        <v>E242-59</v>
      </c>
      <c r="B103" t="str">
        <f t="shared" si="7"/>
        <v>VIA LUGO  12-</v>
      </c>
      <c r="C103" t="str">
        <f t="shared" ref="C103:C125" si="9">"GEC"</f>
        <v>GEC</v>
      </c>
      <c r="D103">
        <v>10</v>
      </c>
      <c r="E103" t="str">
        <f t="shared" si="8"/>
        <v>294</v>
      </c>
      <c r="F103" t="str">
        <f>"362"</f>
        <v>362</v>
      </c>
    </row>
    <row r="104" spans="1:6">
      <c r="A104" t="str">
        <f>"E242-60"</f>
        <v>E242-60</v>
      </c>
      <c r="B104" t="str">
        <f t="shared" si="7"/>
        <v>VIA LUGO  12-</v>
      </c>
      <c r="C104" t="str">
        <f t="shared" si="9"/>
        <v>GEC</v>
      </c>
      <c r="D104">
        <v>10</v>
      </c>
      <c r="E104" t="str">
        <f t="shared" si="8"/>
        <v>294</v>
      </c>
      <c r="F104" t="str">
        <f>"363"</f>
        <v>363</v>
      </c>
    </row>
    <row r="105" spans="1:6">
      <c r="A105" t="str">
        <f>"E248-1"</f>
        <v>E248-1</v>
      </c>
      <c r="B105" t="str">
        <f t="shared" ref="B105:B124" si="10">"VIA LUGO  14-"</f>
        <v>VIA LUGO  14-</v>
      </c>
      <c r="C105" t="str">
        <f t="shared" si="9"/>
        <v>GEC</v>
      </c>
      <c r="D105">
        <v>10</v>
      </c>
      <c r="E105" t="str">
        <f t="shared" si="8"/>
        <v>294</v>
      </c>
      <c r="F105" t="str">
        <f>"382"</f>
        <v>382</v>
      </c>
    </row>
    <row r="106" spans="1:6">
      <c r="A106" t="str">
        <f>"E248-2"</f>
        <v>E248-2</v>
      </c>
      <c r="B106" t="str">
        <f t="shared" si="10"/>
        <v>VIA LUGO  14-</v>
      </c>
      <c r="C106" t="str">
        <f t="shared" si="9"/>
        <v>GEC</v>
      </c>
      <c r="D106">
        <v>10</v>
      </c>
      <c r="E106" t="str">
        <f t="shared" si="8"/>
        <v>294</v>
      </c>
      <c r="F106" t="str">
        <f>"383"</f>
        <v>383</v>
      </c>
    </row>
    <row r="107" spans="1:6">
      <c r="A107" t="str">
        <f>"E248-3"</f>
        <v>E248-3</v>
      </c>
      <c r="B107" t="str">
        <f t="shared" si="10"/>
        <v>VIA LUGO  14-</v>
      </c>
      <c r="C107" t="str">
        <f t="shared" si="9"/>
        <v>GEC</v>
      </c>
      <c r="D107">
        <v>10</v>
      </c>
      <c r="E107" t="str">
        <f t="shared" si="8"/>
        <v>294</v>
      </c>
      <c r="F107" t="str">
        <f>"384"</f>
        <v>384</v>
      </c>
    </row>
    <row r="108" spans="1:6">
      <c r="A108" t="str">
        <f>"E248-4"</f>
        <v>E248-4</v>
      </c>
      <c r="B108" t="str">
        <f t="shared" si="10"/>
        <v>VIA LUGO  14-</v>
      </c>
      <c r="C108" t="str">
        <f t="shared" si="9"/>
        <v>GEC</v>
      </c>
      <c r="D108">
        <v>10</v>
      </c>
      <c r="E108" t="str">
        <f t="shared" si="8"/>
        <v>294</v>
      </c>
      <c r="F108" t="str">
        <f>"385"</f>
        <v>385</v>
      </c>
    </row>
    <row r="109" spans="1:6">
      <c r="A109" t="str">
        <f>"E248-5"</f>
        <v>E248-5</v>
      </c>
      <c r="B109" t="str">
        <f t="shared" si="10"/>
        <v>VIA LUGO  14-</v>
      </c>
      <c r="C109" t="str">
        <f t="shared" si="9"/>
        <v>GEC</v>
      </c>
      <c r="D109">
        <v>10</v>
      </c>
      <c r="E109" t="str">
        <f t="shared" si="8"/>
        <v>294</v>
      </c>
      <c r="F109" t="str">
        <f>"378"</f>
        <v>378</v>
      </c>
    </row>
    <row r="110" spans="1:6">
      <c r="A110" t="str">
        <f>"E248-6"</f>
        <v>E248-6</v>
      </c>
      <c r="B110" t="str">
        <f t="shared" si="10"/>
        <v>VIA LUGO  14-</v>
      </c>
      <c r="C110" t="str">
        <f t="shared" si="9"/>
        <v>GEC</v>
      </c>
      <c r="D110">
        <v>10</v>
      </c>
      <c r="E110" t="str">
        <f t="shared" si="8"/>
        <v>294</v>
      </c>
      <c r="F110" t="str">
        <f>"379"</f>
        <v>379</v>
      </c>
    </row>
    <row r="111" spans="1:6">
      <c r="A111" t="str">
        <f>"E248-7"</f>
        <v>E248-7</v>
      </c>
      <c r="B111" t="str">
        <f t="shared" si="10"/>
        <v>VIA LUGO  14-</v>
      </c>
      <c r="C111" t="str">
        <f t="shared" si="9"/>
        <v>GEC</v>
      </c>
      <c r="D111">
        <v>10</v>
      </c>
      <c r="E111" t="str">
        <f t="shared" ref="E111:E125" si="11">"294"</f>
        <v>294</v>
      </c>
      <c r="F111" t="str">
        <f>"380"</f>
        <v>380</v>
      </c>
    </row>
    <row r="112" spans="1:6">
      <c r="A112" t="str">
        <f>"E248-8"</f>
        <v>E248-8</v>
      </c>
      <c r="B112" t="str">
        <f t="shared" si="10"/>
        <v>VIA LUGO  14-</v>
      </c>
      <c r="C112" t="str">
        <f t="shared" si="9"/>
        <v>GEC</v>
      </c>
      <c r="D112">
        <v>10</v>
      </c>
      <c r="E112" t="str">
        <f t="shared" si="11"/>
        <v>294</v>
      </c>
      <c r="F112" t="str">
        <f>"381"</f>
        <v>381</v>
      </c>
    </row>
    <row r="113" spans="1:6">
      <c r="A113" t="str">
        <f>"E248-9"</f>
        <v>E248-9</v>
      </c>
      <c r="B113" t="str">
        <f t="shared" si="10"/>
        <v>VIA LUGO  14-</v>
      </c>
      <c r="C113" t="str">
        <f t="shared" si="9"/>
        <v>GEC</v>
      </c>
      <c r="D113">
        <v>10</v>
      </c>
      <c r="E113" t="str">
        <f t="shared" si="11"/>
        <v>294</v>
      </c>
      <c r="F113" t="str">
        <f>"386"</f>
        <v>386</v>
      </c>
    </row>
    <row r="114" spans="1:6">
      <c r="A114" t="str">
        <f>"E248-10"</f>
        <v>E248-10</v>
      </c>
      <c r="B114" t="str">
        <f t="shared" si="10"/>
        <v>VIA LUGO  14-</v>
      </c>
      <c r="C114" t="str">
        <f t="shared" si="9"/>
        <v>GEC</v>
      </c>
      <c r="D114">
        <v>10</v>
      </c>
      <c r="E114" t="str">
        <f t="shared" si="11"/>
        <v>294</v>
      </c>
      <c r="F114" t="str">
        <f>"387"</f>
        <v>387</v>
      </c>
    </row>
    <row r="115" spans="1:6">
      <c r="A115" t="str">
        <f>"E248-11"</f>
        <v>E248-11</v>
      </c>
      <c r="B115" t="str">
        <f t="shared" si="10"/>
        <v>VIA LUGO  14-</v>
      </c>
      <c r="C115" t="str">
        <f t="shared" si="9"/>
        <v>GEC</v>
      </c>
      <c r="D115">
        <v>10</v>
      </c>
      <c r="E115" t="str">
        <f t="shared" si="11"/>
        <v>294</v>
      </c>
      <c r="F115" t="str">
        <f>"388"</f>
        <v>388</v>
      </c>
    </row>
    <row r="116" spans="1:6">
      <c r="A116" t="str">
        <f>"E248-12"</f>
        <v>E248-12</v>
      </c>
      <c r="B116" t="str">
        <f t="shared" si="10"/>
        <v>VIA LUGO  14-</v>
      </c>
      <c r="C116" t="str">
        <f t="shared" si="9"/>
        <v>GEC</v>
      </c>
      <c r="D116">
        <v>10</v>
      </c>
      <c r="E116" t="str">
        <f t="shared" si="11"/>
        <v>294</v>
      </c>
      <c r="F116" t="str">
        <f>"389"</f>
        <v>389</v>
      </c>
    </row>
    <row r="117" spans="1:6">
      <c r="A117" t="str">
        <f>"E248-13"</f>
        <v>E248-13</v>
      </c>
      <c r="B117" t="str">
        <f t="shared" si="10"/>
        <v>VIA LUGO  14-</v>
      </c>
      <c r="C117" t="str">
        <f t="shared" si="9"/>
        <v>GEC</v>
      </c>
      <c r="D117">
        <v>10</v>
      </c>
      <c r="E117" t="str">
        <f t="shared" si="11"/>
        <v>294</v>
      </c>
      <c r="F117" t="str">
        <f>"280"</f>
        <v>280</v>
      </c>
    </row>
    <row r="118" spans="1:6">
      <c r="A118" t="str">
        <f>"E248-14"</f>
        <v>E248-14</v>
      </c>
      <c r="B118" t="str">
        <f t="shared" si="10"/>
        <v>VIA LUGO  14-</v>
      </c>
      <c r="C118" t="str">
        <f t="shared" si="9"/>
        <v>GEC</v>
      </c>
      <c r="D118">
        <v>10</v>
      </c>
      <c r="E118" t="str">
        <f t="shared" si="11"/>
        <v>294</v>
      </c>
      <c r="F118" t="str">
        <f>"281"</f>
        <v>281</v>
      </c>
    </row>
    <row r="119" spans="1:6">
      <c r="A119" t="str">
        <f>"E248-15"</f>
        <v>E248-15</v>
      </c>
      <c r="B119" t="str">
        <f t="shared" si="10"/>
        <v>VIA LUGO  14-</v>
      </c>
      <c r="C119" t="str">
        <f t="shared" si="9"/>
        <v>GEC</v>
      </c>
      <c r="D119">
        <v>10</v>
      </c>
      <c r="E119" t="str">
        <f t="shared" si="11"/>
        <v>294</v>
      </c>
      <c r="F119" t="str">
        <f>"282"</f>
        <v>282</v>
      </c>
    </row>
    <row r="120" spans="1:6">
      <c r="A120" t="str">
        <f>"E248-16"</f>
        <v>E248-16</v>
      </c>
      <c r="B120" t="str">
        <f t="shared" si="10"/>
        <v>VIA LUGO  14-</v>
      </c>
      <c r="C120" t="str">
        <f t="shared" si="9"/>
        <v>GEC</v>
      </c>
      <c r="D120">
        <v>10</v>
      </c>
      <c r="E120" t="str">
        <f t="shared" si="11"/>
        <v>294</v>
      </c>
      <c r="F120" t="str">
        <f>"283"</f>
        <v>283</v>
      </c>
    </row>
    <row r="121" spans="1:6">
      <c r="A121" t="str">
        <f>"E248-17"</f>
        <v>E248-17</v>
      </c>
      <c r="B121" t="str">
        <f t="shared" si="10"/>
        <v>VIA LUGO  14-</v>
      </c>
      <c r="C121" t="str">
        <f t="shared" si="9"/>
        <v>GEC</v>
      </c>
      <c r="D121">
        <v>10</v>
      </c>
      <c r="E121" t="str">
        <f t="shared" si="11"/>
        <v>294</v>
      </c>
      <c r="F121" t="str">
        <f>"284"</f>
        <v>284</v>
      </c>
    </row>
    <row r="122" spans="1:6">
      <c r="A122" t="str">
        <f>"E248-18"</f>
        <v>E248-18</v>
      </c>
      <c r="B122" t="str">
        <f t="shared" si="10"/>
        <v>VIA LUGO  14-</v>
      </c>
      <c r="C122" t="str">
        <f t="shared" si="9"/>
        <v>GEC</v>
      </c>
      <c r="D122">
        <v>10</v>
      </c>
      <c r="E122" t="str">
        <f t="shared" si="11"/>
        <v>294</v>
      </c>
      <c r="F122" t="str">
        <f>"285"</f>
        <v>285</v>
      </c>
    </row>
    <row r="123" spans="1:6">
      <c r="A123" t="str">
        <f>"E248-19"</f>
        <v>E248-19</v>
      </c>
      <c r="B123" t="str">
        <f t="shared" si="10"/>
        <v>VIA LUGO  14-</v>
      </c>
      <c r="C123" t="str">
        <f t="shared" si="9"/>
        <v>GEC</v>
      </c>
      <c r="D123">
        <v>10</v>
      </c>
      <c r="E123" t="str">
        <f t="shared" si="11"/>
        <v>294</v>
      </c>
      <c r="F123" t="str">
        <f>"286"</f>
        <v>286</v>
      </c>
    </row>
    <row r="124" spans="1:6">
      <c r="A124" t="str">
        <f>"E248-20"</f>
        <v>E248-20</v>
      </c>
      <c r="B124" t="str">
        <f t="shared" si="10"/>
        <v>VIA LUGO  14-</v>
      </c>
      <c r="C124" t="str">
        <f t="shared" si="9"/>
        <v>GEC</v>
      </c>
      <c r="D124">
        <v>10</v>
      </c>
      <c r="E124" t="str">
        <f t="shared" si="11"/>
        <v>294</v>
      </c>
      <c r="F124" t="str">
        <f>"287"</f>
        <v>287</v>
      </c>
    </row>
    <row r="125" spans="1:6">
      <c r="A125" t="str">
        <f>"E248-21"</f>
        <v>E248-21</v>
      </c>
      <c r="B125" t="str">
        <f>"VIA LUGO  16-"</f>
        <v>VIA LUGO  16-</v>
      </c>
      <c r="C125" t="str">
        <f t="shared" si="9"/>
        <v>GEC</v>
      </c>
      <c r="D125">
        <v>10</v>
      </c>
      <c r="E125" t="str">
        <f t="shared" si="11"/>
        <v>294</v>
      </c>
      <c r="F125" t="str">
        <f>"3"</f>
        <v>3</v>
      </c>
    </row>
    <row r="126" spans="1:6">
      <c r="A126" t="str">
        <f>"E770-1"</f>
        <v>E770-1</v>
      </c>
      <c r="B126" t="str">
        <f>"SALITA G B MILLELIRE  4-"</f>
        <v>SALITA G B MILLELIRE  4-</v>
      </c>
      <c r="C126" t="str">
        <f>"SAM"</f>
        <v>SAM</v>
      </c>
      <c r="D126">
        <v>38</v>
      </c>
      <c r="E126" t="str">
        <f>"598"</f>
        <v>598</v>
      </c>
      <c r="F126" t="str">
        <f t="shared" ref="F126:F152" si="12">"0000"</f>
        <v>0000</v>
      </c>
    </row>
    <row r="127" spans="1:6">
      <c r="C127" t="str">
        <f>"SAM"</f>
        <v>SAM</v>
      </c>
      <c r="D127">
        <v>38</v>
      </c>
      <c r="E127" t="str">
        <f>"600"</f>
        <v>600</v>
      </c>
      <c r="F127" t="str">
        <f t="shared" si="12"/>
        <v>0000</v>
      </c>
    </row>
    <row r="128" spans="1:6">
      <c r="C128" t="str">
        <f>"SAM"</f>
        <v>SAM</v>
      </c>
      <c r="D128">
        <v>38</v>
      </c>
      <c r="E128" t="str">
        <f>"B"</f>
        <v>B</v>
      </c>
      <c r="F128" t="str">
        <f t="shared" si="12"/>
        <v>0000</v>
      </c>
    </row>
    <row r="129" spans="1:6">
      <c r="C129" t="str">
        <f>"SAM"</f>
        <v>SAM</v>
      </c>
      <c r="D129">
        <v>38</v>
      </c>
      <c r="E129" t="str">
        <f>"599"</f>
        <v>599</v>
      </c>
      <c r="F129" t="str">
        <f t="shared" si="12"/>
        <v>0000</v>
      </c>
    </row>
    <row r="130" spans="1:6">
      <c r="A130" t="str">
        <f>"E770-2"</f>
        <v>E770-2</v>
      </c>
      <c r="B130" t="str">
        <f>"SALITA G B MILLELIRE  4-"</f>
        <v>SALITA G B MILLELIRE  4-</v>
      </c>
      <c r="C130" t="str">
        <f t="shared" ref="C130:C138" si="13">"4"</f>
        <v>4</v>
      </c>
      <c r="D130">
        <v>38</v>
      </c>
      <c r="E130" t="str">
        <f>"471"</f>
        <v>471</v>
      </c>
      <c r="F130" t="str">
        <f t="shared" si="12"/>
        <v>0000</v>
      </c>
    </row>
    <row r="131" spans="1:6">
      <c r="C131" t="str">
        <f t="shared" si="13"/>
        <v>4</v>
      </c>
      <c r="D131">
        <v>38</v>
      </c>
      <c r="E131" t="str">
        <f>"659"</f>
        <v>659</v>
      </c>
      <c r="F131" t="str">
        <f t="shared" si="12"/>
        <v>0000</v>
      </c>
    </row>
    <row r="132" spans="1:6">
      <c r="C132" t="str">
        <f t="shared" si="13"/>
        <v>4</v>
      </c>
      <c r="D132">
        <v>38</v>
      </c>
      <c r="E132" t="str">
        <f>"661"</f>
        <v>661</v>
      </c>
      <c r="F132" t="str">
        <f t="shared" si="12"/>
        <v>0000</v>
      </c>
    </row>
    <row r="133" spans="1:6">
      <c r="C133" t="str">
        <f t="shared" si="13"/>
        <v>4</v>
      </c>
      <c r="D133">
        <v>38</v>
      </c>
      <c r="E133" t="str">
        <f>"663"</f>
        <v>663</v>
      </c>
      <c r="F133" t="str">
        <f t="shared" si="12"/>
        <v>0000</v>
      </c>
    </row>
    <row r="134" spans="1:6">
      <c r="C134" t="str">
        <f t="shared" si="13"/>
        <v>4</v>
      </c>
      <c r="D134">
        <v>38</v>
      </c>
      <c r="E134" t="str">
        <f>"662"</f>
        <v>662</v>
      </c>
      <c r="F134" t="str">
        <f t="shared" si="12"/>
        <v>0000</v>
      </c>
    </row>
    <row r="135" spans="1:6">
      <c r="C135" t="str">
        <f t="shared" si="13"/>
        <v>4</v>
      </c>
      <c r="D135">
        <v>38</v>
      </c>
      <c r="E135" t="str">
        <f>"660"</f>
        <v>660</v>
      </c>
      <c r="F135" t="str">
        <f t="shared" si="12"/>
        <v>0000</v>
      </c>
    </row>
    <row r="136" spans="1:6">
      <c r="C136" t="str">
        <f t="shared" si="13"/>
        <v>4</v>
      </c>
      <c r="D136">
        <v>38</v>
      </c>
      <c r="E136" t="str">
        <f>"658"</f>
        <v>658</v>
      </c>
      <c r="F136" t="str">
        <f t="shared" si="12"/>
        <v>0000</v>
      </c>
    </row>
    <row r="137" spans="1:6">
      <c r="C137" t="str">
        <f t="shared" si="13"/>
        <v>4</v>
      </c>
      <c r="D137">
        <v>38</v>
      </c>
      <c r="E137" t="str">
        <f>"548"</f>
        <v>548</v>
      </c>
      <c r="F137" t="str">
        <f t="shared" si="12"/>
        <v>0000</v>
      </c>
    </row>
    <row r="138" spans="1:6">
      <c r="C138" t="str">
        <f t="shared" si="13"/>
        <v>4</v>
      </c>
      <c r="D138">
        <v>38</v>
      </c>
      <c r="E138" t="str">
        <f>"549"</f>
        <v>549</v>
      </c>
      <c r="F138" t="str">
        <f t="shared" si="12"/>
        <v>0000</v>
      </c>
    </row>
    <row r="139" spans="1:6">
      <c r="A139" t="str">
        <f>"E1313-1"</f>
        <v>E1313-1</v>
      </c>
      <c r="B139" t="str">
        <f>"VIA PORTA DEGLI ANGELI  2-"</f>
        <v>VIA PORTA DEGLI ANGELI  2-</v>
      </c>
      <c r="C139" t="str">
        <f>"SAM"</f>
        <v>SAM</v>
      </c>
      <c r="D139">
        <v>38</v>
      </c>
      <c r="E139" t="str">
        <f>"337"</f>
        <v>337</v>
      </c>
      <c r="F139" t="str">
        <f t="shared" si="12"/>
        <v>0000</v>
      </c>
    </row>
    <row r="140" spans="1:6">
      <c r="A140" t="str">
        <f>"E1314-1"</f>
        <v>E1314-1</v>
      </c>
      <c r="B140" t="str">
        <f>"VIA PORTA DEGLI ANGELI VICINO AL 4-"</f>
        <v>VIA PORTA DEGLI ANGELI VICINO AL 4-</v>
      </c>
      <c r="C140" t="str">
        <f>"SAM"</f>
        <v>SAM</v>
      </c>
      <c r="D140">
        <v>38</v>
      </c>
      <c r="E140" t="str">
        <f>"D"</f>
        <v>D</v>
      </c>
      <c r="F140" t="str">
        <f t="shared" si="12"/>
        <v>0000</v>
      </c>
    </row>
    <row r="141" spans="1:6">
      <c r="C141" t="str">
        <f>"SAM"</f>
        <v>SAM</v>
      </c>
      <c r="D141">
        <v>38</v>
      </c>
      <c r="E141" t="str">
        <f>"E"</f>
        <v>E</v>
      </c>
      <c r="F141" t="str">
        <f t="shared" si="12"/>
        <v>0000</v>
      </c>
    </row>
    <row r="142" spans="1:6">
      <c r="A142" t="str">
        <f>"E1315-1"</f>
        <v>E1315-1</v>
      </c>
      <c r="B142" t="str">
        <f>"VIA PORTA DEGLI ANGELI VICINO AL 4-"</f>
        <v>VIA PORTA DEGLI ANGELI VICINO AL 4-</v>
      </c>
      <c r="C142" t="str">
        <f>"4"</f>
        <v>4</v>
      </c>
      <c r="D142">
        <v>38</v>
      </c>
      <c r="E142" t="str">
        <f>"346"</f>
        <v>346</v>
      </c>
      <c r="F142" t="str">
        <f t="shared" si="12"/>
        <v>0000</v>
      </c>
    </row>
    <row r="143" spans="1:6">
      <c r="C143" t="str">
        <f>"4"</f>
        <v>4</v>
      </c>
      <c r="D143">
        <v>38</v>
      </c>
      <c r="E143" t="str">
        <f>"496"</f>
        <v>496</v>
      </c>
      <c r="F143" t="str">
        <f t="shared" si="12"/>
        <v>0000</v>
      </c>
    </row>
    <row r="144" spans="1:6">
      <c r="C144" t="str">
        <f>"4"</f>
        <v>4</v>
      </c>
      <c r="D144">
        <v>38</v>
      </c>
      <c r="E144" t="str">
        <f>"E"</f>
        <v>E</v>
      </c>
      <c r="F144" t="str">
        <f t="shared" si="12"/>
        <v>0000</v>
      </c>
    </row>
    <row r="145" spans="1:6">
      <c r="C145" t="str">
        <f>"4"</f>
        <v>4</v>
      </c>
      <c r="D145">
        <v>38</v>
      </c>
      <c r="E145" t="str">
        <f>"482"</f>
        <v>482</v>
      </c>
      <c r="F145" t="str">
        <f t="shared" si="12"/>
        <v>0000</v>
      </c>
    </row>
    <row r="146" spans="1:6">
      <c r="A146" t="str">
        <f>"E1316-1"</f>
        <v>E1316-1</v>
      </c>
      <c r="B146" t="str">
        <f>"VIA PORTA DEGLI ANGELI  4-"</f>
        <v>VIA PORTA DEGLI ANGELI  4-</v>
      </c>
      <c r="C146" t="str">
        <f>"SAM"</f>
        <v>SAM</v>
      </c>
      <c r="D146">
        <v>38</v>
      </c>
      <c r="E146" t="str">
        <f>"339"</f>
        <v>339</v>
      </c>
      <c r="F146" t="str">
        <f t="shared" si="12"/>
        <v>0000</v>
      </c>
    </row>
    <row r="147" spans="1:6">
      <c r="A147" t="str">
        <f>"E1318-1"</f>
        <v>E1318-1</v>
      </c>
      <c r="B147" t="str">
        <f>"VIA D GAETANO STORACE  2-"</f>
        <v>VIA D GAETANO STORACE  2-</v>
      </c>
      <c r="C147" t="str">
        <f t="shared" ref="C147:C152" si="14">"4"</f>
        <v>4</v>
      </c>
      <c r="D147">
        <v>43</v>
      </c>
      <c r="E147" t="str">
        <f>"324"</f>
        <v>324</v>
      </c>
      <c r="F147" t="str">
        <f t="shared" si="12"/>
        <v>0000</v>
      </c>
    </row>
    <row r="148" spans="1:6">
      <c r="C148" t="str">
        <f t="shared" si="14"/>
        <v>4</v>
      </c>
      <c r="D148">
        <v>43</v>
      </c>
      <c r="E148" t="str">
        <f>"326"</f>
        <v>326</v>
      </c>
      <c r="F148" t="str">
        <f t="shared" si="12"/>
        <v>0000</v>
      </c>
    </row>
    <row r="149" spans="1:6">
      <c r="C149" t="str">
        <f t="shared" si="14"/>
        <v>4</v>
      </c>
      <c r="D149">
        <v>43</v>
      </c>
      <c r="E149" t="str">
        <f>"335"</f>
        <v>335</v>
      </c>
      <c r="F149" t="str">
        <f t="shared" si="12"/>
        <v>0000</v>
      </c>
    </row>
    <row r="150" spans="1:6">
      <c r="A150" t="str">
        <f>"E1318-2"</f>
        <v>E1318-2</v>
      </c>
      <c r="B150" t="str">
        <f>"VIA PAOLO RETI  23-"</f>
        <v>VIA PAOLO RETI  23-</v>
      </c>
      <c r="C150" t="str">
        <f t="shared" si="14"/>
        <v>4</v>
      </c>
      <c r="D150">
        <v>43</v>
      </c>
      <c r="E150" t="str">
        <f>"324"</f>
        <v>324</v>
      </c>
      <c r="F150" t="str">
        <f t="shared" si="12"/>
        <v>0000</v>
      </c>
    </row>
    <row r="151" spans="1:6">
      <c r="C151" t="str">
        <f t="shared" si="14"/>
        <v>4</v>
      </c>
      <c r="D151">
        <v>43</v>
      </c>
      <c r="E151" t="str">
        <f>"335"</f>
        <v>335</v>
      </c>
      <c r="F151" t="str">
        <f t="shared" si="12"/>
        <v>0000</v>
      </c>
    </row>
    <row r="152" spans="1:6">
      <c r="C152" t="str">
        <f t="shared" si="14"/>
        <v>4</v>
      </c>
      <c r="D152">
        <v>43</v>
      </c>
      <c r="E152" t="str">
        <f>"326"</f>
        <v>326</v>
      </c>
      <c r="F152" t="str">
        <f t="shared" si="12"/>
        <v>0000</v>
      </c>
    </row>
    <row r="153" spans="1:6">
      <c r="A153" t="str">
        <f>"E1319-1"</f>
        <v>E1319-1</v>
      </c>
      <c r="B153" t="str">
        <f>"VIA PAOLO RETI  25A-"</f>
        <v>VIA PAOLO RETI  25A-</v>
      </c>
      <c r="C153" t="str">
        <f>"SAM"</f>
        <v>SAM</v>
      </c>
      <c r="D153">
        <v>44</v>
      </c>
      <c r="E153" t="str">
        <f>"1"</f>
        <v>1</v>
      </c>
      <c r="F153" t="str">
        <f>"1"</f>
        <v>1</v>
      </c>
    </row>
    <row r="154" spans="1:6">
      <c r="A154" t="str">
        <f>"E1322-1"</f>
        <v>E1322-1</v>
      </c>
      <c r="B154" t="str">
        <f>"LARGO PIETRO GOZZANO  1-"</f>
        <v>LARGO PIETRO GOZZANO  1-</v>
      </c>
      <c r="C154" t="str">
        <f>"SAM"</f>
        <v>SAM</v>
      </c>
      <c r="D154">
        <v>40</v>
      </c>
      <c r="E154" t="str">
        <f>"131"</f>
        <v>131</v>
      </c>
      <c r="F154" t="str">
        <f>"0000"</f>
        <v>0000</v>
      </c>
    </row>
    <row r="155" spans="1:6">
      <c r="A155" t="str">
        <f>"E1323-1"</f>
        <v>E1323-1</v>
      </c>
      <c r="B155" t="str">
        <f>"LARGO PIETRO GOZZANO  3-"</f>
        <v>LARGO PIETRO GOZZANO  3-</v>
      </c>
      <c r="C155" t="str">
        <f>"SAM"</f>
        <v>SAM</v>
      </c>
      <c r="D155">
        <v>40</v>
      </c>
      <c r="E155" t="str">
        <f>"130"</f>
        <v>130</v>
      </c>
      <c r="F155" t="str">
        <f>"1"</f>
        <v>1</v>
      </c>
    </row>
    <row r="156" spans="1:6">
      <c r="A156" t="str">
        <f>"E1324-1"</f>
        <v>E1324-1</v>
      </c>
      <c r="B156" t="str">
        <f>"LARGO PIETRO GOZZANO  5-"</f>
        <v>LARGO PIETRO GOZZANO  5-</v>
      </c>
      <c r="C156" t="str">
        <f>"SAM"</f>
        <v>SAM</v>
      </c>
      <c r="D156">
        <v>40</v>
      </c>
      <c r="E156" t="str">
        <f>"129"</f>
        <v>129</v>
      </c>
      <c r="F156" t="str">
        <f>"0000"</f>
        <v>0000</v>
      </c>
    </row>
    <row r="157" spans="1:6">
      <c r="A157" t="str">
        <f>"E1325-4"</f>
        <v>E1325-4</v>
      </c>
      <c r="B157" t="str">
        <f>"SALITA SAN BARBORINO VICINO AL 9-"</f>
        <v>SALITA SAN BARBORINO VICINO AL 9-</v>
      </c>
      <c r="C157" t="str">
        <f>"4"</f>
        <v>4</v>
      </c>
      <c r="D157">
        <v>40</v>
      </c>
      <c r="E157" t="str">
        <f>"115"</f>
        <v>115</v>
      </c>
      <c r="F157" t="str">
        <f>"0000"</f>
        <v>0000</v>
      </c>
    </row>
    <row r="158" spans="1:6">
      <c r="A158" t="str">
        <f>"E1329-1"</f>
        <v>E1329-1</v>
      </c>
      <c r="B158" t="str">
        <f>"VIA DEI LANDI  19-"</f>
        <v>VIA DEI LANDI  19-</v>
      </c>
      <c r="C158" t="str">
        <f t="shared" ref="C158:C167" si="15">"SAM"</f>
        <v>SAM</v>
      </c>
      <c r="D158">
        <v>39</v>
      </c>
      <c r="E158" t="str">
        <f>"15"</f>
        <v>15</v>
      </c>
      <c r="F158" t="str">
        <f>"0000"</f>
        <v>0000</v>
      </c>
    </row>
    <row r="159" spans="1:6">
      <c r="A159" t="str">
        <f>"E1330-1"</f>
        <v>E1330-1</v>
      </c>
      <c r="B159" t="str">
        <f>"VIA SPINOLA DI SAN PIETRO  1-"</f>
        <v>VIA SPINOLA DI SAN PIETRO  1-</v>
      </c>
      <c r="C159" t="str">
        <f t="shared" si="15"/>
        <v>SAM</v>
      </c>
      <c r="D159">
        <v>40</v>
      </c>
      <c r="E159" t="str">
        <f>"256"</f>
        <v>256</v>
      </c>
      <c r="F159" t="str">
        <f>"1"</f>
        <v>1</v>
      </c>
    </row>
    <row r="160" spans="1:6">
      <c r="A160" t="str">
        <f>"E1330-2"</f>
        <v>E1330-2</v>
      </c>
      <c r="B160" t="str">
        <f>"VIA SPINOLA DI SAN PIETRO  1-"</f>
        <v>VIA SPINOLA DI SAN PIETRO  1-</v>
      </c>
      <c r="C160" t="str">
        <f t="shared" si="15"/>
        <v>SAM</v>
      </c>
      <c r="D160">
        <v>40</v>
      </c>
      <c r="E160" t="str">
        <f>"256"</f>
        <v>256</v>
      </c>
      <c r="F160" t="str">
        <f>"2"</f>
        <v>2</v>
      </c>
    </row>
    <row r="161" spans="1:6">
      <c r="A161" t="str">
        <f>"E1330-3"</f>
        <v>E1330-3</v>
      </c>
      <c r="B161" t="str">
        <f>"VIA SPINOLA DI SAN PIETRO  1-"</f>
        <v>VIA SPINOLA DI SAN PIETRO  1-</v>
      </c>
      <c r="C161" t="str">
        <f t="shared" si="15"/>
        <v>SAM</v>
      </c>
      <c r="D161">
        <v>40</v>
      </c>
      <c r="E161" t="str">
        <f>"256"</f>
        <v>256</v>
      </c>
      <c r="F161" t="str">
        <f>"3"</f>
        <v>3</v>
      </c>
    </row>
    <row r="162" spans="1:6">
      <c r="A162" t="str">
        <f>"E1330-4"</f>
        <v>E1330-4</v>
      </c>
      <c r="B162" t="str">
        <f>"VIA SPINOLA DI SAN PIETRO  1-"</f>
        <v>VIA SPINOLA DI SAN PIETRO  1-</v>
      </c>
      <c r="C162" t="str">
        <f t="shared" si="15"/>
        <v>SAM</v>
      </c>
      <c r="D162">
        <v>40</v>
      </c>
      <c r="E162" t="str">
        <f>"256"</f>
        <v>256</v>
      </c>
      <c r="F162" t="str">
        <f>"4"</f>
        <v>4</v>
      </c>
    </row>
    <row r="163" spans="1:6">
      <c r="C163" t="str">
        <f t="shared" si="15"/>
        <v>SAM</v>
      </c>
      <c r="D163">
        <v>40</v>
      </c>
      <c r="E163" t="str">
        <f>"257"</f>
        <v>257</v>
      </c>
      <c r="F163" t="str">
        <f>"4"</f>
        <v>4</v>
      </c>
    </row>
    <row r="164" spans="1:6">
      <c r="A164" t="str">
        <f>"E1330-5"</f>
        <v>E1330-5</v>
      </c>
      <c r="B164" t="str">
        <f>"VIA LUIGI DOTTESIO  25R-"</f>
        <v>VIA LUIGI DOTTESIO  25R-</v>
      </c>
      <c r="C164" t="str">
        <f t="shared" si="15"/>
        <v>SAM</v>
      </c>
      <c r="D164">
        <v>40</v>
      </c>
      <c r="E164" t="str">
        <f>"257"</f>
        <v>257</v>
      </c>
      <c r="F164" t="str">
        <f>"1"</f>
        <v>1</v>
      </c>
    </row>
    <row r="165" spans="1:6">
      <c r="A165" t="str">
        <f>"E1330-6"</f>
        <v>E1330-6</v>
      </c>
      <c r="B165" t="str">
        <f>"VIA LUIGI DOTTESIO  9-"</f>
        <v>VIA LUIGI DOTTESIO  9-</v>
      </c>
      <c r="C165" t="str">
        <f t="shared" si="15"/>
        <v>SAM</v>
      </c>
      <c r="D165">
        <v>40</v>
      </c>
      <c r="E165" t="str">
        <f>"257"</f>
        <v>257</v>
      </c>
      <c r="F165" t="str">
        <f>"2"</f>
        <v>2</v>
      </c>
    </row>
    <row r="166" spans="1:6">
      <c r="A166" t="str">
        <f>"E1330-7"</f>
        <v>E1330-7</v>
      </c>
      <c r="B166" t="str">
        <f>"VIA LUIGI DOTTESIO  9-"</f>
        <v>VIA LUIGI DOTTESIO  9-</v>
      </c>
      <c r="C166" t="str">
        <f t="shared" si="15"/>
        <v>SAM</v>
      </c>
      <c r="D166">
        <v>40</v>
      </c>
      <c r="E166" t="str">
        <f>"257"</f>
        <v>257</v>
      </c>
      <c r="F166" t="str">
        <f>"3"</f>
        <v>3</v>
      </c>
    </row>
    <row r="167" spans="1:6">
      <c r="A167" t="str">
        <f>"E1330-8"</f>
        <v>E1330-8</v>
      </c>
      <c r="B167" t="str">
        <f>"VIA LUIGI DOTTESIO  9-"</f>
        <v>VIA LUIGI DOTTESIO  9-</v>
      </c>
      <c r="C167" t="str">
        <f t="shared" si="15"/>
        <v>SAM</v>
      </c>
      <c r="D167">
        <v>40</v>
      </c>
      <c r="E167" t="str">
        <f>"257"</f>
        <v>257</v>
      </c>
      <c r="F167" t="str">
        <f>"5"</f>
        <v>5</v>
      </c>
    </row>
    <row r="168" spans="1:6">
      <c r="A168" t="str">
        <f>"E1331-1"</f>
        <v>E1331-1</v>
      </c>
      <c r="B168" t="str">
        <f>"VIA CARLO ROLANDO  12-"</f>
        <v>VIA CARLO ROLANDO  12-</v>
      </c>
      <c r="C168" t="str">
        <f>"4"</f>
        <v>4</v>
      </c>
      <c r="D168">
        <v>43</v>
      </c>
      <c r="E168" t="str">
        <f>"167"</f>
        <v>167</v>
      </c>
      <c r="F168" t="str">
        <f t="shared" ref="F168:F175" si="16">"0000"</f>
        <v>0000</v>
      </c>
    </row>
    <row r="169" spans="1:6">
      <c r="C169" t="str">
        <f>"4"</f>
        <v>4</v>
      </c>
      <c r="D169">
        <v>43</v>
      </c>
      <c r="E169" t="str">
        <f>"187"</f>
        <v>187</v>
      </c>
      <c r="F169" t="str">
        <f t="shared" si="16"/>
        <v>0000</v>
      </c>
    </row>
    <row r="170" spans="1:6">
      <c r="A170" t="str">
        <f>"E1334-1"</f>
        <v>E1334-1</v>
      </c>
      <c r="B170" t="str">
        <f>"VIA ANTONIO CANTORE  29B-"</f>
        <v>VIA ANTONIO CANTORE  29B-</v>
      </c>
      <c r="C170" t="str">
        <f>"SAM"</f>
        <v>SAM</v>
      </c>
      <c r="D170">
        <v>40</v>
      </c>
      <c r="E170" t="str">
        <f>"297"</f>
        <v>297</v>
      </c>
      <c r="F170" t="str">
        <f t="shared" si="16"/>
        <v>0000</v>
      </c>
    </row>
    <row r="171" spans="1:6">
      <c r="C171" t="str">
        <f>"SAM"</f>
        <v>SAM</v>
      </c>
      <c r="D171">
        <v>40</v>
      </c>
      <c r="E171" t="str">
        <f>"70"</f>
        <v>70</v>
      </c>
      <c r="F171" t="str">
        <f t="shared" si="16"/>
        <v>0000</v>
      </c>
    </row>
    <row r="172" spans="1:6">
      <c r="A172" t="str">
        <f>"E1335-1"</f>
        <v>E1335-1</v>
      </c>
      <c r="B172" t="str">
        <f>"VIA ANTONIO CANTORE  29D-"</f>
        <v>VIA ANTONIO CANTORE  29D-</v>
      </c>
      <c r="C172" t="str">
        <f>"4"</f>
        <v>4</v>
      </c>
      <c r="D172">
        <v>40</v>
      </c>
      <c r="E172" t="str">
        <f>"395"</f>
        <v>395</v>
      </c>
      <c r="F172" t="str">
        <f t="shared" si="16"/>
        <v>0000</v>
      </c>
    </row>
    <row r="173" spans="1:6">
      <c r="C173" t="str">
        <f>"4"</f>
        <v>4</v>
      </c>
      <c r="D173">
        <v>40</v>
      </c>
      <c r="E173" t="str">
        <f>"68"</f>
        <v>68</v>
      </c>
      <c r="F173" t="str">
        <f t="shared" si="16"/>
        <v>0000</v>
      </c>
    </row>
    <row r="174" spans="1:6">
      <c r="C174" t="str">
        <f>"4"</f>
        <v>4</v>
      </c>
      <c r="D174">
        <v>40</v>
      </c>
      <c r="E174" t="str">
        <f>"396"</f>
        <v>396</v>
      </c>
      <c r="F174" t="str">
        <f t="shared" si="16"/>
        <v>0000</v>
      </c>
    </row>
    <row r="175" spans="1:6">
      <c r="A175" t="str">
        <f>"E1336-1"</f>
        <v>E1336-1</v>
      </c>
      <c r="B175" t="str">
        <f>"PIAZZA DEL MONASTERO  6-"</f>
        <v>PIAZZA DEL MONASTERO  6-</v>
      </c>
      <c r="C175" t="str">
        <f>"SAM"</f>
        <v>SAM</v>
      </c>
      <c r="D175">
        <v>44</v>
      </c>
      <c r="E175" t="str">
        <f>"415"</f>
        <v>415</v>
      </c>
      <c r="F175" t="str">
        <f t="shared" si="16"/>
        <v>0000</v>
      </c>
    </row>
    <row r="176" spans="1:6">
      <c r="A176" t="str">
        <f>"E1336-3"</f>
        <v>E1336-3</v>
      </c>
      <c r="B176" t="str">
        <f>"VICO DELLA CATENA  26R-"</f>
        <v>VICO DELLA CATENA  26R-</v>
      </c>
      <c r="C176" t="str">
        <f>"SAM"</f>
        <v>SAM</v>
      </c>
      <c r="D176">
        <v>44</v>
      </c>
      <c r="E176" t="str">
        <f>"415"</f>
        <v>415</v>
      </c>
      <c r="F176" t="str">
        <f>"2"</f>
        <v>2</v>
      </c>
    </row>
    <row r="177" spans="1:6">
      <c r="A177" t="str">
        <f>"E1337-1"</f>
        <v>E1337-1</v>
      </c>
      <c r="B177" t="str">
        <f>"PIAZZA GUSTAVO MODENA  3-"</f>
        <v>PIAZZA GUSTAVO MODENA  3-</v>
      </c>
      <c r="C177" t="str">
        <f>"SAM"</f>
        <v>SAM</v>
      </c>
      <c r="D177">
        <v>44</v>
      </c>
      <c r="E177" t="str">
        <f>"424"</f>
        <v>424</v>
      </c>
      <c r="F177" t="str">
        <f>"1"</f>
        <v>1</v>
      </c>
    </row>
    <row r="178" spans="1:6">
      <c r="A178" t="str">
        <f>"E1337-2"</f>
        <v>E1337-2</v>
      </c>
      <c r="B178" t="str">
        <f>"VIA DEL MONASTERO  2R-"</f>
        <v>VIA DEL MONASTERO  2R-</v>
      </c>
      <c r="C178" t="str">
        <f>"4"</f>
        <v>4</v>
      </c>
      <c r="D178">
        <v>45</v>
      </c>
      <c r="E178" t="str">
        <f>"293"</f>
        <v>293</v>
      </c>
      <c r="F178" t="str">
        <f>"0000"</f>
        <v>0000</v>
      </c>
    </row>
    <row r="179" spans="1:6">
      <c r="A179" t="str">
        <f>"E1337-3"</f>
        <v>E1337-3</v>
      </c>
      <c r="B179" t="str">
        <f>"PIAZZA GUSTAVO MODENA  10R-"</f>
        <v>PIAZZA GUSTAVO MODENA  10R-</v>
      </c>
      <c r="C179" t="str">
        <f t="shared" ref="C179:C187" si="17">"SAM"</f>
        <v>SAM</v>
      </c>
      <c r="D179">
        <v>44</v>
      </c>
      <c r="E179" t="str">
        <f t="shared" ref="E179:E184" si="18">"424"</f>
        <v>424</v>
      </c>
      <c r="F179" t="str">
        <f>"2"</f>
        <v>2</v>
      </c>
    </row>
    <row r="180" spans="1:6">
      <c r="A180" t="str">
        <f>"E1337-4"</f>
        <v>E1337-4</v>
      </c>
      <c r="B180" t="str">
        <f>"VIA DEL MONASTERO  25R-"</f>
        <v>VIA DEL MONASTERO  25R-</v>
      </c>
      <c r="C180" t="str">
        <f t="shared" si="17"/>
        <v>SAM</v>
      </c>
      <c r="D180">
        <v>44</v>
      </c>
      <c r="E180" t="str">
        <f t="shared" si="18"/>
        <v>424</v>
      </c>
      <c r="F180" t="str">
        <f>"3"</f>
        <v>3</v>
      </c>
    </row>
    <row r="181" spans="1:6">
      <c r="A181" t="str">
        <f>"E1337-5"</f>
        <v>E1337-5</v>
      </c>
      <c r="B181" t="str">
        <f>"VIA DEL MONASTERO  25R-"</f>
        <v>VIA DEL MONASTERO  25R-</v>
      </c>
      <c r="C181" t="str">
        <f t="shared" si="17"/>
        <v>SAM</v>
      </c>
      <c r="D181">
        <v>44</v>
      </c>
      <c r="E181" t="str">
        <f t="shared" si="18"/>
        <v>424</v>
      </c>
      <c r="F181" t="str">
        <f>"4"</f>
        <v>4</v>
      </c>
    </row>
    <row r="182" spans="1:6">
      <c r="A182" t="str">
        <f>"E1337-6"</f>
        <v>E1337-6</v>
      </c>
      <c r="B182" t="str">
        <f>"VIA DEL MONASTERO  4R-"</f>
        <v>VIA DEL MONASTERO  4R-</v>
      </c>
      <c r="C182" t="str">
        <f t="shared" si="17"/>
        <v>SAM</v>
      </c>
      <c r="D182">
        <v>44</v>
      </c>
      <c r="E182" t="str">
        <f t="shared" si="18"/>
        <v>424</v>
      </c>
      <c r="F182" t="str">
        <f>"5"</f>
        <v>5</v>
      </c>
    </row>
    <row r="183" spans="1:6">
      <c r="A183" t="str">
        <f>"E1337-7"</f>
        <v>E1337-7</v>
      </c>
      <c r="B183" t="str">
        <f>"VIA DEL MONASTERO  10R-"</f>
        <v>VIA DEL MONASTERO  10R-</v>
      </c>
      <c r="C183" t="str">
        <f t="shared" si="17"/>
        <v>SAM</v>
      </c>
      <c r="D183">
        <v>44</v>
      </c>
      <c r="E183" t="str">
        <f t="shared" si="18"/>
        <v>424</v>
      </c>
      <c r="F183" t="str">
        <f>"6"</f>
        <v>6</v>
      </c>
    </row>
    <row r="184" spans="1:6">
      <c r="A184" t="str">
        <f>"E1337-8"</f>
        <v>E1337-8</v>
      </c>
      <c r="B184" t="str">
        <f>"VIA DEL MONASTERO  27R-"</f>
        <v>VIA DEL MONASTERO  27R-</v>
      </c>
      <c r="C184" t="str">
        <f t="shared" si="17"/>
        <v>SAM</v>
      </c>
      <c r="D184">
        <v>44</v>
      </c>
      <c r="E184" t="str">
        <f t="shared" si="18"/>
        <v>424</v>
      </c>
      <c r="F184" t="str">
        <f>"7"</f>
        <v>7</v>
      </c>
    </row>
    <row r="185" spans="1:6">
      <c r="A185" t="str">
        <f>"E1338-1"</f>
        <v>E1338-1</v>
      </c>
      <c r="B185" t="str">
        <f>"VIA BRUNO GHIGLIONE  10-"</f>
        <v>VIA BRUNO GHIGLIONE  10-</v>
      </c>
      <c r="C185" t="str">
        <f t="shared" si="17"/>
        <v>SAM</v>
      </c>
      <c r="D185">
        <v>44</v>
      </c>
      <c r="E185" t="str">
        <f>"425"</f>
        <v>425</v>
      </c>
      <c r="F185" t="str">
        <f>"1"</f>
        <v>1</v>
      </c>
    </row>
    <row r="186" spans="1:6">
      <c r="A186" t="str">
        <f>"E1338-2"</f>
        <v>E1338-2</v>
      </c>
      <c r="B186" t="str">
        <f>"VIA BRUNO GHIGLIONE  10-"</f>
        <v>VIA BRUNO GHIGLIONE  10-</v>
      </c>
      <c r="C186" t="str">
        <f t="shared" si="17"/>
        <v>SAM</v>
      </c>
      <c r="D186">
        <v>44</v>
      </c>
      <c r="E186" t="str">
        <f>"425"</f>
        <v>425</v>
      </c>
      <c r="F186" t="str">
        <f>"2"</f>
        <v>2</v>
      </c>
    </row>
    <row r="187" spans="1:6">
      <c r="A187" t="str">
        <f>"E1338-3"</f>
        <v>E1338-3</v>
      </c>
      <c r="B187" t="str">
        <f>"VIA BRUNO GHIGLIONE  10-"</f>
        <v>VIA BRUNO GHIGLIONE  10-</v>
      </c>
      <c r="C187" t="str">
        <f t="shared" si="17"/>
        <v>SAM</v>
      </c>
      <c r="D187">
        <v>44</v>
      </c>
      <c r="E187" t="str">
        <f>"425"</f>
        <v>425</v>
      </c>
      <c r="F187" t="str">
        <f>"3"</f>
        <v>3</v>
      </c>
    </row>
    <row r="188" spans="1:6">
      <c r="A188" t="str">
        <f>"E1338-4"</f>
        <v>E1338-4</v>
      </c>
      <c r="B188" t="str">
        <f>"VIA BRUNO GHIGLIONE  10-"</f>
        <v>VIA BRUNO GHIGLIONE  10-</v>
      </c>
      <c r="C188" t="str">
        <f>"4"</f>
        <v>4</v>
      </c>
      <c r="D188">
        <v>45</v>
      </c>
      <c r="E188" t="str">
        <f>"294"</f>
        <v>294</v>
      </c>
      <c r="F188" t="str">
        <f t="shared" ref="F188:F202" si="19">"0000"</f>
        <v>0000</v>
      </c>
    </row>
    <row r="189" spans="1:6">
      <c r="C189" t="str">
        <f>"4"</f>
        <v>4</v>
      </c>
      <c r="D189">
        <v>45</v>
      </c>
      <c r="E189" t="str">
        <f>"343"</f>
        <v>343</v>
      </c>
      <c r="F189" t="str">
        <f t="shared" si="19"/>
        <v>0000</v>
      </c>
    </row>
    <row r="190" spans="1:6">
      <c r="A190" t="str">
        <f>"E1339-1"</f>
        <v>E1339-1</v>
      </c>
      <c r="B190" t="str">
        <f>"VIA SAN PIER D ARENA  219R-"</f>
        <v>VIA SAN PIER D ARENA  219R-</v>
      </c>
      <c r="C190" t="str">
        <f>"4"</f>
        <v>4</v>
      </c>
      <c r="D190">
        <v>45</v>
      </c>
      <c r="E190" t="str">
        <f>"456"</f>
        <v>456</v>
      </c>
      <c r="F190" t="str">
        <f t="shared" si="19"/>
        <v>0000</v>
      </c>
    </row>
    <row r="191" spans="1:6">
      <c r="A191" t="str">
        <f>"E1340-1"</f>
        <v>E1340-1</v>
      </c>
      <c r="B191" t="str">
        <f>"VIA SAN PIER D ARENA  219R-"</f>
        <v>VIA SAN PIER D ARENA  219R-</v>
      </c>
      <c r="C191" t="str">
        <f>"4"</f>
        <v>4</v>
      </c>
      <c r="D191">
        <v>45</v>
      </c>
      <c r="E191" t="str">
        <f>"383"</f>
        <v>383</v>
      </c>
      <c r="F191" t="str">
        <f t="shared" si="19"/>
        <v>0000</v>
      </c>
    </row>
    <row r="192" spans="1:6">
      <c r="A192" t="str">
        <f>"E1341-1"</f>
        <v>E1341-1</v>
      </c>
      <c r="B192" t="str">
        <f>"VIA SAN PIER D ARENA  34-"</f>
        <v>VIA SAN PIER D ARENA  34-</v>
      </c>
      <c r="C192" t="str">
        <f>"SAM"</f>
        <v>SAM</v>
      </c>
      <c r="D192">
        <v>44</v>
      </c>
      <c r="E192" t="str">
        <f>"462"</f>
        <v>462</v>
      </c>
      <c r="F192" t="str">
        <f t="shared" si="19"/>
        <v>0000</v>
      </c>
    </row>
    <row r="193" spans="1:6">
      <c r="A193" t="str">
        <f>"E1341-2"</f>
        <v>E1341-2</v>
      </c>
      <c r="B193" t="str">
        <f>"VIA SAN PIER D ARENA  34-"</f>
        <v>VIA SAN PIER D ARENA  34-</v>
      </c>
      <c r="C193" t="str">
        <f t="shared" ref="C193:C202" si="20">"4"</f>
        <v>4</v>
      </c>
      <c r="D193">
        <v>45</v>
      </c>
      <c r="E193" t="str">
        <f>"408"</f>
        <v>408</v>
      </c>
      <c r="F193" t="str">
        <f t="shared" si="19"/>
        <v>0000</v>
      </c>
    </row>
    <row r="194" spans="1:6">
      <c r="A194" t="str">
        <f>"E1341-3"</f>
        <v>E1341-3</v>
      </c>
      <c r="B194" t="str">
        <f>"VIA SAN PIER D ARENA  34-"</f>
        <v>VIA SAN PIER D ARENA  34-</v>
      </c>
      <c r="C194" t="str">
        <f t="shared" si="20"/>
        <v>4</v>
      </c>
      <c r="D194">
        <v>45</v>
      </c>
      <c r="E194" t="str">
        <f>"408"</f>
        <v>408</v>
      </c>
      <c r="F194" t="str">
        <f t="shared" si="19"/>
        <v>0000</v>
      </c>
    </row>
    <row r="195" spans="1:6">
      <c r="A195" t="str">
        <f>"E1341-4"</f>
        <v>E1341-4</v>
      </c>
      <c r="B195" t="str">
        <f>"VIA SAN PIER D ARENA  34-"</f>
        <v>VIA SAN PIER D ARENA  34-</v>
      </c>
      <c r="C195" t="str">
        <f t="shared" si="20"/>
        <v>4</v>
      </c>
      <c r="D195">
        <v>45</v>
      </c>
      <c r="E195" t="str">
        <f>"408"</f>
        <v>408</v>
      </c>
      <c r="F195" t="str">
        <f t="shared" si="19"/>
        <v>0000</v>
      </c>
    </row>
    <row r="196" spans="1:6">
      <c r="A196" t="str">
        <f>"E1344-1"</f>
        <v>E1344-1</v>
      </c>
      <c r="B196" t="str">
        <f>"CORSO LUIGI A MARTINETTI  129-"</f>
        <v>CORSO LUIGI A MARTINETTI  129-</v>
      </c>
      <c r="C196" t="str">
        <f t="shared" si="20"/>
        <v>4</v>
      </c>
      <c r="D196">
        <v>38</v>
      </c>
      <c r="E196" t="str">
        <f>"483"</f>
        <v>483</v>
      </c>
      <c r="F196" t="str">
        <f t="shared" si="19"/>
        <v>0000</v>
      </c>
    </row>
    <row r="197" spans="1:6">
      <c r="C197" t="str">
        <f t="shared" si="20"/>
        <v>4</v>
      </c>
      <c r="D197">
        <v>38</v>
      </c>
      <c r="E197" t="str">
        <f>"828"</f>
        <v>828</v>
      </c>
      <c r="F197" t="str">
        <f t="shared" si="19"/>
        <v>0000</v>
      </c>
    </row>
    <row r="198" spans="1:6">
      <c r="A198" t="str">
        <f>"E1345-1"</f>
        <v>E1345-1</v>
      </c>
      <c r="B198" t="str">
        <f>"CORSO LUIGI A MARTINETTI  77G-"</f>
        <v>CORSO LUIGI A MARTINETTI  77G-</v>
      </c>
      <c r="C198" t="str">
        <f t="shared" si="20"/>
        <v>4</v>
      </c>
      <c r="D198">
        <v>38</v>
      </c>
      <c r="E198" t="str">
        <f>"392"</f>
        <v>392</v>
      </c>
      <c r="F198" t="str">
        <f t="shared" si="19"/>
        <v>0000</v>
      </c>
    </row>
    <row r="199" spans="1:6">
      <c r="C199" t="str">
        <f t="shared" si="20"/>
        <v>4</v>
      </c>
      <c r="D199">
        <v>38</v>
      </c>
      <c r="E199" t="str">
        <f>"909"</f>
        <v>909</v>
      </c>
      <c r="F199" t="str">
        <f t="shared" si="19"/>
        <v>0000</v>
      </c>
    </row>
    <row r="200" spans="1:6">
      <c r="C200" t="str">
        <f t="shared" si="20"/>
        <v>4</v>
      </c>
      <c r="D200">
        <v>38</v>
      </c>
      <c r="E200" t="str">
        <f>"911"</f>
        <v>911</v>
      </c>
      <c r="F200" t="str">
        <f t="shared" si="19"/>
        <v>0000</v>
      </c>
    </row>
    <row r="201" spans="1:6">
      <c r="C201" t="str">
        <f t="shared" si="20"/>
        <v>4</v>
      </c>
      <c r="D201">
        <v>38</v>
      </c>
      <c r="E201" t="str">
        <f>"910"</f>
        <v>910</v>
      </c>
      <c r="F201" t="str">
        <f t="shared" si="19"/>
        <v>0000</v>
      </c>
    </row>
    <row r="202" spans="1:6">
      <c r="C202" t="str">
        <f t="shared" si="20"/>
        <v>4</v>
      </c>
      <c r="D202">
        <v>38</v>
      </c>
      <c r="E202" t="str">
        <f>"395"</f>
        <v>395</v>
      </c>
      <c r="F202" t="str">
        <f t="shared" si="19"/>
        <v>0000</v>
      </c>
    </row>
    <row r="203" spans="1:6">
      <c r="A203" t="str">
        <f>"E1346-2"</f>
        <v>E1346-2</v>
      </c>
      <c r="B203" t="str">
        <f>"SALITA VITTORIO BERSEZIO  43-"</f>
        <v>SALITA VITTORIO BERSEZIO  43-</v>
      </c>
      <c r="C203" t="str">
        <f t="shared" ref="C203:C208" si="21">"SAM"</f>
        <v>SAM</v>
      </c>
      <c r="D203">
        <v>38</v>
      </c>
      <c r="E203" t="str">
        <f>"309"</f>
        <v>309</v>
      </c>
      <c r="F203" t="str">
        <f>"2"</f>
        <v>2</v>
      </c>
    </row>
    <row r="204" spans="1:6">
      <c r="A204" t="str">
        <f>"E1346-3"</f>
        <v>E1346-3</v>
      </c>
      <c r="B204" t="str">
        <f>"SALITA VITTORIO BERSEZIO  43-"</f>
        <v>SALITA VITTORIO BERSEZIO  43-</v>
      </c>
      <c r="C204" t="str">
        <f t="shared" si="21"/>
        <v>SAM</v>
      </c>
      <c r="D204">
        <v>38</v>
      </c>
      <c r="E204" t="str">
        <f>"309"</f>
        <v>309</v>
      </c>
      <c r="F204" t="str">
        <f>"3"</f>
        <v>3</v>
      </c>
    </row>
    <row r="205" spans="1:6">
      <c r="A205" t="str">
        <f>"E1349-1"</f>
        <v>E1349-1</v>
      </c>
      <c r="B205" t="str">
        <f>"PIAZZA TREPONTI  65R-"</f>
        <v>PIAZZA TREPONTI  65R-</v>
      </c>
      <c r="C205" t="str">
        <f t="shared" si="21"/>
        <v>SAM</v>
      </c>
      <c r="D205">
        <v>41</v>
      </c>
      <c r="E205" t="str">
        <f>"90"</f>
        <v>90</v>
      </c>
      <c r="F205" t="str">
        <f>"1"</f>
        <v>1</v>
      </c>
    </row>
    <row r="206" spans="1:6">
      <c r="A206" t="str">
        <f>"E1349-2"</f>
        <v>E1349-2</v>
      </c>
      <c r="B206" t="str">
        <f>"PIAZZA TREPONTI  67R-"</f>
        <v>PIAZZA TREPONTI  67R-</v>
      </c>
      <c r="C206" t="str">
        <f t="shared" si="21"/>
        <v>SAM</v>
      </c>
      <c r="D206">
        <v>41</v>
      </c>
      <c r="E206" t="str">
        <f>"90"</f>
        <v>90</v>
      </c>
      <c r="F206" t="str">
        <f>"2"</f>
        <v>2</v>
      </c>
    </row>
    <row r="207" spans="1:6">
      <c r="A207" t="str">
        <f>"E1349-3"</f>
        <v>E1349-3</v>
      </c>
      <c r="B207" t="str">
        <f>"PIAZZA TREPONTI  71R-"</f>
        <v>PIAZZA TREPONTI  71R-</v>
      </c>
      <c r="C207" t="str">
        <f t="shared" si="21"/>
        <v>SAM</v>
      </c>
      <c r="D207">
        <v>41</v>
      </c>
      <c r="E207" t="str">
        <f>"90"</f>
        <v>90</v>
      </c>
      <c r="F207" t="str">
        <f>"3"</f>
        <v>3</v>
      </c>
    </row>
    <row r="208" spans="1:6">
      <c r="A208" t="str">
        <f>"E1349-4"</f>
        <v>E1349-4</v>
      </c>
      <c r="B208" t="str">
        <f>"VIA PALAZZO FORTEZZA  14-"</f>
        <v>VIA PALAZZO FORTEZZA  14-</v>
      </c>
      <c r="C208" t="str">
        <f t="shared" si="21"/>
        <v>SAM</v>
      </c>
      <c r="D208">
        <v>41</v>
      </c>
      <c r="E208" t="str">
        <f>"90"</f>
        <v>90</v>
      </c>
      <c r="F208" t="str">
        <f>"4"</f>
        <v>4</v>
      </c>
    </row>
    <row r="209" spans="1:6">
      <c r="A209" t="str">
        <f>"E1349-5"</f>
        <v>E1349-5</v>
      </c>
      <c r="B209" t="str">
        <f>"VIA PALAZZO FORTEZZA  14-"</f>
        <v>VIA PALAZZO FORTEZZA  14-</v>
      </c>
      <c r="C209" t="str">
        <f>"4"</f>
        <v>4</v>
      </c>
      <c r="D209">
        <v>46</v>
      </c>
      <c r="E209" t="str">
        <f>"34"</f>
        <v>34</v>
      </c>
      <c r="F209" t="str">
        <f t="shared" ref="F209:F215" si="22">"0000"</f>
        <v>0000</v>
      </c>
    </row>
    <row r="210" spans="1:6">
      <c r="A210" t="str">
        <f>"E1350-1"</f>
        <v>E1350-1</v>
      </c>
      <c r="B210" t="str">
        <f>"PIAZZA TREPONTI  31R-"</f>
        <v>PIAZZA TREPONTI  31R-</v>
      </c>
      <c r="C210" t="str">
        <f>"SAM"</f>
        <v>SAM</v>
      </c>
      <c r="D210">
        <v>41</v>
      </c>
      <c r="E210" t="str">
        <f>"91"</f>
        <v>91</v>
      </c>
      <c r="F210" t="str">
        <f t="shared" si="22"/>
        <v>0000</v>
      </c>
    </row>
    <row r="211" spans="1:6">
      <c r="A211" t="str">
        <f>"E1350-2"</f>
        <v>E1350-2</v>
      </c>
      <c r="B211" t="str">
        <f>"PIAZZA TREPONTI  36AR-"</f>
        <v>PIAZZA TREPONTI  36AR-</v>
      </c>
      <c r="C211" t="str">
        <f>"SAM"</f>
        <v>SAM</v>
      </c>
      <c r="D211">
        <v>41</v>
      </c>
      <c r="E211" t="str">
        <f>"92"</f>
        <v>92</v>
      </c>
      <c r="F211" t="str">
        <f t="shared" si="22"/>
        <v>0000</v>
      </c>
    </row>
    <row r="212" spans="1:6">
      <c r="A212" t="str">
        <f>"E1351-1"</f>
        <v>E1351-1</v>
      </c>
      <c r="B212" t="str">
        <f>"VIA GIUSEPPE SPATARO  34A-"</f>
        <v>VIA GIUSEPPE SPATARO  34A-</v>
      </c>
      <c r="C212" t="str">
        <f>"4"</f>
        <v>4</v>
      </c>
      <c r="D212">
        <v>42</v>
      </c>
      <c r="E212" t="str">
        <f>"105"</f>
        <v>105</v>
      </c>
      <c r="F212" t="str">
        <f t="shared" si="22"/>
        <v>0000</v>
      </c>
    </row>
    <row r="213" spans="1:6">
      <c r="C213" t="str">
        <f>"4"</f>
        <v>4</v>
      </c>
      <c r="D213">
        <v>42</v>
      </c>
      <c r="E213" t="str">
        <f>"30"</f>
        <v>30</v>
      </c>
      <c r="F213" t="str">
        <f t="shared" si="22"/>
        <v>0000</v>
      </c>
    </row>
    <row r="214" spans="1:6">
      <c r="C214" t="str">
        <f>"SAM"</f>
        <v>SAM</v>
      </c>
      <c r="D214">
        <v>39</v>
      </c>
      <c r="E214" t="str">
        <f>"2059"</f>
        <v>2059</v>
      </c>
      <c r="F214" t="str">
        <f t="shared" si="22"/>
        <v>0000</v>
      </c>
    </row>
    <row r="215" spans="1:6">
      <c r="A215" t="str">
        <f>"E1353-1"</f>
        <v>E1353-1</v>
      </c>
      <c r="B215" t="str">
        <f>"VIA GEROLAMO PITTALUGA  47R-"</f>
        <v>VIA GEROLAMO PITTALUGA  47R-</v>
      </c>
      <c r="C215" t="str">
        <f>"SAM"</f>
        <v>SAM</v>
      </c>
      <c r="D215">
        <v>40</v>
      </c>
      <c r="E215" t="str">
        <f>"291"</f>
        <v>291</v>
      </c>
      <c r="F215" t="str">
        <f t="shared" si="22"/>
        <v>0000</v>
      </c>
    </row>
    <row r="216" spans="1:6">
      <c r="A216" t="str">
        <f>"E1354-1"</f>
        <v>E1354-1</v>
      </c>
      <c r="B216" t="str">
        <f>"VIA STEFANO DONDERO  36R-"</f>
        <v>VIA STEFANO DONDERO  36R-</v>
      </c>
      <c r="C216" t="str">
        <f>"SAM"</f>
        <v>SAM</v>
      </c>
      <c r="D216">
        <v>44</v>
      </c>
      <c r="E216" t="str">
        <f>"635"</f>
        <v>635</v>
      </c>
      <c r="F216" t="str">
        <f>"1"</f>
        <v>1</v>
      </c>
    </row>
    <row r="217" spans="1:6">
      <c r="A217" t="str">
        <f>"E1355-1"</f>
        <v>E1355-1</v>
      </c>
      <c r="B217" t="str">
        <f>"VIA STEFANO DONDERO  3R-"</f>
        <v>VIA STEFANO DONDERO  3R-</v>
      </c>
      <c r="C217" t="str">
        <f t="shared" ref="C217:C228" si="23">"4"</f>
        <v>4</v>
      </c>
      <c r="D217">
        <v>44</v>
      </c>
      <c r="E217" t="str">
        <f>"99999"</f>
        <v>99999</v>
      </c>
      <c r="F217" t="str">
        <f t="shared" ref="F217:F229" si="24">"0000"</f>
        <v>0000</v>
      </c>
    </row>
    <row r="218" spans="1:6">
      <c r="A218" t="str">
        <f>"E1356-1"</f>
        <v>E1356-1</v>
      </c>
      <c r="B218" t="str">
        <f>"VIA STEFANO DONDERO  29R-"</f>
        <v>VIA STEFANO DONDERO  29R-</v>
      </c>
      <c r="C218" t="str">
        <f t="shared" si="23"/>
        <v>4</v>
      </c>
      <c r="D218">
        <v>44</v>
      </c>
      <c r="E218" t="str">
        <f>"99999"</f>
        <v>99999</v>
      </c>
      <c r="F218" t="str">
        <f t="shared" si="24"/>
        <v>0000</v>
      </c>
    </row>
    <row r="219" spans="1:6">
      <c r="A219" t="str">
        <f>"E1357-1"</f>
        <v>E1357-1</v>
      </c>
      <c r="B219" t="str">
        <f>"PIAZZA NICOLO BARABINO  39AR-"</f>
        <v>PIAZZA NICOLO BARABINO  39AR-</v>
      </c>
      <c r="C219" t="str">
        <f t="shared" si="23"/>
        <v>4</v>
      </c>
      <c r="D219">
        <v>46</v>
      </c>
      <c r="E219" t="str">
        <f>"194"</f>
        <v>194</v>
      </c>
      <c r="F219" t="str">
        <f t="shared" si="24"/>
        <v>0000</v>
      </c>
    </row>
    <row r="220" spans="1:6">
      <c r="A220" t="str">
        <f>"E1357-2"</f>
        <v>E1357-2</v>
      </c>
      <c r="B220" t="str">
        <f>"PIAZZA NICOLO BARABINO  39AR-"</f>
        <v>PIAZZA NICOLO BARABINO  39AR-</v>
      </c>
      <c r="C220" t="str">
        <f t="shared" si="23"/>
        <v>4</v>
      </c>
      <c r="D220">
        <v>46</v>
      </c>
      <c r="E220" t="str">
        <f>"194"</f>
        <v>194</v>
      </c>
      <c r="F220" t="str">
        <f t="shared" si="24"/>
        <v>0000</v>
      </c>
    </row>
    <row r="221" spans="1:6">
      <c r="A221" t="str">
        <f>"E1358-1"</f>
        <v>E1358-1</v>
      </c>
      <c r="B221" t="str">
        <f>"PIAZZA NICOLO MONTANO VICINO AL 3-"</f>
        <v>PIAZZA NICOLO MONTANO VICINO AL 3-</v>
      </c>
      <c r="C221" t="str">
        <f t="shared" si="23"/>
        <v>4</v>
      </c>
      <c r="D221">
        <v>45</v>
      </c>
      <c r="E221" t="str">
        <f t="shared" ref="E221:E227" si="25">"99999"</f>
        <v>99999</v>
      </c>
      <c r="F221" t="str">
        <f t="shared" si="24"/>
        <v>0000</v>
      </c>
    </row>
    <row r="222" spans="1:6">
      <c r="A222" t="str">
        <f>"E1358-2"</f>
        <v>E1358-2</v>
      </c>
      <c r="B222" t="str">
        <f>"SOTTOPASSAGGIO MONTANO  27R-"</f>
        <v>SOTTOPASSAGGIO MONTANO  27R-</v>
      </c>
      <c r="C222" t="str">
        <f t="shared" si="23"/>
        <v>4</v>
      </c>
      <c r="D222">
        <v>45</v>
      </c>
      <c r="E222" t="str">
        <f t="shared" si="25"/>
        <v>99999</v>
      </c>
      <c r="F222" t="str">
        <f t="shared" si="24"/>
        <v>0000</v>
      </c>
    </row>
    <row r="223" spans="1:6">
      <c r="A223" t="str">
        <f>"E1358-3"</f>
        <v>E1358-3</v>
      </c>
      <c r="B223" t="str">
        <f>"SOTTOPASSAGGIO MONTANO  31R-"</f>
        <v>SOTTOPASSAGGIO MONTANO  31R-</v>
      </c>
      <c r="C223" t="str">
        <f t="shared" si="23"/>
        <v>4</v>
      </c>
      <c r="D223">
        <v>45</v>
      </c>
      <c r="E223" t="str">
        <f t="shared" si="25"/>
        <v>99999</v>
      </c>
      <c r="F223" t="str">
        <f t="shared" si="24"/>
        <v>0000</v>
      </c>
    </row>
    <row r="224" spans="1:6">
      <c r="A224" t="str">
        <f>"E1358-4"</f>
        <v>E1358-4</v>
      </c>
      <c r="B224" t="str">
        <f>"SOTTOPASSAGGIO MONTANO  33R-"</f>
        <v>SOTTOPASSAGGIO MONTANO  33R-</v>
      </c>
      <c r="C224" t="str">
        <f t="shared" si="23"/>
        <v>4</v>
      </c>
      <c r="D224">
        <v>45</v>
      </c>
      <c r="E224" t="str">
        <f t="shared" si="25"/>
        <v>99999</v>
      </c>
      <c r="F224" t="str">
        <f t="shared" si="24"/>
        <v>0000</v>
      </c>
    </row>
    <row r="225" spans="1:6">
      <c r="A225" t="str">
        <f>"E1358-5"</f>
        <v>E1358-5</v>
      </c>
      <c r="B225" t="str">
        <f>"SOTTOPASSAGGIO MONTANO  35R-"</f>
        <v>SOTTOPASSAGGIO MONTANO  35R-</v>
      </c>
      <c r="C225" t="str">
        <f t="shared" si="23"/>
        <v>4</v>
      </c>
      <c r="D225">
        <v>45</v>
      </c>
      <c r="E225" t="str">
        <f t="shared" si="25"/>
        <v>99999</v>
      </c>
      <c r="F225" t="str">
        <f t="shared" si="24"/>
        <v>0000</v>
      </c>
    </row>
    <row r="226" spans="1:6">
      <c r="A226" t="str">
        <f>"E1358-6"</f>
        <v>E1358-6</v>
      </c>
      <c r="B226" t="str">
        <f>"SOTTOPASSAGGIO MONTANO  37R-"</f>
        <v>SOTTOPASSAGGIO MONTANO  37R-</v>
      </c>
      <c r="C226" t="str">
        <f t="shared" si="23"/>
        <v>4</v>
      </c>
      <c r="D226">
        <v>45</v>
      </c>
      <c r="E226" t="str">
        <f t="shared" si="25"/>
        <v>99999</v>
      </c>
      <c r="F226" t="str">
        <f t="shared" si="24"/>
        <v>0000</v>
      </c>
    </row>
    <row r="227" spans="1:6">
      <c r="A227" t="str">
        <f>"E1358-7"</f>
        <v>E1358-7</v>
      </c>
      <c r="B227" t="str">
        <f>"SOTTOPASSAGGIO MONTANO  39R-"</f>
        <v>SOTTOPASSAGGIO MONTANO  39R-</v>
      </c>
      <c r="C227" t="str">
        <f t="shared" si="23"/>
        <v>4</v>
      </c>
      <c r="D227">
        <v>45</v>
      </c>
      <c r="E227" t="str">
        <f t="shared" si="25"/>
        <v>99999</v>
      </c>
      <c r="F227" t="str">
        <f t="shared" si="24"/>
        <v>0000</v>
      </c>
    </row>
    <row r="228" spans="1:6">
      <c r="A228" t="str">
        <f>"E1359-1"</f>
        <v>E1359-1</v>
      </c>
      <c r="B228" t="str">
        <f>"PIAZZA ANTONIO GHIGLIONE VICINO AL 1-"</f>
        <v>PIAZZA ANTONIO GHIGLIONE VICINO AL 1-</v>
      </c>
      <c r="C228" t="str">
        <f t="shared" si="23"/>
        <v>4</v>
      </c>
      <c r="D228">
        <v>41</v>
      </c>
      <c r="E228" t="str">
        <f>"218"</f>
        <v>218</v>
      </c>
      <c r="F228" t="str">
        <f t="shared" si="24"/>
        <v>0000</v>
      </c>
    </row>
    <row r="229" spans="1:6">
      <c r="A229" t="str">
        <f>"E1360-1"</f>
        <v>E1360-1</v>
      </c>
      <c r="B229" t="str">
        <f>"VIA ANTONIO PELLEGRINI  19-"</f>
        <v>VIA ANTONIO PELLEGRINI  19-</v>
      </c>
      <c r="C229" t="str">
        <f t="shared" ref="C229:C237" si="26">"SAM"</f>
        <v>SAM</v>
      </c>
      <c r="D229">
        <v>38</v>
      </c>
      <c r="E229" t="str">
        <f>"1520"</f>
        <v>1520</v>
      </c>
      <c r="F229" t="str">
        <f t="shared" si="24"/>
        <v>0000</v>
      </c>
    </row>
    <row r="230" spans="1:6">
      <c r="A230" t="str">
        <f>"E1366-24"</f>
        <v>E1366-24</v>
      </c>
      <c r="B230" t="str">
        <f>"VIA GIORGIO MIGNONE  12-"</f>
        <v>VIA GIORGIO MIGNONE  12-</v>
      </c>
      <c r="C230" t="str">
        <f t="shared" si="26"/>
        <v>SAM</v>
      </c>
      <c r="D230">
        <v>39</v>
      </c>
      <c r="E230" t="str">
        <f>"792"</f>
        <v>792</v>
      </c>
      <c r="F230" t="str">
        <f>"25"</f>
        <v>25</v>
      </c>
    </row>
    <row r="231" spans="1:6">
      <c r="A231" t="str">
        <f>"E1366-26"</f>
        <v>E1366-26</v>
      </c>
      <c r="B231" t="str">
        <f>"VIA GIORGIO MIGNONE  12-"</f>
        <v>VIA GIORGIO MIGNONE  12-</v>
      </c>
      <c r="C231" t="str">
        <f t="shared" si="26"/>
        <v>SAM</v>
      </c>
      <c r="D231">
        <v>39</v>
      </c>
      <c r="E231" t="str">
        <f>"792"</f>
        <v>792</v>
      </c>
      <c r="F231" t="str">
        <f>"27"</f>
        <v>27</v>
      </c>
    </row>
    <row r="232" spans="1:6">
      <c r="A232" t="str">
        <f>"E1366-27"</f>
        <v>E1366-27</v>
      </c>
      <c r="B232" t="str">
        <f>"VIA GIORGIO MIGNONE  12-"</f>
        <v>VIA GIORGIO MIGNONE  12-</v>
      </c>
      <c r="C232" t="str">
        <f t="shared" si="26"/>
        <v>SAM</v>
      </c>
      <c r="D232">
        <v>39</v>
      </c>
      <c r="E232" t="str">
        <f>"792"</f>
        <v>792</v>
      </c>
      <c r="F232" t="str">
        <f>"28"</f>
        <v>28</v>
      </c>
    </row>
    <row r="233" spans="1:6">
      <c r="A233" t="str">
        <f>"E1366-28"</f>
        <v>E1366-28</v>
      </c>
      <c r="B233" t="str">
        <f>"VIA GIORGIO MIGNONE  12-"</f>
        <v>VIA GIORGIO MIGNONE  12-</v>
      </c>
      <c r="C233" t="str">
        <f t="shared" si="26"/>
        <v>SAM</v>
      </c>
      <c r="D233">
        <v>39</v>
      </c>
      <c r="E233" t="str">
        <f>"792"</f>
        <v>792</v>
      </c>
      <c r="F233" t="str">
        <f>"29"</f>
        <v>29</v>
      </c>
    </row>
    <row r="234" spans="1:6">
      <c r="A234" t="str">
        <f>"E1369-1"</f>
        <v>E1369-1</v>
      </c>
      <c r="B234" t="str">
        <f>"VIA D GAETANO STORACE  2R-"</f>
        <v>VIA D GAETANO STORACE  2R-</v>
      </c>
      <c r="C234" t="str">
        <f t="shared" si="26"/>
        <v>SAM</v>
      </c>
      <c r="D234">
        <v>44</v>
      </c>
      <c r="E234" t="str">
        <f>"20"</f>
        <v>20</v>
      </c>
      <c r="F234" t="str">
        <f>"3"</f>
        <v>3</v>
      </c>
    </row>
    <row r="235" spans="1:6">
      <c r="A235" t="str">
        <f>"E1369-2"</f>
        <v>E1369-2</v>
      </c>
      <c r="B235" t="str">
        <f>"VIA D GAETANO STORACE  2B-"</f>
        <v>VIA D GAETANO STORACE  2B-</v>
      </c>
      <c r="C235" t="str">
        <f t="shared" si="26"/>
        <v>SAM</v>
      </c>
      <c r="D235">
        <v>44</v>
      </c>
      <c r="E235" t="str">
        <f>"20"</f>
        <v>20</v>
      </c>
      <c r="F235" t="str">
        <f>"2"</f>
        <v>2</v>
      </c>
    </row>
    <row r="236" spans="1:6">
      <c r="A236" t="str">
        <f>"E1371-1"</f>
        <v>E1371-1</v>
      </c>
      <c r="B236" t="str">
        <f>"SALITA G B MILLELIRE  7-"</f>
        <v>SALITA G B MILLELIRE  7-</v>
      </c>
      <c r="C236" t="str">
        <f t="shared" si="26"/>
        <v>SAM</v>
      </c>
      <c r="D236">
        <v>39</v>
      </c>
      <c r="E236" t="str">
        <f>"41"</f>
        <v>41</v>
      </c>
      <c r="F236" t="str">
        <f>"2"</f>
        <v>2</v>
      </c>
    </row>
    <row r="237" spans="1:6">
      <c r="A237" t="str">
        <f>"E1371-2"</f>
        <v>E1371-2</v>
      </c>
      <c r="B237" t="str">
        <f>"SALITA G B MILLELIRE  7-"</f>
        <v>SALITA G B MILLELIRE  7-</v>
      </c>
      <c r="C237" t="str">
        <f t="shared" si="26"/>
        <v>SAM</v>
      </c>
      <c r="D237">
        <v>39</v>
      </c>
      <c r="E237" t="str">
        <f>"41"</f>
        <v>41</v>
      </c>
      <c r="F237" t="str">
        <f>"3"</f>
        <v>3</v>
      </c>
    </row>
    <row r="238" spans="1:6">
      <c r="A238" t="str">
        <f>"E1371-4"</f>
        <v>E1371-4</v>
      </c>
      <c r="B238" t="str">
        <f>"SALITA G B MILLELIRE  7-"</f>
        <v>SALITA G B MILLELIRE  7-</v>
      </c>
      <c r="C238" t="str">
        <f>"4"</f>
        <v>4</v>
      </c>
      <c r="D238">
        <v>39</v>
      </c>
      <c r="E238" t="str">
        <f>"41"</f>
        <v>41</v>
      </c>
      <c r="F238" t="str">
        <f>"0000"</f>
        <v>0000</v>
      </c>
    </row>
    <row r="239" spans="1:6">
      <c r="A239" t="str">
        <f>"E1371-5"</f>
        <v>E1371-5</v>
      </c>
      <c r="B239" t="str">
        <f>"SALITA G B MILLELIRE  7-"</f>
        <v>SALITA G B MILLELIRE  7-</v>
      </c>
      <c r="C239" t="str">
        <f>"4"</f>
        <v>4</v>
      </c>
      <c r="D239">
        <v>39</v>
      </c>
      <c r="E239" t="str">
        <f>"41"</f>
        <v>41</v>
      </c>
      <c r="F239" t="str">
        <f>"0000"</f>
        <v>0000</v>
      </c>
    </row>
    <row r="240" spans="1:6">
      <c r="A240" t="str">
        <f>"E1374-1"</f>
        <v>E1374-1</v>
      </c>
      <c r="B240" t="str">
        <f>"VIA CARLO ORGIERO  4-"</f>
        <v>VIA CARLO ORGIERO  4-</v>
      </c>
      <c r="C240" t="str">
        <f>"SAM"</f>
        <v>SAM</v>
      </c>
      <c r="D240">
        <v>43</v>
      </c>
      <c r="E240" t="str">
        <f>"365"</f>
        <v>365</v>
      </c>
      <c r="F240" t="str">
        <f>"58"</f>
        <v>58</v>
      </c>
    </row>
    <row r="241" spans="1:6">
      <c r="A241" t="str">
        <f>"E1376-1"</f>
        <v>E1376-1</v>
      </c>
      <c r="B241" t="str">
        <f>"VIA EUSTACHIO DEGOLA  10R-"</f>
        <v>VIA EUSTACHIO DEGOLA  10R-</v>
      </c>
      <c r="C241" t="str">
        <f>"4"</f>
        <v>4</v>
      </c>
      <c r="D241">
        <v>44</v>
      </c>
      <c r="E241" t="str">
        <f>"36"</f>
        <v>36</v>
      </c>
      <c r="F241" t="str">
        <f>"0000"</f>
        <v>0000</v>
      </c>
    </row>
    <row r="242" spans="1:6">
      <c r="C242" t="str">
        <f>"4"</f>
        <v>4</v>
      </c>
      <c r="D242">
        <v>44</v>
      </c>
      <c r="E242" t="str">
        <f>"38"</f>
        <v>38</v>
      </c>
      <c r="F242" t="str">
        <f>"0000"</f>
        <v>0000</v>
      </c>
    </row>
    <row r="243" spans="1:6">
      <c r="A243" t="str">
        <f>"E1377-1"</f>
        <v>E1377-1</v>
      </c>
      <c r="B243" t="str">
        <f>"VIA FRANCESCO ANZANI  14R-"</f>
        <v>VIA FRANCESCO ANZANI  14R-</v>
      </c>
      <c r="C243" t="str">
        <f t="shared" ref="C243:C251" si="27">"SAM"</f>
        <v>SAM</v>
      </c>
      <c r="D243">
        <v>44</v>
      </c>
      <c r="E243" t="str">
        <f>"143"</f>
        <v>143</v>
      </c>
      <c r="F243" t="str">
        <f>"6"</f>
        <v>6</v>
      </c>
    </row>
    <row r="244" spans="1:6">
      <c r="A244" t="str">
        <f>"E1379-2"</f>
        <v>E1379-2</v>
      </c>
      <c r="B244" t="str">
        <f t="shared" ref="B244:B251" si="28">"PIAZZA PALMETTA  7-"</f>
        <v>PIAZZA PALMETTA  7-</v>
      </c>
      <c r="C244" t="str">
        <f t="shared" si="27"/>
        <v>SAM</v>
      </c>
      <c r="D244">
        <v>43</v>
      </c>
      <c r="E244" t="str">
        <f t="shared" ref="E244:E251" si="29">"34"</f>
        <v>34</v>
      </c>
      <c r="F244" t="str">
        <f>"60"</f>
        <v>60</v>
      </c>
    </row>
    <row r="245" spans="1:6">
      <c r="A245" t="str">
        <f>"E1379-3"</f>
        <v>E1379-3</v>
      </c>
      <c r="B245" t="str">
        <f t="shared" si="28"/>
        <v>PIAZZA PALMETTA  7-</v>
      </c>
      <c r="C245" t="str">
        <f t="shared" si="27"/>
        <v>SAM</v>
      </c>
      <c r="D245">
        <v>43</v>
      </c>
      <c r="E245" t="str">
        <f t="shared" si="29"/>
        <v>34</v>
      </c>
      <c r="F245" t="str">
        <f>"16"</f>
        <v>16</v>
      </c>
    </row>
    <row r="246" spans="1:6">
      <c r="A246" t="str">
        <f>"E1379-4"</f>
        <v>E1379-4</v>
      </c>
      <c r="B246" t="str">
        <f t="shared" si="28"/>
        <v>PIAZZA PALMETTA  7-</v>
      </c>
      <c r="C246" t="str">
        <f t="shared" si="27"/>
        <v>SAM</v>
      </c>
      <c r="D246">
        <v>43</v>
      </c>
      <c r="E246" t="str">
        <f t="shared" si="29"/>
        <v>34</v>
      </c>
      <c r="F246" t="str">
        <f>"17"</f>
        <v>17</v>
      </c>
    </row>
    <row r="247" spans="1:6">
      <c r="A247" t="str">
        <f>"E1379-6"</f>
        <v>E1379-6</v>
      </c>
      <c r="B247" t="str">
        <f t="shared" si="28"/>
        <v>PIAZZA PALMETTA  7-</v>
      </c>
      <c r="C247" t="str">
        <f t="shared" si="27"/>
        <v>SAM</v>
      </c>
      <c r="D247">
        <v>43</v>
      </c>
      <c r="E247" t="str">
        <f t="shared" si="29"/>
        <v>34</v>
      </c>
      <c r="F247" t="str">
        <f>"27"</f>
        <v>27</v>
      </c>
    </row>
    <row r="248" spans="1:6">
      <c r="A248" t="str">
        <f>"E1379-7"</f>
        <v>E1379-7</v>
      </c>
      <c r="B248" t="str">
        <f t="shared" si="28"/>
        <v>PIAZZA PALMETTA  7-</v>
      </c>
      <c r="C248" t="str">
        <f t="shared" si="27"/>
        <v>SAM</v>
      </c>
      <c r="D248">
        <v>43</v>
      </c>
      <c r="E248" t="str">
        <f t="shared" si="29"/>
        <v>34</v>
      </c>
      <c r="F248" t="str">
        <f>"25"</f>
        <v>25</v>
      </c>
    </row>
    <row r="249" spans="1:6">
      <c r="A249" t="str">
        <f>"E1379-8"</f>
        <v>E1379-8</v>
      </c>
      <c r="B249" t="str">
        <f t="shared" si="28"/>
        <v>PIAZZA PALMETTA  7-</v>
      </c>
      <c r="C249" t="str">
        <f t="shared" si="27"/>
        <v>SAM</v>
      </c>
      <c r="D249">
        <v>43</v>
      </c>
      <c r="E249" t="str">
        <f t="shared" si="29"/>
        <v>34</v>
      </c>
      <c r="F249" t="str">
        <f>"28"</f>
        <v>28</v>
      </c>
    </row>
    <row r="250" spans="1:6">
      <c r="A250" t="str">
        <f>"E1379-10"</f>
        <v>E1379-10</v>
      </c>
      <c r="B250" t="str">
        <f t="shared" si="28"/>
        <v>PIAZZA PALMETTA  7-</v>
      </c>
      <c r="C250" t="str">
        <f t="shared" si="27"/>
        <v>SAM</v>
      </c>
      <c r="D250">
        <v>43</v>
      </c>
      <c r="E250" t="str">
        <f t="shared" si="29"/>
        <v>34</v>
      </c>
      <c r="F250" t="str">
        <f>"30"</f>
        <v>30</v>
      </c>
    </row>
    <row r="251" spans="1:6">
      <c r="A251" t="str">
        <f>"E1379-11"</f>
        <v>E1379-11</v>
      </c>
      <c r="B251" t="str">
        <f t="shared" si="28"/>
        <v>PIAZZA PALMETTA  7-</v>
      </c>
      <c r="C251" t="str">
        <f t="shared" si="27"/>
        <v>SAM</v>
      </c>
      <c r="D251">
        <v>43</v>
      </c>
      <c r="E251" t="str">
        <f t="shared" si="29"/>
        <v>34</v>
      </c>
      <c r="F251" t="str">
        <f>"31"</f>
        <v>31</v>
      </c>
    </row>
    <row r="252" spans="1:6">
      <c r="A252" t="str">
        <f>"E1381-1"</f>
        <v>E1381-1</v>
      </c>
      <c r="B252" t="str">
        <f>"SALITA SAN BARBORINO  9-"</f>
        <v>SALITA SAN BARBORINO  9-</v>
      </c>
      <c r="C252" t="str">
        <f t="shared" ref="C252:C258" si="30">"4"</f>
        <v>4</v>
      </c>
      <c r="D252">
        <v>40</v>
      </c>
      <c r="E252" t="str">
        <f>"108"</f>
        <v>108</v>
      </c>
      <c r="F252" t="str">
        <f t="shared" ref="F252:F259" si="31">"0000"</f>
        <v>0000</v>
      </c>
    </row>
    <row r="253" spans="1:6">
      <c r="A253" t="str">
        <f>"E1381-1"</f>
        <v>E1381-1</v>
      </c>
      <c r="B253" t="str">
        <f>"SALITA SAN BARBORINO  9-"</f>
        <v>SALITA SAN BARBORINO  9-</v>
      </c>
      <c r="C253" t="str">
        <f t="shared" si="30"/>
        <v>4</v>
      </c>
      <c r="D253">
        <v>40</v>
      </c>
      <c r="E253" t="str">
        <f>"122"</f>
        <v>122</v>
      </c>
      <c r="F253" t="str">
        <f t="shared" si="31"/>
        <v>0000</v>
      </c>
    </row>
    <row r="254" spans="1:6">
      <c r="C254" t="str">
        <f t="shared" si="30"/>
        <v>4</v>
      </c>
      <c r="D254">
        <v>40</v>
      </c>
      <c r="E254" t="str">
        <f>"115"</f>
        <v>115</v>
      </c>
      <c r="F254" t="str">
        <f t="shared" si="31"/>
        <v>0000</v>
      </c>
    </row>
    <row r="255" spans="1:6">
      <c r="C255" t="str">
        <f t="shared" si="30"/>
        <v>4</v>
      </c>
      <c r="D255">
        <v>40</v>
      </c>
      <c r="E255" t="str">
        <f>"110"</f>
        <v>110</v>
      </c>
      <c r="F255" t="str">
        <f t="shared" si="31"/>
        <v>0000</v>
      </c>
    </row>
    <row r="256" spans="1:6">
      <c r="C256" t="str">
        <f t="shared" si="30"/>
        <v>4</v>
      </c>
      <c r="D256">
        <v>40</v>
      </c>
      <c r="E256" t="str">
        <f>"111"</f>
        <v>111</v>
      </c>
      <c r="F256" t="str">
        <f t="shared" si="31"/>
        <v>0000</v>
      </c>
    </row>
    <row r="257" spans="1:6">
      <c r="C257" t="str">
        <f t="shared" si="30"/>
        <v>4</v>
      </c>
      <c r="D257">
        <v>40</v>
      </c>
      <c r="E257" t="str">
        <f>"113"</f>
        <v>113</v>
      </c>
      <c r="F257" t="str">
        <f t="shared" si="31"/>
        <v>0000</v>
      </c>
    </row>
    <row r="258" spans="1:6">
      <c r="C258" t="str">
        <f t="shared" si="30"/>
        <v>4</v>
      </c>
      <c r="D258">
        <v>40</v>
      </c>
      <c r="E258" t="str">
        <f>"109"</f>
        <v>109</v>
      </c>
      <c r="F258" t="str">
        <f t="shared" si="31"/>
        <v>0000</v>
      </c>
    </row>
    <row r="259" spans="1:6">
      <c r="A259" t="str">
        <f>"E1382-1"</f>
        <v>E1382-1</v>
      </c>
      <c r="B259" t="str">
        <f>"VIA PORTA DEGLI ANGELI  37-"</f>
        <v>VIA PORTA DEGLI ANGELI  37-</v>
      </c>
      <c r="C259" t="str">
        <f t="shared" ref="C259:C290" si="32">"SAM"</f>
        <v>SAM</v>
      </c>
      <c r="D259">
        <v>38</v>
      </c>
      <c r="E259" t="str">
        <f>"330"</f>
        <v>330</v>
      </c>
      <c r="F259" t="str">
        <f t="shared" si="31"/>
        <v>0000</v>
      </c>
    </row>
    <row r="260" spans="1:6">
      <c r="A260" t="str">
        <f>"E1385-1"</f>
        <v>E1385-1</v>
      </c>
      <c r="B260" t="str">
        <f>"VIA ANDREA PRASIO  2A-"</f>
        <v>VIA ANDREA PRASIO  2A-</v>
      </c>
      <c r="C260" t="str">
        <f t="shared" si="32"/>
        <v>SAM</v>
      </c>
      <c r="D260">
        <v>41</v>
      </c>
      <c r="E260" t="str">
        <f t="shared" ref="E260:E272" si="33">"313"</f>
        <v>313</v>
      </c>
      <c r="F260" t="str">
        <f>"46"</f>
        <v>46</v>
      </c>
    </row>
    <row r="261" spans="1:6">
      <c r="A261" t="str">
        <f>"E1385-2"</f>
        <v>E1385-2</v>
      </c>
      <c r="B261" t="str">
        <f>"VIA ANDREA PRASIO  2A-"</f>
        <v>VIA ANDREA PRASIO  2A-</v>
      </c>
      <c r="C261" t="str">
        <f t="shared" si="32"/>
        <v>SAM</v>
      </c>
      <c r="D261">
        <v>41</v>
      </c>
      <c r="E261" t="str">
        <f t="shared" si="33"/>
        <v>313</v>
      </c>
      <c r="F261" t="str">
        <f>"47"</f>
        <v>47</v>
      </c>
    </row>
    <row r="262" spans="1:6">
      <c r="A262" t="str">
        <f>"E1385-3"</f>
        <v>E1385-3</v>
      </c>
      <c r="B262" t="str">
        <f>"VIA ANDREA PRASIO  2A-"</f>
        <v>VIA ANDREA PRASIO  2A-</v>
      </c>
      <c r="C262" t="str">
        <f t="shared" si="32"/>
        <v>SAM</v>
      </c>
      <c r="D262">
        <v>41</v>
      </c>
      <c r="E262" t="str">
        <f t="shared" si="33"/>
        <v>313</v>
      </c>
      <c r="F262" t="str">
        <f>"48"</f>
        <v>48</v>
      </c>
    </row>
    <row r="263" spans="1:6">
      <c r="A263" t="str">
        <f>"E1385-4"</f>
        <v>E1385-4</v>
      </c>
      <c r="B263" t="str">
        <f>"VIA ANDREA PRASIO  2A-"</f>
        <v>VIA ANDREA PRASIO  2A-</v>
      </c>
      <c r="C263" t="str">
        <f t="shared" si="32"/>
        <v>SAM</v>
      </c>
      <c r="D263">
        <v>41</v>
      </c>
      <c r="E263" t="str">
        <f t="shared" si="33"/>
        <v>313</v>
      </c>
      <c r="F263" t="str">
        <f>"49"</f>
        <v>49</v>
      </c>
    </row>
    <row r="264" spans="1:6">
      <c r="A264" t="str">
        <f>"E1385-5"</f>
        <v>E1385-5</v>
      </c>
      <c r="B264" t="str">
        <f>"VIA ANDREA PRASIO  2A-"</f>
        <v>VIA ANDREA PRASIO  2A-</v>
      </c>
      <c r="C264" t="str">
        <f t="shared" si="32"/>
        <v>SAM</v>
      </c>
      <c r="D264">
        <v>41</v>
      </c>
      <c r="E264" t="str">
        <f t="shared" si="33"/>
        <v>313</v>
      </c>
      <c r="F264" t="str">
        <f>"50"</f>
        <v>50</v>
      </c>
    </row>
    <row r="265" spans="1:6">
      <c r="A265" t="str">
        <f>"E1385-6"</f>
        <v>E1385-6</v>
      </c>
      <c r="B265" t="str">
        <f t="shared" ref="B265:B272" si="34">"VIA ANDREA PRASIO  4-"</f>
        <v>VIA ANDREA PRASIO  4-</v>
      </c>
      <c r="C265" t="str">
        <f t="shared" si="32"/>
        <v>SAM</v>
      </c>
      <c r="D265">
        <v>41</v>
      </c>
      <c r="E265" t="str">
        <f t="shared" si="33"/>
        <v>313</v>
      </c>
      <c r="F265" t="str">
        <f>"51"</f>
        <v>51</v>
      </c>
    </row>
    <row r="266" spans="1:6">
      <c r="A266" t="str">
        <f>"E1385-7"</f>
        <v>E1385-7</v>
      </c>
      <c r="B266" t="str">
        <f t="shared" si="34"/>
        <v>VIA ANDREA PRASIO  4-</v>
      </c>
      <c r="C266" t="str">
        <f t="shared" si="32"/>
        <v>SAM</v>
      </c>
      <c r="D266">
        <v>41</v>
      </c>
      <c r="E266" t="str">
        <f t="shared" si="33"/>
        <v>313</v>
      </c>
      <c r="F266" t="str">
        <f>"52"</f>
        <v>52</v>
      </c>
    </row>
    <row r="267" spans="1:6">
      <c r="A267" t="str">
        <f>"E1385-8"</f>
        <v>E1385-8</v>
      </c>
      <c r="B267" t="str">
        <f t="shared" si="34"/>
        <v>VIA ANDREA PRASIO  4-</v>
      </c>
      <c r="C267" t="str">
        <f t="shared" si="32"/>
        <v>SAM</v>
      </c>
      <c r="D267">
        <v>41</v>
      </c>
      <c r="E267" t="str">
        <f t="shared" si="33"/>
        <v>313</v>
      </c>
      <c r="F267" t="str">
        <f>"53"</f>
        <v>53</v>
      </c>
    </row>
    <row r="268" spans="1:6">
      <c r="A268" t="str">
        <f>"E1385-9"</f>
        <v>E1385-9</v>
      </c>
      <c r="B268" t="str">
        <f t="shared" si="34"/>
        <v>VIA ANDREA PRASIO  4-</v>
      </c>
      <c r="C268" t="str">
        <f t="shared" si="32"/>
        <v>SAM</v>
      </c>
      <c r="D268">
        <v>41</v>
      </c>
      <c r="E268" t="str">
        <f t="shared" si="33"/>
        <v>313</v>
      </c>
      <c r="F268" t="str">
        <f>"54"</f>
        <v>54</v>
      </c>
    </row>
    <row r="269" spans="1:6">
      <c r="A269" t="str">
        <f>"E1385-10"</f>
        <v>E1385-10</v>
      </c>
      <c r="B269" t="str">
        <f t="shared" si="34"/>
        <v>VIA ANDREA PRASIO  4-</v>
      </c>
      <c r="C269" t="str">
        <f t="shared" si="32"/>
        <v>SAM</v>
      </c>
      <c r="D269">
        <v>41</v>
      </c>
      <c r="E269" t="str">
        <f t="shared" si="33"/>
        <v>313</v>
      </c>
      <c r="F269" t="str">
        <f>"55"</f>
        <v>55</v>
      </c>
    </row>
    <row r="270" spans="1:6">
      <c r="A270" t="str">
        <f>"E1385-11"</f>
        <v>E1385-11</v>
      </c>
      <c r="B270" t="str">
        <f t="shared" si="34"/>
        <v>VIA ANDREA PRASIO  4-</v>
      </c>
      <c r="C270" t="str">
        <f t="shared" si="32"/>
        <v>SAM</v>
      </c>
      <c r="D270">
        <v>41</v>
      </c>
      <c r="E270" t="str">
        <f t="shared" si="33"/>
        <v>313</v>
      </c>
      <c r="F270" t="str">
        <f>"56"</f>
        <v>56</v>
      </c>
    </row>
    <row r="271" spans="1:6">
      <c r="A271" t="str">
        <f>"E1385-12"</f>
        <v>E1385-12</v>
      </c>
      <c r="B271" t="str">
        <f t="shared" si="34"/>
        <v>VIA ANDREA PRASIO  4-</v>
      </c>
      <c r="C271" t="str">
        <f t="shared" si="32"/>
        <v>SAM</v>
      </c>
      <c r="D271">
        <v>41</v>
      </c>
      <c r="E271" t="str">
        <f t="shared" si="33"/>
        <v>313</v>
      </c>
      <c r="F271" t="str">
        <f>"57"</f>
        <v>57</v>
      </c>
    </row>
    <row r="272" spans="1:6">
      <c r="A272" t="str">
        <f>"E1385-13"</f>
        <v>E1385-13</v>
      </c>
      <c r="B272" t="str">
        <f t="shared" si="34"/>
        <v>VIA ANDREA PRASIO  4-</v>
      </c>
      <c r="C272" t="str">
        <f t="shared" si="32"/>
        <v>SAM</v>
      </c>
      <c r="D272">
        <v>41</v>
      </c>
      <c r="E272" t="str">
        <f t="shared" si="33"/>
        <v>313</v>
      </c>
      <c r="F272" t="str">
        <f>"58"</f>
        <v>58</v>
      </c>
    </row>
    <row r="273" spans="1:6">
      <c r="A273" t="str">
        <f>"E1386-1"</f>
        <v>E1386-1</v>
      </c>
      <c r="B273" t="str">
        <f>"SAL FORTE DELLA CROCETTA  6-"</f>
        <v>SAL FORTE DELLA CROCETTA  6-</v>
      </c>
      <c r="C273" t="str">
        <f t="shared" si="32"/>
        <v>SAM</v>
      </c>
      <c r="D273">
        <v>38</v>
      </c>
      <c r="E273" t="str">
        <f>"308"</f>
        <v>308</v>
      </c>
      <c r="F273" t="str">
        <f>"2"</f>
        <v>2</v>
      </c>
    </row>
    <row r="274" spans="1:6">
      <c r="A274" t="str">
        <f>"E1386-2"</f>
        <v>E1386-2</v>
      </c>
      <c r="B274" t="str">
        <f>"SAL FORTE DELLA CROCETTA  8-"</f>
        <v>SAL FORTE DELLA CROCETTA  8-</v>
      </c>
      <c r="C274" t="str">
        <f t="shared" si="32"/>
        <v>SAM</v>
      </c>
      <c r="D274">
        <v>38</v>
      </c>
      <c r="E274" t="str">
        <f>"308"</f>
        <v>308</v>
      </c>
      <c r="F274" t="str">
        <f>"3"</f>
        <v>3</v>
      </c>
    </row>
    <row r="275" spans="1:6">
      <c r="A275" t="str">
        <f>"E1386-3"</f>
        <v>E1386-3</v>
      </c>
      <c r="B275" t="str">
        <f>"SAL FORTE DELLA CROCETTA  10-"</f>
        <v>SAL FORTE DELLA CROCETTA  10-</v>
      </c>
      <c r="C275" t="str">
        <f t="shared" si="32"/>
        <v>SAM</v>
      </c>
      <c r="D275">
        <v>38</v>
      </c>
      <c r="E275" t="str">
        <f>"306"</f>
        <v>306</v>
      </c>
      <c r="F275" t="str">
        <f>"0000"</f>
        <v>0000</v>
      </c>
    </row>
    <row r="276" spans="1:6">
      <c r="C276" t="str">
        <f t="shared" si="32"/>
        <v>SAM</v>
      </c>
      <c r="D276">
        <v>38</v>
      </c>
      <c r="E276" t="str">
        <f>"307"</f>
        <v>307</v>
      </c>
      <c r="F276" t="str">
        <f>"0000"</f>
        <v>0000</v>
      </c>
    </row>
    <row r="277" spans="1:6">
      <c r="C277" t="str">
        <f t="shared" si="32"/>
        <v>SAM</v>
      </c>
      <c r="D277">
        <v>38</v>
      </c>
      <c r="E277" t="str">
        <f>"308"</f>
        <v>308</v>
      </c>
      <c r="F277" t="str">
        <f>"4"</f>
        <v>4</v>
      </c>
    </row>
    <row r="278" spans="1:6">
      <c r="A278" t="str">
        <f>"E1387-4"</f>
        <v>E1387-4</v>
      </c>
      <c r="B278" t="str">
        <f t="shared" ref="B278:B287" si="35">"VIA ROBERT BADEN POWELL  7-"</f>
        <v>VIA ROBERT BADEN POWELL  7-</v>
      </c>
      <c r="C278" t="str">
        <f t="shared" si="32"/>
        <v>SAM</v>
      </c>
      <c r="D278">
        <v>38</v>
      </c>
      <c r="E278" t="str">
        <f t="shared" ref="E278:E288" si="36">"779"</f>
        <v>779</v>
      </c>
      <c r="F278" t="str">
        <f>"4"</f>
        <v>4</v>
      </c>
    </row>
    <row r="279" spans="1:6">
      <c r="A279" t="str">
        <f>"E1387-6"</f>
        <v>E1387-6</v>
      </c>
      <c r="B279" t="str">
        <f t="shared" si="35"/>
        <v>VIA ROBERT BADEN POWELL  7-</v>
      </c>
      <c r="C279" t="str">
        <f t="shared" si="32"/>
        <v>SAM</v>
      </c>
      <c r="D279">
        <v>38</v>
      </c>
      <c r="E279" t="str">
        <f t="shared" si="36"/>
        <v>779</v>
      </c>
      <c r="F279" t="str">
        <f>"6"</f>
        <v>6</v>
      </c>
    </row>
    <row r="280" spans="1:6">
      <c r="A280" t="str">
        <f>"E1387-8"</f>
        <v>E1387-8</v>
      </c>
      <c r="B280" t="str">
        <f t="shared" si="35"/>
        <v>VIA ROBERT BADEN POWELL  7-</v>
      </c>
      <c r="C280" t="str">
        <f t="shared" si="32"/>
        <v>SAM</v>
      </c>
      <c r="D280">
        <v>38</v>
      </c>
      <c r="E280" t="str">
        <f t="shared" si="36"/>
        <v>779</v>
      </c>
      <c r="F280" t="str">
        <f>"8"</f>
        <v>8</v>
      </c>
    </row>
    <row r="281" spans="1:6">
      <c r="A281" t="str">
        <f>"E1387-9"</f>
        <v>E1387-9</v>
      </c>
      <c r="B281" t="str">
        <f t="shared" si="35"/>
        <v>VIA ROBERT BADEN POWELL  7-</v>
      </c>
      <c r="C281" t="str">
        <f t="shared" si="32"/>
        <v>SAM</v>
      </c>
      <c r="D281">
        <v>38</v>
      </c>
      <c r="E281" t="str">
        <f t="shared" si="36"/>
        <v>779</v>
      </c>
      <c r="F281" t="str">
        <f>"9"</f>
        <v>9</v>
      </c>
    </row>
    <row r="282" spans="1:6">
      <c r="A282" t="str">
        <f>"E1387-11"</f>
        <v>E1387-11</v>
      </c>
      <c r="B282" t="str">
        <f t="shared" si="35"/>
        <v>VIA ROBERT BADEN POWELL  7-</v>
      </c>
      <c r="C282" t="str">
        <f t="shared" si="32"/>
        <v>SAM</v>
      </c>
      <c r="D282">
        <v>38</v>
      </c>
      <c r="E282" t="str">
        <f t="shared" si="36"/>
        <v>779</v>
      </c>
      <c r="F282" t="str">
        <f>"11"</f>
        <v>11</v>
      </c>
    </row>
    <row r="283" spans="1:6">
      <c r="A283" t="str">
        <f>"E1387-12"</f>
        <v>E1387-12</v>
      </c>
      <c r="B283" t="str">
        <f t="shared" si="35"/>
        <v>VIA ROBERT BADEN POWELL  7-</v>
      </c>
      <c r="C283" t="str">
        <f t="shared" si="32"/>
        <v>SAM</v>
      </c>
      <c r="D283">
        <v>38</v>
      </c>
      <c r="E283" t="str">
        <f t="shared" si="36"/>
        <v>779</v>
      </c>
      <c r="F283" t="str">
        <f>"12"</f>
        <v>12</v>
      </c>
    </row>
    <row r="284" spans="1:6">
      <c r="A284" t="str">
        <f>"E1387-13"</f>
        <v>E1387-13</v>
      </c>
      <c r="B284" t="str">
        <f t="shared" si="35"/>
        <v>VIA ROBERT BADEN POWELL  7-</v>
      </c>
      <c r="C284" t="str">
        <f t="shared" si="32"/>
        <v>SAM</v>
      </c>
      <c r="D284">
        <v>38</v>
      </c>
      <c r="E284" t="str">
        <f t="shared" si="36"/>
        <v>779</v>
      </c>
      <c r="F284" t="str">
        <f>"13"</f>
        <v>13</v>
      </c>
    </row>
    <row r="285" spans="1:6">
      <c r="A285" t="str">
        <f>"E1387-14"</f>
        <v>E1387-14</v>
      </c>
      <c r="B285" t="str">
        <f t="shared" si="35"/>
        <v>VIA ROBERT BADEN POWELL  7-</v>
      </c>
      <c r="C285" t="str">
        <f t="shared" si="32"/>
        <v>SAM</v>
      </c>
      <c r="D285">
        <v>38</v>
      </c>
      <c r="E285" t="str">
        <f t="shared" si="36"/>
        <v>779</v>
      </c>
      <c r="F285" t="str">
        <f>"14"</f>
        <v>14</v>
      </c>
    </row>
    <row r="286" spans="1:6">
      <c r="A286" t="str">
        <f>"E1387-15"</f>
        <v>E1387-15</v>
      </c>
      <c r="B286" t="str">
        <f t="shared" si="35"/>
        <v>VIA ROBERT BADEN POWELL  7-</v>
      </c>
      <c r="C286" t="str">
        <f t="shared" si="32"/>
        <v>SAM</v>
      </c>
      <c r="D286">
        <v>38</v>
      </c>
      <c r="E286" t="str">
        <f t="shared" si="36"/>
        <v>779</v>
      </c>
      <c r="F286" t="str">
        <f>"15"</f>
        <v>15</v>
      </c>
    </row>
    <row r="287" spans="1:6">
      <c r="A287" t="str">
        <f>"E1387-16"</f>
        <v>E1387-16</v>
      </c>
      <c r="B287" t="str">
        <f t="shared" si="35"/>
        <v>VIA ROBERT BADEN POWELL  7-</v>
      </c>
      <c r="C287" t="str">
        <f t="shared" si="32"/>
        <v>SAM</v>
      </c>
      <c r="D287">
        <v>38</v>
      </c>
      <c r="E287" t="str">
        <f t="shared" si="36"/>
        <v>779</v>
      </c>
      <c r="F287" t="str">
        <f>"16"</f>
        <v>16</v>
      </c>
    </row>
    <row r="288" spans="1:6">
      <c r="A288" t="str">
        <f>"E1387-17"</f>
        <v>E1387-17</v>
      </c>
      <c r="B288" t="str">
        <f t="shared" ref="B288:B300" si="37">"VIA ROBERT BADEN POWELL  9-"</f>
        <v>VIA ROBERT BADEN POWELL  9-</v>
      </c>
      <c r="C288" t="str">
        <f t="shared" si="32"/>
        <v>SAM</v>
      </c>
      <c r="D288">
        <v>38</v>
      </c>
      <c r="E288" t="str">
        <f t="shared" si="36"/>
        <v>779</v>
      </c>
      <c r="F288" t="str">
        <f>"17"</f>
        <v>17</v>
      </c>
    </row>
    <row r="289" spans="1:6">
      <c r="A289" t="str">
        <f>"E1387-17"</f>
        <v>E1387-17</v>
      </c>
      <c r="B289" t="str">
        <f t="shared" si="37"/>
        <v>VIA ROBERT BADEN POWELL  9-</v>
      </c>
      <c r="C289" t="str">
        <f t="shared" si="32"/>
        <v>SAM</v>
      </c>
      <c r="D289">
        <v>38</v>
      </c>
      <c r="E289" t="str">
        <f>"780"</f>
        <v>780</v>
      </c>
      <c r="F289" t="str">
        <f>"0000"</f>
        <v>0000</v>
      </c>
    </row>
    <row r="290" spans="1:6">
      <c r="A290" t="str">
        <f>"E1387-18"</f>
        <v>E1387-18</v>
      </c>
      <c r="B290" t="str">
        <f t="shared" si="37"/>
        <v>VIA ROBERT BADEN POWELL  9-</v>
      </c>
      <c r="C290" t="str">
        <f t="shared" si="32"/>
        <v>SAM</v>
      </c>
      <c r="D290">
        <v>38</v>
      </c>
      <c r="E290" t="str">
        <f>"779"</f>
        <v>779</v>
      </c>
      <c r="F290" t="str">
        <f>"18"</f>
        <v>18</v>
      </c>
    </row>
    <row r="291" spans="1:6">
      <c r="A291" t="str">
        <f>"E1387-18"</f>
        <v>E1387-18</v>
      </c>
      <c r="B291" t="str">
        <f t="shared" si="37"/>
        <v>VIA ROBERT BADEN POWELL  9-</v>
      </c>
      <c r="C291" t="str">
        <f t="shared" ref="C291:C322" si="38">"SAM"</f>
        <v>SAM</v>
      </c>
      <c r="D291">
        <v>38</v>
      </c>
      <c r="E291" t="str">
        <f>"781"</f>
        <v>781</v>
      </c>
      <c r="F291" t="str">
        <f>"0000"</f>
        <v>0000</v>
      </c>
    </row>
    <row r="292" spans="1:6">
      <c r="A292" t="str">
        <f>"E1387-19"</f>
        <v>E1387-19</v>
      </c>
      <c r="B292" t="str">
        <f t="shared" si="37"/>
        <v>VIA ROBERT BADEN POWELL  9-</v>
      </c>
      <c r="C292" t="str">
        <f t="shared" si="38"/>
        <v>SAM</v>
      </c>
      <c r="D292">
        <v>38</v>
      </c>
      <c r="E292" t="str">
        <f t="shared" ref="E292:E334" si="39">"779"</f>
        <v>779</v>
      </c>
      <c r="F292" t="str">
        <f>"19"</f>
        <v>19</v>
      </c>
    </row>
    <row r="293" spans="1:6">
      <c r="A293" t="str">
        <f>"E1387-20"</f>
        <v>E1387-20</v>
      </c>
      <c r="B293" t="str">
        <f t="shared" si="37"/>
        <v>VIA ROBERT BADEN POWELL  9-</v>
      </c>
      <c r="C293" t="str">
        <f t="shared" si="38"/>
        <v>SAM</v>
      </c>
      <c r="D293">
        <v>38</v>
      </c>
      <c r="E293" t="str">
        <f t="shared" si="39"/>
        <v>779</v>
      </c>
      <c r="F293" t="str">
        <f>"20"</f>
        <v>20</v>
      </c>
    </row>
    <row r="294" spans="1:6">
      <c r="A294" t="str">
        <f>"E1387-21"</f>
        <v>E1387-21</v>
      </c>
      <c r="B294" t="str">
        <f t="shared" si="37"/>
        <v>VIA ROBERT BADEN POWELL  9-</v>
      </c>
      <c r="C294" t="str">
        <f t="shared" si="38"/>
        <v>SAM</v>
      </c>
      <c r="D294">
        <v>38</v>
      </c>
      <c r="E294" t="str">
        <f t="shared" si="39"/>
        <v>779</v>
      </c>
      <c r="F294" t="str">
        <f>"21"</f>
        <v>21</v>
      </c>
    </row>
    <row r="295" spans="1:6">
      <c r="A295" t="str">
        <f>"E1387-23"</f>
        <v>E1387-23</v>
      </c>
      <c r="B295" t="str">
        <f t="shared" si="37"/>
        <v>VIA ROBERT BADEN POWELL  9-</v>
      </c>
      <c r="C295" t="str">
        <f t="shared" si="38"/>
        <v>SAM</v>
      </c>
      <c r="D295">
        <v>38</v>
      </c>
      <c r="E295" t="str">
        <f t="shared" si="39"/>
        <v>779</v>
      </c>
      <c r="F295" t="str">
        <f>"23"</f>
        <v>23</v>
      </c>
    </row>
    <row r="296" spans="1:6">
      <c r="A296" t="str">
        <f>"E1387-25"</f>
        <v>E1387-25</v>
      </c>
      <c r="B296" t="str">
        <f t="shared" si="37"/>
        <v>VIA ROBERT BADEN POWELL  9-</v>
      </c>
      <c r="C296" t="str">
        <f t="shared" si="38"/>
        <v>SAM</v>
      </c>
      <c r="D296">
        <v>38</v>
      </c>
      <c r="E296" t="str">
        <f t="shared" si="39"/>
        <v>779</v>
      </c>
      <c r="F296" t="str">
        <f>"25"</f>
        <v>25</v>
      </c>
    </row>
    <row r="297" spans="1:6">
      <c r="A297" t="str">
        <f>"E1387-26"</f>
        <v>E1387-26</v>
      </c>
      <c r="B297" t="str">
        <f t="shared" si="37"/>
        <v>VIA ROBERT BADEN POWELL  9-</v>
      </c>
      <c r="C297" t="str">
        <f t="shared" si="38"/>
        <v>SAM</v>
      </c>
      <c r="D297">
        <v>38</v>
      </c>
      <c r="E297" t="str">
        <f t="shared" si="39"/>
        <v>779</v>
      </c>
      <c r="F297" t="str">
        <f>"26"</f>
        <v>26</v>
      </c>
    </row>
    <row r="298" spans="1:6">
      <c r="A298" t="str">
        <f>"E1387-28"</f>
        <v>E1387-28</v>
      </c>
      <c r="B298" t="str">
        <f t="shared" si="37"/>
        <v>VIA ROBERT BADEN POWELL  9-</v>
      </c>
      <c r="C298" t="str">
        <f t="shared" si="38"/>
        <v>SAM</v>
      </c>
      <c r="D298">
        <v>38</v>
      </c>
      <c r="E298" t="str">
        <f t="shared" si="39"/>
        <v>779</v>
      </c>
      <c r="F298" t="str">
        <f>"28"</f>
        <v>28</v>
      </c>
    </row>
    <row r="299" spans="1:6">
      <c r="A299" t="str">
        <f>"E1387-30"</f>
        <v>E1387-30</v>
      </c>
      <c r="B299" t="str">
        <f t="shared" si="37"/>
        <v>VIA ROBERT BADEN POWELL  9-</v>
      </c>
      <c r="C299" t="str">
        <f t="shared" si="38"/>
        <v>SAM</v>
      </c>
      <c r="D299">
        <v>38</v>
      </c>
      <c r="E299" t="str">
        <f t="shared" si="39"/>
        <v>779</v>
      </c>
      <c r="F299" t="str">
        <f>"30"</f>
        <v>30</v>
      </c>
    </row>
    <row r="300" spans="1:6">
      <c r="A300" t="str">
        <f>"E1387-31"</f>
        <v>E1387-31</v>
      </c>
      <c r="B300" t="str">
        <f t="shared" si="37"/>
        <v>VIA ROBERT BADEN POWELL  9-</v>
      </c>
      <c r="C300" t="str">
        <f t="shared" si="38"/>
        <v>SAM</v>
      </c>
      <c r="D300">
        <v>38</v>
      </c>
      <c r="E300" t="str">
        <f t="shared" si="39"/>
        <v>779</v>
      </c>
      <c r="F300" t="str">
        <f>"31"</f>
        <v>31</v>
      </c>
    </row>
    <row r="301" spans="1:6">
      <c r="A301" t="str">
        <f>"E1387-33"</f>
        <v>E1387-33</v>
      </c>
      <c r="B301" t="str">
        <f t="shared" ref="B301:B316" si="40">"VIA ROBERT BADEN POWELL  7-"</f>
        <v>VIA ROBERT BADEN POWELL  7-</v>
      </c>
      <c r="C301" t="str">
        <f t="shared" si="38"/>
        <v>SAM</v>
      </c>
      <c r="D301">
        <v>38</v>
      </c>
      <c r="E301" t="str">
        <f t="shared" si="39"/>
        <v>779</v>
      </c>
      <c r="F301" t="str">
        <f>"33"</f>
        <v>33</v>
      </c>
    </row>
    <row r="302" spans="1:6">
      <c r="A302" t="str">
        <f>"E1387-34"</f>
        <v>E1387-34</v>
      </c>
      <c r="B302" t="str">
        <f t="shared" si="40"/>
        <v>VIA ROBERT BADEN POWELL  7-</v>
      </c>
      <c r="C302" t="str">
        <f t="shared" si="38"/>
        <v>SAM</v>
      </c>
      <c r="D302">
        <v>38</v>
      </c>
      <c r="E302" t="str">
        <f t="shared" si="39"/>
        <v>779</v>
      </c>
      <c r="F302" t="str">
        <f>"34"</f>
        <v>34</v>
      </c>
    </row>
    <row r="303" spans="1:6">
      <c r="A303" t="str">
        <f>"E1387-35"</f>
        <v>E1387-35</v>
      </c>
      <c r="B303" t="str">
        <f t="shared" si="40"/>
        <v>VIA ROBERT BADEN POWELL  7-</v>
      </c>
      <c r="C303" t="str">
        <f t="shared" si="38"/>
        <v>SAM</v>
      </c>
      <c r="D303">
        <v>38</v>
      </c>
      <c r="E303" t="str">
        <f t="shared" si="39"/>
        <v>779</v>
      </c>
      <c r="F303" t="str">
        <f>"35"</f>
        <v>35</v>
      </c>
    </row>
    <row r="304" spans="1:6">
      <c r="A304" t="str">
        <f>"E1387-36"</f>
        <v>E1387-36</v>
      </c>
      <c r="B304" t="str">
        <f t="shared" si="40"/>
        <v>VIA ROBERT BADEN POWELL  7-</v>
      </c>
      <c r="C304" t="str">
        <f t="shared" si="38"/>
        <v>SAM</v>
      </c>
      <c r="D304">
        <v>38</v>
      </c>
      <c r="E304" t="str">
        <f t="shared" si="39"/>
        <v>779</v>
      </c>
      <c r="F304" t="str">
        <f>"36"</f>
        <v>36</v>
      </c>
    </row>
    <row r="305" spans="1:6">
      <c r="A305" t="str">
        <f>"E1387-37"</f>
        <v>E1387-37</v>
      </c>
      <c r="B305" t="str">
        <f t="shared" si="40"/>
        <v>VIA ROBERT BADEN POWELL  7-</v>
      </c>
      <c r="C305" t="str">
        <f t="shared" si="38"/>
        <v>SAM</v>
      </c>
      <c r="D305">
        <v>38</v>
      </c>
      <c r="E305" t="str">
        <f t="shared" si="39"/>
        <v>779</v>
      </c>
      <c r="F305" t="str">
        <f>"37"</f>
        <v>37</v>
      </c>
    </row>
    <row r="306" spans="1:6">
      <c r="A306" t="str">
        <f>"E1387-38"</f>
        <v>E1387-38</v>
      </c>
      <c r="B306" t="str">
        <f t="shared" si="40"/>
        <v>VIA ROBERT BADEN POWELL  7-</v>
      </c>
      <c r="C306" t="str">
        <f t="shared" si="38"/>
        <v>SAM</v>
      </c>
      <c r="D306">
        <v>38</v>
      </c>
      <c r="E306" t="str">
        <f t="shared" si="39"/>
        <v>779</v>
      </c>
      <c r="F306" t="str">
        <f>"38"</f>
        <v>38</v>
      </c>
    </row>
    <row r="307" spans="1:6">
      <c r="A307" t="str">
        <f>"E1387-40"</f>
        <v>E1387-40</v>
      </c>
      <c r="B307" t="str">
        <f t="shared" si="40"/>
        <v>VIA ROBERT BADEN POWELL  7-</v>
      </c>
      <c r="C307" t="str">
        <f t="shared" si="38"/>
        <v>SAM</v>
      </c>
      <c r="D307">
        <v>38</v>
      </c>
      <c r="E307" t="str">
        <f t="shared" si="39"/>
        <v>779</v>
      </c>
      <c r="F307" t="str">
        <f>"40"</f>
        <v>40</v>
      </c>
    </row>
    <row r="308" spans="1:6">
      <c r="A308" t="str">
        <f>"E1387-41"</f>
        <v>E1387-41</v>
      </c>
      <c r="B308" t="str">
        <f t="shared" si="40"/>
        <v>VIA ROBERT BADEN POWELL  7-</v>
      </c>
      <c r="C308" t="str">
        <f t="shared" si="38"/>
        <v>SAM</v>
      </c>
      <c r="D308">
        <v>38</v>
      </c>
      <c r="E308" t="str">
        <f t="shared" si="39"/>
        <v>779</v>
      </c>
      <c r="F308" t="str">
        <f>"41"</f>
        <v>41</v>
      </c>
    </row>
    <row r="309" spans="1:6">
      <c r="A309" t="str">
        <f>"E1387-42"</f>
        <v>E1387-42</v>
      </c>
      <c r="B309" t="str">
        <f t="shared" si="40"/>
        <v>VIA ROBERT BADEN POWELL  7-</v>
      </c>
      <c r="C309" t="str">
        <f t="shared" si="38"/>
        <v>SAM</v>
      </c>
      <c r="D309">
        <v>38</v>
      </c>
      <c r="E309" t="str">
        <f t="shared" si="39"/>
        <v>779</v>
      </c>
      <c r="F309" t="str">
        <f>"42"</f>
        <v>42</v>
      </c>
    </row>
    <row r="310" spans="1:6">
      <c r="A310" t="str">
        <f>"E1387-43"</f>
        <v>E1387-43</v>
      </c>
      <c r="B310" t="str">
        <f t="shared" si="40"/>
        <v>VIA ROBERT BADEN POWELL  7-</v>
      </c>
      <c r="C310" t="str">
        <f t="shared" si="38"/>
        <v>SAM</v>
      </c>
      <c r="D310">
        <v>38</v>
      </c>
      <c r="E310" t="str">
        <f t="shared" si="39"/>
        <v>779</v>
      </c>
      <c r="F310" t="str">
        <f>"43"</f>
        <v>43</v>
      </c>
    </row>
    <row r="311" spans="1:6">
      <c r="A311" t="str">
        <f>"E1387-44"</f>
        <v>E1387-44</v>
      </c>
      <c r="B311" t="str">
        <f t="shared" si="40"/>
        <v>VIA ROBERT BADEN POWELL  7-</v>
      </c>
      <c r="C311" t="str">
        <f t="shared" si="38"/>
        <v>SAM</v>
      </c>
      <c r="D311">
        <v>38</v>
      </c>
      <c r="E311" t="str">
        <f t="shared" si="39"/>
        <v>779</v>
      </c>
      <c r="F311" t="str">
        <f>"44"</f>
        <v>44</v>
      </c>
    </row>
    <row r="312" spans="1:6">
      <c r="A312" t="str">
        <f>"E1387-47"</f>
        <v>E1387-47</v>
      </c>
      <c r="B312" t="str">
        <f t="shared" si="40"/>
        <v>VIA ROBERT BADEN POWELL  7-</v>
      </c>
      <c r="C312" t="str">
        <f t="shared" si="38"/>
        <v>SAM</v>
      </c>
      <c r="D312">
        <v>38</v>
      </c>
      <c r="E312" t="str">
        <f t="shared" si="39"/>
        <v>779</v>
      </c>
      <c r="F312" t="str">
        <f>"47"</f>
        <v>47</v>
      </c>
    </row>
    <row r="313" spans="1:6">
      <c r="A313" t="str">
        <f>"E1387-49"</f>
        <v>E1387-49</v>
      </c>
      <c r="B313" t="str">
        <f t="shared" si="40"/>
        <v>VIA ROBERT BADEN POWELL  7-</v>
      </c>
      <c r="C313" t="str">
        <f t="shared" si="38"/>
        <v>SAM</v>
      </c>
      <c r="D313">
        <v>38</v>
      </c>
      <c r="E313" t="str">
        <f t="shared" si="39"/>
        <v>779</v>
      </c>
      <c r="F313" t="str">
        <f>"49"</f>
        <v>49</v>
      </c>
    </row>
    <row r="314" spans="1:6">
      <c r="A314" t="str">
        <f>"E1387-51"</f>
        <v>E1387-51</v>
      </c>
      <c r="B314" t="str">
        <f t="shared" si="40"/>
        <v>VIA ROBERT BADEN POWELL  7-</v>
      </c>
      <c r="C314" t="str">
        <f t="shared" si="38"/>
        <v>SAM</v>
      </c>
      <c r="D314">
        <v>38</v>
      </c>
      <c r="E314" t="str">
        <f t="shared" si="39"/>
        <v>779</v>
      </c>
      <c r="F314" t="str">
        <f>"51"</f>
        <v>51</v>
      </c>
    </row>
    <row r="315" spans="1:6">
      <c r="A315" t="str">
        <f>"E1387-52"</f>
        <v>E1387-52</v>
      </c>
      <c r="B315" t="str">
        <f t="shared" si="40"/>
        <v>VIA ROBERT BADEN POWELL  7-</v>
      </c>
      <c r="C315" t="str">
        <f t="shared" si="38"/>
        <v>SAM</v>
      </c>
      <c r="D315">
        <v>38</v>
      </c>
      <c r="E315" t="str">
        <f t="shared" si="39"/>
        <v>779</v>
      </c>
      <c r="F315" t="str">
        <f>"52"</f>
        <v>52</v>
      </c>
    </row>
    <row r="316" spans="1:6">
      <c r="A316" t="str">
        <f>"E1387-53"</f>
        <v>E1387-53</v>
      </c>
      <c r="B316" t="str">
        <f t="shared" si="40"/>
        <v>VIA ROBERT BADEN POWELL  7-</v>
      </c>
      <c r="C316" t="str">
        <f t="shared" si="38"/>
        <v>SAM</v>
      </c>
      <c r="D316">
        <v>38</v>
      </c>
      <c r="E316" t="str">
        <f t="shared" si="39"/>
        <v>779</v>
      </c>
      <c r="F316" t="str">
        <f>"53"</f>
        <v>53</v>
      </c>
    </row>
    <row r="317" spans="1:6">
      <c r="A317" t="str">
        <f>"E1387-54"</f>
        <v>E1387-54</v>
      </c>
      <c r="B317" t="str">
        <f>"VIA ROBERT BADEN POWELL  9-"</f>
        <v>VIA ROBERT BADEN POWELL  9-</v>
      </c>
      <c r="C317" t="str">
        <f t="shared" si="38"/>
        <v>SAM</v>
      </c>
      <c r="D317">
        <v>38</v>
      </c>
      <c r="E317" t="str">
        <f t="shared" si="39"/>
        <v>779</v>
      </c>
      <c r="F317" t="str">
        <f>"54"</f>
        <v>54</v>
      </c>
    </row>
    <row r="318" spans="1:6">
      <c r="A318" t="str">
        <f>"E1387-56"</f>
        <v>E1387-56</v>
      </c>
      <c r="B318" t="str">
        <f>"VIA ROBERT BADEN POWELL  9-"</f>
        <v>VIA ROBERT BADEN POWELL  9-</v>
      </c>
      <c r="C318" t="str">
        <f t="shared" si="38"/>
        <v>SAM</v>
      </c>
      <c r="D318">
        <v>38</v>
      </c>
      <c r="E318" t="str">
        <f t="shared" si="39"/>
        <v>779</v>
      </c>
      <c r="F318" t="str">
        <f>"56"</f>
        <v>56</v>
      </c>
    </row>
    <row r="319" spans="1:6">
      <c r="A319" t="str">
        <f>"E1387-59"</f>
        <v>E1387-59</v>
      </c>
      <c r="B319" t="str">
        <f>"VIA ROBERT BADEN POWELL  9-"</f>
        <v>VIA ROBERT BADEN POWELL  9-</v>
      </c>
      <c r="C319" t="str">
        <f t="shared" si="38"/>
        <v>SAM</v>
      </c>
      <c r="D319">
        <v>38</v>
      </c>
      <c r="E319" t="str">
        <f t="shared" si="39"/>
        <v>779</v>
      </c>
      <c r="F319" t="str">
        <f>"59"</f>
        <v>59</v>
      </c>
    </row>
    <row r="320" spans="1:6">
      <c r="A320" t="str">
        <f>"E1387-60"</f>
        <v>E1387-60</v>
      </c>
      <c r="B320" t="str">
        <f t="shared" ref="B320:B334" si="41">"VIA ROBERT BADEN POWELL  11-"</f>
        <v>VIA ROBERT BADEN POWELL  11-</v>
      </c>
      <c r="C320" t="str">
        <f t="shared" si="38"/>
        <v>SAM</v>
      </c>
      <c r="D320">
        <v>38</v>
      </c>
      <c r="E320" t="str">
        <f t="shared" si="39"/>
        <v>779</v>
      </c>
      <c r="F320" t="str">
        <f>"60"</f>
        <v>60</v>
      </c>
    </row>
    <row r="321" spans="1:6">
      <c r="A321" t="str">
        <f>"E1387-61"</f>
        <v>E1387-61</v>
      </c>
      <c r="B321" t="str">
        <f t="shared" si="41"/>
        <v>VIA ROBERT BADEN POWELL  11-</v>
      </c>
      <c r="C321" t="str">
        <f t="shared" si="38"/>
        <v>SAM</v>
      </c>
      <c r="D321">
        <v>38</v>
      </c>
      <c r="E321" t="str">
        <f t="shared" si="39"/>
        <v>779</v>
      </c>
      <c r="F321" t="str">
        <f>"61"</f>
        <v>61</v>
      </c>
    </row>
    <row r="322" spans="1:6">
      <c r="A322" t="str">
        <f>"E1387-62"</f>
        <v>E1387-62</v>
      </c>
      <c r="B322" t="str">
        <f t="shared" si="41"/>
        <v>VIA ROBERT BADEN POWELL  11-</v>
      </c>
      <c r="C322" t="str">
        <f t="shared" si="38"/>
        <v>SAM</v>
      </c>
      <c r="D322">
        <v>38</v>
      </c>
      <c r="E322" t="str">
        <f t="shared" si="39"/>
        <v>779</v>
      </c>
      <c r="F322" t="str">
        <f>"62"</f>
        <v>62</v>
      </c>
    </row>
    <row r="323" spans="1:6">
      <c r="A323" t="str">
        <f>"E1387-63"</f>
        <v>E1387-63</v>
      </c>
      <c r="B323" t="str">
        <f t="shared" si="41"/>
        <v>VIA ROBERT BADEN POWELL  11-</v>
      </c>
      <c r="C323" t="str">
        <f t="shared" ref="C323:C354" si="42">"SAM"</f>
        <v>SAM</v>
      </c>
      <c r="D323">
        <v>38</v>
      </c>
      <c r="E323" t="str">
        <f t="shared" si="39"/>
        <v>779</v>
      </c>
      <c r="F323" t="str">
        <f>"63"</f>
        <v>63</v>
      </c>
    </row>
    <row r="324" spans="1:6">
      <c r="A324" t="str">
        <f>"E1387-64"</f>
        <v>E1387-64</v>
      </c>
      <c r="B324" t="str">
        <f t="shared" si="41"/>
        <v>VIA ROBERT BADEN POWELL  11-</v>
      </c>
      <c r="C324" t="str">
        <f t="shared" si="42"/>
        <v>SAM</v>
      </c>
      <c r="D324">
        <v>38</v>
      </c>
      <c r="E324" t="str">
        <f t="shared" si="39"/>
        <v>779</v>
      </c>
      <c r="F324" t="str">
        <f>"64"</f>
        <v>64</v>
      </c>
    </row>
    <row r="325" spans="1:6">
      <c r="A325" t="str">
        <f>"E1387-65"</f>
        <v>E1387-65</v>
      </c>
      <c r="B325" t="str">
        <f t="shared" si="41"/>
        <v>VIA ROBERT BADEN POWELL  11-</v>
      </c>
      <c r="C325" t="str">
        <f t="shared" si="42"/>
        <v>SAM</v>
      </c>
      <c r="D325">
        <v>38</v>
      </c>
      <c r="E325" t="str">
        <f t="shared" si="39"/>
        <v>779</v>
      </c>
      <c r="F325" t="str">
        <f>"65"</f>
        <v>65</v>
      </c>
    </row>
    <row r="326" spans="1:6">
      <c r="A326" t="str">
        <f>"E1387-66"</f>
        <v>E1387-66</v>
      </c>
      <c r="B326" t="str">
        <f t="shared" si="41"/>
        <v>VIA ROBERT BADEN POWELL  11-</v>
      </c>
      <c r="C326" t="str">
        <f t="shared" si="42"/>
        <v>SAM</v>
      </c>
      <c r="D326">
        <v>38</v>
      </c>
      <c r="E326" t="str">
        <f t="shared" si="39"/>
        <v>779</v>
      </c>
      <c r="F326" t="str">
        <f>"66"</f>
        <v>66</v>
      </c>
    </row>
    <row r="327" spans="1:6">
      <c r="A327" t="str">
        <f>"E1387-67"</f>
        <v>E1387-67</v>
      </c>
      <c r="B327" t="str">
        <f t="shared" si="41"/>
        <v>VIA ROBERT BADEN POWELL  11-</v>
      </c>
      <c r="C327" t="str">
        <f t="shared" si="42"/>
        <v>SAM</v>
      </c>
      <c r="D327">
        <v>38</v>
      </c>
      <c r="E327" t="str">
        <f t="shared" si="39"/>
        <v>779</v>
      </c>
      <c r="F327" t="str">
        <f>"67"</f>
        <v>67</v>
      </c>
    </row>
    <row r="328" spans="1:6">
      <c r="A328" t="str">
        <f>"E1387-68"</f>
        <v>E1387-68</v>
      </c>
      <c r="B328" t="str">
        <f t="shared" si="41"/>
        <v>VIA ROBERT BADEN POWELL  11-</v>
      </c>
      <c r="C328" t="str">
        <f t="shared" si="42"/>
        <v>SAM</v>
      </c>
      <c r="D328">
        <v>38</v>
      </c>
      <c r="E328" t="str">
        <f t="shared" si="39"/>
        <v>779</v>
      </c>
      <c r="F328" t="str">
        <f>"68"</f>
        <v>68</v>
      </c>
    </row>
    <row r="329" spans="1:6">
      <c r="A329" t="str">
        <f>"E1387-69"</f>
        <v>E1387-69</v>
      </c>
      <c r="B329" t="str">
        <f t="shared" si="41"/>
        <v>VIA ROBERT BADEN POWELL  11-</v>
      </c>
      <c r="C329" t="str">
        <f t="shared" si="42"/>
        <v>SAM</v>
      </c>
      <c r="D329">
        <v>38</v>
      </c>
      <c r="E329" t="str">
        <f t="shared" si="39"/>
        <v>779</v>
      </c>
      <c r="F329" t="str">
        <f>"69"</f>
        <v>69</v>
      </c>
    </row>
    <row r="330" spans="1:6">
      <c r="A330" t="str">
        <f>"E1387-70"</f>
        <v>E1387-70</v>
      </c>
      <c r="B330" t="str">
        <f t="shared" si="41"/>
        <v>VIA ROBERT BADEN POWELL  11-</v>
      </c>
      <c r="C330" t="str">
        <f t="shared" si="42"/>
        <v>SAM</v>
      </c>
      <c r="D330">
        <v>38</v>
      </c>
      <c r="E330" t="str">
        <f t="shared" si="39"/>
        <v>779</v>
      </c>
      <c r="F330" t="str">
        <f>"70"</f>
        <v>70</v>
      </c>
    </row>
    <row r="331" spans="1:6">
      <c r="A331" t="str">
        <f>"E1387-71"</f>
        <v>E1387-71</v>
      </c>
      <c r="B331" t="str">
        <f t="shared" si="41"/>
        <v>VIA ROBERT BADEN POWELL  11-</v>
      </c>
      <c r="C331" t="str">
        <f t="shared" si="42"/>
        <v>SAM</v>
      </c>
      <c r="D331">
        <v>38</v>
      </c>
      <c r="E331" t="str">
        <f t="shared" si="39"/>
        <v>779</v>
      </c>
      <c r="F331" t="str">
        <f>"71"</f>
        <v>71</v>
      </c>
    </row>
    <row r="332" spans="1:6">
      <c r="A332" t="str">
        <f>"E1387-72"</f>
        <v>E1387-72</v>
      </c>
      <c r="B332" t="str">
        <f t="shared" si="41"/>
        <v>VIA ROBERT BADEN POWELL  11-</v>
      </c>
      <c r="C332" t="str">
        <f t="shared" si="42"/>
        <v>SAM</v>
      </c>
      <c r="D332">
        <v>38</v>
      </c>
      <c r="E332" t="str">
        <f t="shared" si="39"/>
        <v>779</v>
      </c>
      <c r="F332" t="str">
        <f>"72"</f>
        <v>72</v>
      </c>
    </row>
    <row r="333" spans="1:6">
      <c r="A333" t="str">
        <f>"E1387-73"</f>
        <v>E1387-73</v>
      </c>
      <c r="B333" t="str">
        <f t="shared" si="41"/>
        <v>VIA ROBERT BADEN POWELL  11-</v>
      </c>
      <c r="C333" t="str">
        <f t="shared" si="42"/>
        <v>SAM</v>
      </c>
      <c r="D333">
        <v>38</v>
      </c>
      <c r="E333" t="str">
        <f t="shared" si="39"/>
        <v>779</v>
      </c>
      <c r="F333" t="str">
        <f>"73"</f>
        <v>73</v>
      </c>
    </row>
    <row r="334" spans="1:6">
      <c r="A334" t="str">
        <f>"E1387-74"</f>
        <v>E1387-74</v>
      </c>
      <c r="B334" t="str">
        <f t="shared" si="41"/>
        <v>VIA ROBERT BADEN POWELL  11-</v>
      </c>
      <c r="C334" t="str">
        <f t="shared" si="42"/>
        <v>SAM</v>
      </c>
      <c r="D334">
        <v>38</v>
      </c>
      <c r="E334" t="str">
        <f t="shared" si="39"/>
        <v>779</v>
      </c>
      <c r="F334" t="str">
        <f>"74"</f>
        <v>74</v>
      </c>
    </row>
    <row r="335" spans="1:6">
      <c r="A335" t="str">
        <f>"E1388-2"</f>
        <v>E1388-2</v>
      </c>
      <c r="B335" t="str">
        <f t="shared" ref="B335:B346" si="43">"VIA ROBERT BADEN POWELL  13-"</f>
        <v>VIA ROBERT BADEN POWELL  13-</v>
      </c>
      <c r="C335" t="str">
        <f t="shared" si="42"/>
        <v>SAM</v>
      </c>
      <c r="D335">
        <v>38</v>
      </c>
      <c r="E335" t="str">
        <f t="shared" ref="E335:E347" si="44">"783"</f>
        <v>783</v>
      </c>
      <c r="F335" t="str">
        <f>"2"</f>
        <v>2</v>
      </c>
    </row>
    <row r="336" spans="1:6">
      <c r="A336" t="str">
        <f>"E1388-3"</f>
        <v>E1388-3</v>
      </c>
      <c r="B336" t="str">
        <f t="shared" si="43"/>
        <v>VIA ROBERT BADEN POWELL  13-</v>
      </c>
      <c r="C336" t="str">
        <f t="shared" si="42"/>
        <v>SAM</v>
      </c>
      <c r="D336">
        <v>38</v>
      </c>
      <c r="E336" t="str">
        <f t="shared" si="44"/>
        <v>783</v>
      </c>
      <c r="F336" t="str">
        <f>"3"</f>
        <v>3</v>
      </c>
    </row>
    <row r="337" spans="1:6">
      <c r="A337" t="str">
        <f>"E1388-4"</f>
        <v>E1388-4</v>
      </c>
      <c r="B337" t="str">
        <f t="shared" si="43"/>
        <v>VIA ROBERT BADEN POWELL  13-</v>
      </c>
      <c r="C337" t="str">
        <f t="shared" si="42"/>
        <v>SAM</v>
      </c>
      <c r="D337">
        <v>38</v>
      </c>
      <c r="E337" t="str">
        <f t="shared" si="44"/>
        <v>783</v>
      </c>
      <c r="F337" t="str">
        <f>"4"</f>
        <v>4</v>
      </c>
    </row>
    <row r="338" spans="1:6">
      <c r="A338" t="str">
        <f>"E1388-5"</f>
        <v>E1388-5</v>
      </c>
      <c r="B338" t="str">
        <f t="shared" si="43"/>
        <v>VIA ROBERT BADEN POWELL  13-</v>
      </c>
      <c r="C338" t="str">
        <f t="shared" si="42"/>
        <v>SAM</v>
      </c>
      <c r="D338">
        <v>38</v>
      </c>
      <c r="E338" t="str">
        <f t="shared" si="44"/>
        <v>783</v>
      </c>
      <c r="F338" t="str">
        <f>"5"</f>
        <v>5</v>
      </c>
    </row>
    <row r="339" spans="1:6">
      <c r="A339" t="str">
        <f>"E1388-6"</f>
        <v>E1388-6</v>
      </c>
      <c r="B339" t="str">
        <f t="shared" si="43"/>
        <v>VIA ROBERT BADEN POWELL  13-</v>
      </c>
      <c r="C339" t="str">
        <f t="shared" si="42"/>
        <v>SAM</v>
      </c>
      <c r="D339">
        <v>38</v>
      </c>
      <c r="E339" t="str">
        <f t="shared" si="44"/>
        <v>783</v>
      </c>
      <c r="F339" t="str">
        <f>"6"</f>
        <v>6</v>
      </c>
    </row>
    <row r="340" spans="1:6">
      <c r="A340" t="str">
        <f>"E1388-7"</f>
        <v>E1388-7</v>
      </c>
      <c r="B340" t="str">
        <f t="shared" si="43"/>
        <v>VIA ROBERT BADEN POWELL  13-</v>
      </c>
      <c r="C340" t="str">
        <f t="shared" si="42"/>
        <v>SAM</v>
      </c>
      <c r="D340">
        <v>38</v>
      </c>
      <c r="E340" t="str">
        <f t="shared" si="44"/>
        <v>783</v>
      </c>
      <c r="F340" t="str">
        <f>"7"</f>
        <v>7</v>
      </c>
    </row>
    <row r="341" spans="1:6">
      <c r="A341" t="str">
        <f>"E1388-9"</f>
        <v>E1388-9</v>
      </c>
      <c r="B341" t="str">
        <f t="shared" si="43"/>
        <v>VIA ROBERT BADEN POWELL  13-</v>
      </c>
      <c r="C341" t="str">
        <f t="shared" si="42"/>
        <v>SAM</v>
      </c>
      <c r="D341">
        <v>38</v>
      </c>
      <c r="E341" t="str">
        <f t="shared" si="44"/>
        <v>783</v>
      </c>
      <c r="F341" t="str">
        <f>"9"</f>
        <v>9</v>
      </c>
    </row>
    <row r="342" spans="1:6">
      <c r="A342" t="str">
        <f>"E1388-10"</f>
        <v>E1388-10</v>
      </c>
      <c r="B342" t="str">
        <f t="shared" si="43"/>
        <v>VIA ROBERT BADEN POWELL  13-</v>
      </c>
      <c r="C342" t="str">
        <f t="shared" si="42"/>
        <v>SAM</v>
      </c>
      <c r="D342">
        <v>38</v>
      </c>
      <c r="E342" t="str">
        <f t="shared" si="44"/>
        <v>783</v>
      </c>
      <c r="F342" t="str">
        <f>"10"</f>
        <v>10</v>
      </c>
    </row>
    <row r="343" spans="1:6">
      <c r="A343" t="str">
        <f>"E1388-12"</f>
        <v>E1388-12</v>
      </c>
      <c r="B343" t="str">
        <f t="shared" si="43"/>
        <v>VIA ROBERT BADEN POWELL  13-</v>
      </c>
      <c r="C343" t="str">
        <f t="shared" si="42"/>
        <v>SAM</v>
      </c>
      <c r="D343">
        <v>38</v>
      </c>
      <c r="E343" t="str">
        <f t="shared" si="44"/>
        <v>783</v>
      </c>
      <c r="F343" t="str">
        <f>"12"</f>
        <v>12</v>
      </c>
    </row>
    <row r="344" spans="1:6">
      <c r="A344" t="str">
        <f>"E1388-13"</f>
        <v>E1388-13</v>
      </c>
      <c r="B344" t="str">
        <f t="shared" si="43"/>
        <v>VIA ROBERT BADEN POWELL  13-</v>
      </c>
      <c r="C344" t="str">
        <f t="shared" si="42"/>
        <v>SAM</v>
      </c>
      <c r="D344">
        <v>38</v>
      </c>
      <c r="E344" t="str">
        <f t="shared" si="44"/>
        <v>783</v>
      </c>
      <c r="F344" t="str">
        <f>"13"</f>
        <v>13</v>
      </c>
    </row>
    <row r="345" spans="1:6">
      <c r="A345" t="str">
        <f>"E1388-15"</f>
        <v>E1388-15</v>
      </c>
      <c r="B345" t="str">
        <f t="shared" si="43"/>
        <v>VIA ROBERT BADEN POWELL  13-</v>
      </c>
      <c r="C345" t="str">
        <f t="shared" si="42"/>
        <v>SAM</v>
      </c>
      <c r="D345">
        <v>38</v>
      </c>
      <c r="E345" t="str">
        <f t="shared" si="44"/>
        <v>783</v>
      </c>
      <c r="F345" t="str">
        <f>"15"</f>
        <v>15</v>
      </c>
    </row>
    <row r="346" spans="1:6">
      <c r="A346" t="str">
        <f>"E1388-16"</f>
        <v>E1388-16</v>
      </c>
      <c r="B346" t="str">
        <f t="shared" si="43"/>
        <v>VIA ROBERT BADEN POWELL  13-</v>
      </c>
      <c r="C346" t="str">
        <f t="shared" si="42"/>
        <v>SAM</v>
      </c>
      <c r="D346">
        <v>38</v>
      </c>
      <c r="E346" t="str">
        <f t="shared" si="44"/>
        <v>783</v>
      </c>
      <c r="F346" t="str">
        <f>"16"</f>
        <v>16</v>
      </c>
    </row>
    <row r="347" spans="1:6">
      <c r="A347" t="str">
        <f>"E1388-17"</f>
        <v>E1388-17</v>
      </c>
      <c r="B347" t="str">
        <f t="shared" ref="B347:B359" si="45">"VIA ROBERT BADEN POWELL  15-"</f>
        <v>VIA ROBERT BADEN POWELL  15-</v>
      </c>
      <c r="C347" t="str">
        <f t="shared" si="42"/>
        <v>SAM</v>
      </c>
      <c r="D347">
        <v>38</v>
      </c>
      <c r="E347" t="str">
        <f t="shared" si="44"/>
        <v>783</v>
      </c>
      <c r="F347" t="str">
        <f>"17"</f>
        <v>17</v>
      </c>
    </row>
    <row r="348" spans="1:6">
      <c r="C348" t="str">
        <f t="shared" si="42"/>
        <v>SAM</v>
      </c>
      <c r="D348">
        <v>38</v>
      </c>
      <c r="E348" t="str">
        <f>"784"</f>
        <v>784</v>
      </c>
      <c r="F348" t="str">
        <f>"0000"</f>
        <v>0000</v>
      </c>
    </row>
    <row r="349" spans="1:6">
      <c r="A349" t="str">
        <f>"E1388-19"</f>
        <v>E1388-19</v>
      </c>
      <c r="B349" t="str">
        <f t="shared" si="45"/>
        <v>VIA ROBERT BADEN POWELL  15-</v>
      </c>
      <c r="C349" t="str">
        <f t="shared" si="42"/>
        <v>SAM</v>
      </c>
      <c r="D349">
        <v>38</v>
      </c>
      <c r="E349" t="str">
        <f t="shared" ref="E349:E380" si="46">"783"</f>
        <v>783</v>
      </c>
      <c r="F349" t="str">
        <f>"19"</f>
        <v>19</v>
      </c>
    </row>
    <row r="350" spans="1:6">
      <c r="A350" t="str">
        <f>"E1388-20"</f>
        <v>E1388-20</v>
      </c>
      <c r="B350" t="str">
        <f t="shared" si="45"/>
        <v>VIA ROBERT BADEN POWELL  15-</v>
      </c>
      <c r="C350" t="str">
        <f t="shared" si="42"/>
        <v>SAM</v>
      </c>
      <c r="D350">
        <v>38</v>
      </c>
      <c r="E350" t="str">
        <f t="shared" si="46"/>
        <v>783</v>
      </c>
      <c r="F350" t="str">
        <f>"20"</f>
        <v>20</v>
      </c>
    </row>
    <row r="351" spans="1:6">
      <c r="A351" t="str">
        <f>"E1388-21"</f>
        <v>E1388-21</v>
      </c>
      <c r="B351" t="str">
        <f t="shared" si="45"/>
        <v>VIA ROBERT BADEN POWELL  15-</v>
      </c>
      <c r="C351" t="str">
        <f t="shared" si="42"/>
        <v>SAM</v>
      </c>
      <c r="D351">
        <v>38</v>
      </c>
      <c r="E351" t="str">
        <f t="shared" si="46"/>
        <v>783</v>
      </c>
      <c r="F351" t="str">
        <f>"21"</f>
        <v>21</v>
      </c>
    </row>
    <row r="352" spans="1:6">
      <c r="A352" t="str">
        <f>"E1388-22"</f>
        <v>E1388-22</v>
      </c>
      <c r="B352" t="str">
        <f t="shared" si="45"/>
        <v>VIA ROBERT BADEN POWELL  15-</v>
      </c>
      <c r="C352" t="str">
        <f t="shared" si="42"/>
        <v>SAM</v>
      </c>
      <c r="D352">
        <v>38</v>
      </c>
      <c r="E352" t="str">
        <f t="shared" si="46"/>
        <v>783</v>
      </c>
      <c r="F352" t="str">
        <f>"22"</f>
        <v>22</v>
      </c>
    </row>
    <row r="353" spans="1:6">
      <c r="A353" t="str">
        <f>"E1388-23"</f>
        <v>E1388-23</v>
      </c>
      <c r="B353" t="str">
        <f t="shared" si="45"/>
        <v>VIA ROBERT BADEN POWELL  15-</v>
      </c>
      <c r="C353" t="str">
        <f t="shared" si="42"/>
        <v>SAM</v>
      </c>
      <c r="D353">
        <v>38</v>
      </c>
      <c r="E353" t="str">
        <f t="shared" si="46"/>
        <v>783</v>
      </c>
      <c r="F353" t="str">
        <f>"23"</f>
        <v>23</v>
      </c>
    </row>
    <row r="354" spans="1:6">
      <c r="A354" t="str">
        <f>"E1388-25"</f>
        <v>E1388-25</v>
      </c>
      <c r="B354" t="str">
        <f t="shared" si="45"/>
        <v>VIA ROBERT BADEN POWELL  15-</v>
      </c>
      <c r="C354" t="str">
        <f t="shared" si="42"/>
        <v>SAM</v>
      </c>
      <c r="D354">
        <v>38</v>
      </c>
      <c r="E354" t="str">
        <f t="shared" si="46"/>
        <v>783</v>
      </c>
      <c r="F354" t="str">
        <f>"25"</f>
        <v>25</v>
      </c>
    </row>
    <row r="355" spans="1:6">
      <c r="A355" t="str">
        <f>"E1388-26"</f>
        <v>E1388-26</v>
      </c>
      <c r="B355" t="str">
        <f t="shared" si="45"/>
        <v>VIA ROBERT BADEN POWELL  15-</v>
      </c>
      <c r="C355" t="str">
        <f t="shared" ref="C355:C386" si="47">"SAM"</f>
        <v>SAM</v>
      </c>
      <c r="D355">
        <v>38</v>
      </c>
      <c r="E355" t="str">
        <f t="shared" si="46"/>
        <v>783</v>
      </c>
      <c r="F355" t="str">
        <f>"26"</f>
        <v>26</v>
      </c>
    </row>
    <row r="356" spans="1:6">
      <c r="A356" t="str">
        <f>"E1388-27"</f>
        <v>E1388-27</v>
      </c>
      <c r="B356" t="str">
        <f t="shared" si="45"/>
        <v>VIA ROBERT BADEN POWELL  15-</v>
      </c>
      <c r="C356" t="str">
        <f t="shared" si="47"/>
        <v>SAM</v>
      </c>
      <c r="D356">
        <v>38</v>
      </c>
      <c r="E356" t="str">
        <f t="shared" si="46"/>
        <v>783</v>
      </c>
      <c r="F356" t="str">
        <f>"27"</f>
        <v>27</v>
      </c>
    </row>
    <row r="357" spans="1:6">
      <c r="A357" t="str">
        <f>"E1388-28"</f>
        <v>E1388-28</v>
      </c>
      <c r="B357" t="str">
        <f t="shared" si="45"/>
        <v>VIA ROBERT BADEN POWELL  15-</v>
      </c>
      <c r="C357" t="str">
        <f t="shared" si="47"/>
        <v>SAM</v>
      </c>
      <c r="D357">
        <v>38</v>
      </c>
      <c r="E357" t="str">
        <f t="shared" si="46"/>
        <v>783</v>
      </c>
      <c r="F357" t="str">
        <f>"28"</f>
        <v>28</v>
      </c>
    </row>
    <row r="358" spans="1:6">
      <c r="A358" t="str">
        <f>"E1388-30"</f>
        <v>E1388-30</v>
      </c>
      <c r="B358" t="str">
        <f t="shared" si="45"/>
        <v>VIA ROBERT BADEN POWELL  15-</v>
      </c>
      <c r="C358" t="str">
        <f t="shared" si="47"/>
        <v>SAM</v>
      </c>
      <c r="D358">
        <v>38</v>
      </c>
      <c r="E358" t="str">
        <f t="shared" si="46"/>
        <v>783</v>
      </c>
      <c r="F358" t="str">
        <f>"30"</f>
        <v>30</v>
      </c>
    </row>
    <row r="359" spans="1:6">
      <c r="A359" t="str">
        <f>"E1388-31"</f>
        <v>E1388-31</v>
      </c>
      <c r="B359" t="str">
        <f t="shared" si="45"/>
        <v>VIA ROBERT BADEN POWELL  15-</v>
      </c>
      <c r="C359" t="str">
        <f t="shared" si="47"/>
        <v>SAM</v>
      </c>
      <c r="D359">
        <v>38</v>
      </c>
      <c r="E359" t="str">
        <f t="shared" si="46"/>
        <v>783</v>
      </c>
      <c r="F359" t="str">
        <f>"31"</f>
        <v>31</v>
      </c>
    </row>
    <row r="360" spans="1:6">
      <c r="A360" t="str">
        <f>"E1388-33"</f>
        <v>E1388-33</v>
      </c>
      <c r="B360" t="str">
        <f t="shared" ref="B360:B377" si="48">"VIA ROBERT BADEN POWELL  13-"</f>
        <v>VIA ROBERT BADEN POWELL  13-</v>
      </c>
      <c r="C360" t="str">
        <f t="shared" si="47"/>
        <v>SAM</v>
      </c>
      <c r="D360">
        <v>38</v>
      </c>
      <c r="E360" t="str">
        <f t="shared" si="46"/>
        <v>783</v>
      </c>
      <c r="F360" t="str">
        <f>"33"</f>
        <v>33</v>
      </c>
    </row>
    <row r="361" spans="1:6">
      <c r="A361" t="str">
        <f>"E1388-34"</f>
        <v>E1388-34</v>
      </c>
      <c r="B361" t="str">
        <f t="shared" si="48"/>
        <v>VIA ROBERT BADEN POWELL  13-</v>
      </c>
      <c r="C361" t="str">
        <f t="shared" si="47"/>
        <v>SAM</v>
      </c>
      <c r="D361">
        <v>38</v>
      </c>
      <c r="E361" t="str">
        <f t="shared" si="46"/>
        <v>783</v>
      </c>
      <c r="F361" t="str">
        <f>"34"</f>
        <v>34</v>
      </c>
    </row>
    <row r="362" spans="1:6">
      <c r="A362" t="str">
        <f>"E1388-35"</f>
        <v>E1388-35</v>
      </c>
      <c r="B362" t="str">
        <f t="shared" si="48"/>
        <v>VIA ROBERT BADEN POWELL  13-</v>
      </c>
      <c r="C362" t="str">
        <f t="shared" si="47"/>
        <v>SAM</v>
      </c>
      <c r="D362">
        <v>38</v>
      </c>
      <c r="E362" t="str">
        <f t="shared" si="46"/>
        <v>783</v>
      </c>
      <c r="F362" t="str">
        <f>"35"</f>
        <v>35</v>
      </c>
    </row>
    <row r="363" spans="1:6">
      <c r="A363" t="str">
        <f>"E1388-36"</f>
        <v>E1388-36</v>
      </c>
      <c r="B363" t="str">
        <f t="shared" si="48"/>
        <v>VIA ROBERT BADEN POWELL  13-</v>
      </c>
      <c r="C363" t="str">
        <f t="shared" si="47"/>
        <v>SAM</v>
      </c>
      <c r="D363">
        <v>38</v>
      </c>
      <c r="E363" t="str">
        <f t="shared" si="46"/>
        <v>783</v>
      </c>
      <c r="F363" t="str">
        <f>"36"</f>
        <v>36</v>
      </c>
    </row>
    <row r="364" spans="1:6">
      <c r="A364" t="str">
        <f>"E1388-38"</f>
        <v>E1388-38</v>
      </c>
      <c r="B364" t="str">
        <f t="shared" si="48"/>
        <v>VIA ROBERT BADEN POWELL  13-</v>
      </c>
      <c r="C364" t="str">
        <f t="shared" si="47"/>
        <v>SAM</v>
      </c>
      <c r="D364">
        <v>38</v>
      </c>
      <c r="E364" t="str">
        <f t="shared" si="46"/>
        <v>783</v>
      </c>
      <c r="F364" t="str">
        <f>"38"</f>
        <v>38</v>
      </c>
    </row>
    <row r="365" spans="1:6">
      <c r="A365" t="str">
        <f>"E1388-39"</f>
        <v>E1388-39</v>
      </c>
      <c r="B365" t="str">
        <f t="shared" si="48"/>
        <v>VIA ROBERT BADEN POWELL  13-</v>
      </c>
      <c r="C365" t="str">
        <f t="shared" si="47"/>
        <v>SAM</v>
      </c>
      <c r="D365">
        <v>38</v>
      </c>
      <c r="E365" t="str">
        <f t="shared" si="46"/>
        <v>783</v>
      </c>
      <c r="F365" t="str">
        <f>"39"</f>
        <v>39</v>
      </c>
    </row>
    <row r="366" spans="1:6">
      <c r="A366" t="str">
        <f>"E1388-40"</f>
        <v>E1388-40</v>
      </c>
      <c r="B366" t="str">
        <f t="shared" si="48"/>
        <v>VIA ROBERT BADEN POWELL  13-</v>
      </c>
      <c r="C366" t="str">
        <f t="shared" si="47"/>
        <v>SAM</v>
      </c>
      <c r="D366">
        <v>38</v>
      </c>
      <c r="E366" t="str">
        <f t="shared" si="46"/>
        <v>783</v>
      </c>
      <c r="F366" t="str">
        <f>"40"</f>
        <v>40</v>
      </c>
    </row>
    <row r="367" spans="1:6">
      <c r="A367" t="str">
        <f>"E1388-41"</f>
        <v>E1388-41</v>
      </c>
      <c r="B367" t="str">
        <f t="shared" si="48"/>
        <v>VIA ROBERT BADEN POWELL  13-</v>
      </c>
      <c r="C367" t="str">
        <f t="shared" si="47"/>
        <v>SAM</v>
      </c>
      <c r="D367">
        <v>38</v>
      </c>
      <c r="E367" t="str">
        <f t="shared" si="46"/>
        <v>783</v>
      </c>
      <c r="F367" t="str">
        <f>"41"</f>
        <v>41</v>
      </c>
    </row>
    <row r="368" spans="1:6">
      <c r="A368" t="str">
        <f>"E1388-42"</f>
        <v>E1388-42</v>
      </c>
      <c r="B368" t="str">
        <f t="shared" si="48"/>
        <v>VIA ROBERT BADEN POWELL  13-</v>
      </c>
      <c r="C368" t="str">
        <f t="shared" si="47"/>
        <v>SAM</v>
      </c>
      <c r="D368">
        <v>38</v>
      </c>
      <c r="E368" t="str">
        <f t="shared" si="46"/>
        <v>783</v>
      </c>
      <c r="F368" t="str">
        <f>"42"</f>
        <v>42</v>
      </c>
    </row>
    <row r="369" spans="1:6">
      <c r="A369" t="str">
        <f>"E1388-43"</f>
        <v>E1388-43</v>
      </c>
      <c r="B369" t="str">
        <f t="shared" si="48"/>
        <v>VIA ROBERT BADEN POWELL  13-</v>
      </c>
      <c r="C369" t="str">
        <f t="shared" si="47"/>
        <v>SAM</v>
      </c>
      <c r="D369">
        <v>38</v>
      </c>
      <c r="E369" t="str">
        <f t="shared" si="46"/>
        <v>783</v>
      </c>
      <c r="F369" t="str">
        <f>"43"</f>
        <v>43</v>
      </c>
    </row>
    <row r="370" spans="1:6">
      <c r="A370" t="str">
        <f>"E1388-44"</f>
        <v>E1388-44</v>
      </c>
      <c r="B370" t="str">
        <f t="shared" si="48"/>
        <v>VIA ROBERT BADEN POWELL  13-</v>
      </c>
      <c r="C370" t="str">
        <f t="shared" si="47"/>
        <v>SAM</v>
      </c>
      <c r="D370">
        <v>38</v>
      </c>
      <c r="E370" t="str">
        <f t="shared" si="46"/>
        <v>783</v>
      </c>
      <c r="F370" t="str">
        <f>"44"</f>
        <v>44</v>
      </c>
    </row>
    <row r="371" spans="1:6">
      <c r="A371" t="str">
        <f>"E1388-46"</f>
        <v>E1388-46</v>
      </c>
      <c r="B371" t="str">
        <f t="shared" si="48"/>
        <v>VIA ROBERT BADEN POWELL  13-</v>
      </c>
      <c r="C371" t="str">
        <f t="shared" si="47"/>
        <v>SAM</v>
      </c>
      <c r="D371">
        <v>38</v>
      </c>
      <c r="E371" t="str">
        <f t="shared" si="46"/>
        <v>783</v>
      </c>
      <c r="F371" t="str">
        <f>"46"</f>
        <v>46</v>
      </c>
    </row>
    <row r="372" spans="1:6">
      <c r="A372" t="str">
        <f>"E1388-47"</f>
        <v>E1388-47</v>
      </c>
      <c r="B372" t="str">
        <f t="shared" si="48"/>
        <v>VIA ROBERT BADEN POWELL  13-</v>
      </c>
      <c r="C372" t="str">
        <f t="shared" si="47"/>
        <v>SAM</v>
      </c>
      <c r="D372">
        <v>38</v>
      </c>
      <c r="E372" t="str">
        <f t="shared" si="46"/>
        <v>783</v>
      </c>
      <c r="F372" t="str">
        <f>"47"</f>
        <v>47</v>
      </c>
    </row>
    <row r="373" spans="1:6">
      <c r="A373" t="str">
        <f>"E1388-48"</f>
        <v>E1388-48</v>
      </c>
      <c r="B373" t="str">
        <f t="shared" si="48"/>
        <v>VIA ROBERT BADEN POWELL  13-</v>
      </c>
      <c r="C373" t="str">
        <f t="shared" si="47"/>
        <v>SAM</v>
      </c>
      <c r="D373">
        <v>38</v>
      </c>
      <c r="E373" t="str">
        <f t="shared" si="46"/>
        <v>783</v>
      </c>
      <c r="F373" t="str">
        <f>"48"</f>
        <v>48</v>
      </c>
    </row>
    <row r="374" spans="1:6">
      <c r="A374" t="str">
        <f>"E1388-49"</f>
        <v>E1388-49</v>
      </c>
      <c r="B374" t="str">
        <f t="shared" si="48"/>
        <v>VIA ROBERT BADEN POWELL  13-</v>
      </c>
      <c r="C374" t="str">
        <f t="shared" si="47"/>
        <v>SAM</v>
      </c>
      <c r="D374">
        <v>38</v>
      </c>
      <c r="E374" t="str">
        <f t="shared" si="46"/>
        <v>783</v>
      </c>
      <c r="F374" t="str">
        <f>"49"</f>
        <v>49</v>
      </c>
    </row>
    <row r="375" spans="1:6">
      <c r="A375" t="str">
        <f>"E1388-50"</f>
        <v>E1388-50</v>
      </c>
      <c r="B375" t="str">
        <f t="shared" si="48"/>
        <v>VIA ROBERT BADEN POWELL  13-</v>
      </c>
      <c r="C375" t="str">
        <f t="shared" si="47"/>
        <v>SAM</v>
      </c>
      <c r="D375">
        <v>38</v>
      </c>
      <c r="E375" t="str">
        <f t="shared" si="46"/>
        <v>783</v>
      </c>
      <c r="F375" t="str">
        <f>"50"</f>
        <v>50</v>
      </c>
    </row>
    <row r="376" spans="1:6">
      <c r="A376" t="str">
        <f>"E1388-51"</f>
        <v>E1388-51</v>
      </c>
      <c r="B376" t="str">
        <f t="shared" si="48"/>
        <v>VIA ROBERT BADEN POWELL  13-</v>
      </c>
      <c r="C376" t="str">
        <f t="shared" si="47"/>
        <v>SAM</v>
      </c>
      <c r="D376">
        <v>38</v>
      </c>
      <c r="E376" t="str">
        <f t="shared" si="46"/>
        <v>783</v>
      </c>
      <c r="F376" t="str">
        <f>"51"</f>
        <v>51</v>
      </c>
    </row>
    <row r="377" spans="1:6">
      <c r="A377" t="str">
        <f>"E1388-53"</f>
        <v>E1388-53</v>
      </c>
      <c r="B377" t="str">
        <f t="shared" si="48"/>
        <v>VIA ROBERT BADEN POWELL  13-</v>
      </c>
      <c r="C377" t="str">
        <f t="shared" si="47"/>
        <v>SAM</v>
      </c>
      <c r="D377">
        <v>38</v>
      </c>
      <c r="E377" t="str">
        <f t="shared" si="46"/>
        <v>783</v>
      </c>
      <c r="F377" t="str">
        <f>"53"</f>
        <v>53</v>
      </c>
    </row>
    <row r="378" spans="1:6">
      <c r="A378" t="str">
        <f>"E1388-55"</f>
        <v>E1388-55</v>
      </c>
      <c r="B378" t="str">
        <f>"VIA ROBERT BADEN POWELL  15-"</f>
        <v>VIA ROBERT BADEN POWELL  15-</v>
      </c>
      <c r="C378" t="str">
        <f t="shared" si="47"/>
        <v>SAM</v>
      </c>
      <c r="D378">
        <v>38</v>
      </c>
      <c r="E378" t="str">
        <f t="shared" si="46"/>
        <v>783</v>
      </c>
      <c r="F378" t="str">
        <f>"55"</f>
        <v>55</v>
      </c>
    </row>
    <row r="379" spans="1:6">
      <c r="A379" t="str">
        <f>"E1388-56"</f>
        <v>E1388-56</v>
      </c>
      <c r="B379" t="str">
        <f>"VIA ROBERT BADEN POWELL  15-"</f>
        <v>VIA ROBERT BADEN POWELL  15-</v>
      </c>
      <c r="C379" t="str">
        <f t="shared" si="47"/>
        <v>SAM</v>
      </c>
      <c r="D379">
        <v>38</v>
      </c>
      <c r="E379" t="str">
        <f t="shared" si="46"/>
        <v>783</v>
      </c>
      <c r="F379" t="str">
        <f>"56"</f>
        <v>56</v>
      </c>
    </row>
    <row r="380" spans="1:6">
      <c r="A380" t="str">
        <f>"E1388-58"</f>
        <v>E1388-58</v>
      </c>
      <c r="B380" t="str">
        <f>"VIA ROBERT BADEN POWELL  15-"</f>
        <v>VIA ROBERT BADEN POWELL  15-</v>
      </c>
      <c r="C380" t="str">
        <f t="shared" si="47"/>
        <v>SAM</v>
      </c>
      <c r="D380">
        <v>38</v>
      </c>
      <c r="E380" t="str">
        <f t="shared" si="46"/>
        <v>783</v>
      </c>
      <c r="F380" t="str">
        <f>"58"</f>
        <v>58</v>
      </c>
    </row>
    <row r="381" spans="1:6">
      <c r="A381" t="str">
        <f>"E1388-59"</f>
        <v>E1388-59</v>
      </c>
      <c r="B381" t="str">
        <f>"VIA ROBERT BADEN POWELL  15-"</f>
        <v>VIA ROBERT BADEN POWELL  15-</v>
      </c>
      <c r="C381" t="str">
        <f t="shared" si="47"/>
        <v>SAM</v>
      </c>
      <c r="D381">
        <v>38</v>
      </c>
      <c r="E381" t="str">
        <f t="shared" ref="E381:E400" si="49">"783"</f>
        <v>783</v>
      </c>
      <c r="F381" t="str">
        <f>"59"</f>
        <v>59</v>
      </c>
    </row>
    <row r="382" spans="1:6">
      <c r="A382" t="str">
        <f>"E1388-61"</f>
        <v>E1388-61</v>
      </c>
      <c r="B382" t="str">
        <f t="shared" ref="B382:B400" si="50">"VIA ROBERT BADEN POWELL  17-"</f>
        <v>VIA ROBERT BADEN POWELL  17-</v>
      </c>
      <c r="C382" t="str">
        <f t="shared" si="47"/>
        <v>SAM</v>
      </c>
      <c r="D382">
        <v>38</v>
      </c>
      <c r="E382" t="str">
        <f t="shared" si="49"/>
        <v>783</v>
      </c>
      <c r="F382" t="str">
        <f>"61"</f>
        <v>61</v>
      </c>
    </row>
    <row r="383" spans="1:6">
      <c r="A383" t="str">
        <f>"E1388-62"</f>
        <v>E1388-62</v>
      </c>
      <c r="B383" t="str">
        <f t="shared" si="50"/>
        <v>VIA ROBERT BADEN POWELL  17-</v>
      </c>
      <c r="C383" t="str">
        <f t="shared" si="47"/>
        <v>SAM</v>
      </c>
      <c r="D383">
        <v>38</v>
      </c>
      <c r="E383" t="str">
        <f t="shared" si="49"/>
        <v>783</v>
      </c>
      <c r="F383" t="str">
        <f>"62"</f>
        <v>62</v>
      </c>
    </row>
    <row r="384" spans="1:6">
      <c r="A384" t="str">
        <f>"E1388-63"</f>
        <v>E1388-63</v>
      </c>
      <c r="B384" t="str">
        <f t="shared" si="50"/>
        <v>VIA ROBERT BADEN POWELL  17-</v>
      </c>
      <c r="C384" t="str">
        <f t="shared" si="47"/>
        <v>SAM</v>
      </c>
      <c r="D384">
        <v>38</v>
      </c>
      <c r="E384" t="str">
        <f t="shared" si="49"/>
        <v>783</v>
      </c>
      <c r="F384" t="str">
        <f>"63"</f>
        <v>63</v>
      </c>
    </row>
    <row r="385" spans="1:6">
      <c r="A385" t="str">
        <f>"E1388-64"</f>
        <v>E1388-64</v>
      </c>
      <c r="B385" t="str">
        <f t="shared" si="50"/>
        <v>VIA ROBERT BADEN POWELL  17-</v>
      </c>
      <c r="C385" t="str">
        <f t="shared" si="47"/>
        <v>SAM</v>
      </c>
      <c r="D385">
        <v>38</v>
      </c>
      <c r="E385" t="str">
        <f t="shared" si="49"/>
        <v>783</v>
      </c>
      <c r="F385" t="str">
        <f>"64"</f>
        <v>64</v>
      </c>
    </row>
    <row r="386" spans="1:6">
      <c r="A386" t="str">
        <f>"E1388-65"</f>
        <v>E1388-65</v>
      </c>
      <c r="B386" t="str">
        <f t="shared" si="50"/>
        <v>VIA ROBERT BADEN POWELL  17-</v>
      </c>
      <c r="C386" t="str">
        <f t="shared" si="47"/>
        <v>SAM</v>
      </c>
      <c r="D386">
        <v>38</v>
      </c>
      <c r="E386" t="str">
        <f t="shared" si="49"/>
        <v>783</v>
      </c>
      <c r="F386" t="str">
        <f>"65"</f>
        <v>65</v>
      </c>
    </row>
    <row r="387" spans="1:6">
      <c r="A387" t="str">
        <f>"E1388-66"</f>
        <v>E1388-66</v>
      </c>
      <c r="B387" t="str">
        <f t="shared" si="50"/>
        <v>VIA ROBERT BADEN POWELL  17-</v>
      </c>
      <c r="C387" t="str">
        <f t="shared" ref="C387:C405" si="51">"SAM"</f>
        <v>SAM</v>
      </c>
      <c r="D387">
        <v>38</v>
      </c>
      <c r="E387" t="str">
        <f t="shared" si="49"/>
        <v>783</v>
      </c>
      <c r="F387" t="str">
        <f>"66"</f>
        <v>66</v>
      </c>
    </row>
    <row r="388" spans="1:6">
      <c r="A388" t="str">
        <f>"E1388-67"</f>
        <v>E1388-67</v>
      </c>
      <c r="B388" t="str">
        <f t="shared" si="50"/>
        <v>VIA ROBERT BADEN POWELL  17-</v>
      </c>
      <c r="C388" t="str">
        <f t="shared" si="51"/>
        <v>SAM</v>
      </c>
      <c r="D388">
        <v>38</v>
      </c>
      <c r="E388" t="str">
        <f t="shared" si="49"/>
        <v>783</v>
      </c>
      <c r="F388" t="str">
        <f>"67"</f>
        <v>67</v>
      </c>
    </row>
    <row r="389" spans="1:6">
      <c r="A389" t="str">
        <f>"E1388-68"</f>
        <v>E1388-68</v>
      </c>
      <c r="B389" t="str">
        <f t="shared" si="50"/>
        <v>VIA ROBERT BADEN POWELL  17-</v>
      </c>
      <c r="C389" t="str">
        <f t="shared" si="51"/>
        <v>SAM</v>
      </c>
      <c r="D389">
        <v>38</v>
      </c>
      <c r="E389" t="str">
        <f t="shared" si="49"/>
        <v>783</v>
      </c>
      <c r="F389" t="str">
        <f>"68"</f>
        <v>68</v>
      </c>
    </row>
    <row r="390" spans="1:6">
      <c r="A390" t="str">
        <f>"E1388-69"</f>
        <v>E1388-69</v>
      </c>
      <c r="B390" t="str">
        <f t="shared" si="50"/>
        <v>VIA ROBERT BADEN POWELL  17-</v>
      </c>
      <c r="C390" t="str">
        <f t="shared" si="51"/>
        <v>SAM</v>
      </c>
      <c r="D390">
        <v>38</v>
      </c>
      <c r="E390" t="str">
        <f t="shared" si="49"/>
        <v>783</v>
      </c>
      <c r="F390" t="str">
        <f>"69"</f>
        <v>69</v>
      </c>
    </row>
    <row r="391" spans="1:6">
      <c r="A391" t="str">
        <f>"E1388-70"</f>
        <v>E1388-70</v>
      </c>
      <c r="B391" t="str">
        <f t="shared" si="50"/>
        <v>VIA ROBERT BADEN POWELL  17-</v>
      </c>
      <c r="C391" t="str">
        <f t="shared" si="51"/>
        <v>SAM</v>
      </c>
      <c r="D391">
        <v>38</v>
      </c>
      <c r="E391" t="str">
        <f t="shared" si="49"/>
        <v>783</v>
      </c>
      <c r="F391" t="str">
        <f>"70"</f>
        <v>70</v>
      </c>
    </row>
    <row r="392" spans="1:6">
      <c r="A392" t="str">
        <f>"E1388-71"</f>
        <v>E1388-71</v>
      </c>
      <c r="B392" t="str">
        <f t="shared" si="50"/>
        <v>VIA ROBERT BADEN POWELL  17-</v>
      </c>
      <c r="C392" t="str">
        <f t="shared" si="51"/>
        <v>SAM</v>
      </c>
      <c r="D392">
        <v>38</v>
      </c>
      <c r="E392" t="str">
        <f t="shared" si="49"/>
        <v>783</v>
      </c>
      <c r="F392" t="str">
        <f>"71"</f>
        <v>71</v>
      </c>
    </row>
    <row r="393" spans="1:6">
      <c r="A393" t="str">
        <f>"E1388-72"</f>
        <v>E1388-72</v>
      </c>
      <c r="B393" t="str">
        <f t="shared" si="50"/>
        <v>VIA ROBERT BADEN POWELL  17-</v>
      </c>
      <c r="C393" t="str">
        <f t="shared" si="51"/>
        <v>SAM</v>
      </c>
      <c r="D393">
        <v>38</v>
      </c>
      <c r="E393" t="str">
        <f t="shared" si="49"/>
        <v>783</v>
      </c>
      <c r="F393" t="str">
        <f>"72"</f>
        <v>72</v>
      </c>
    </row>
    <row r="394" spans="1:6">
      <c r="A394" t="str">
        <f>"E1388-73"</f>
        <v>E1388-73</v>
      </c>
      <c r="B394" t="str">
        <f t="shared" si="50"/>
        <v>VIA ROBERT BADEN POWELL  17-</v>
      </c>
      <c r="C394" t="str">
        <f t="shared" si="51"/>
        <v>SAM</v>
      </c>
      <c r="D394">
        <v>38</v>
      </c>
      <c r="E394" t="str">
        <f t="shared" si="49"/>
        <v>783</v>
      </c>
      <c r="F394" t="str">
        <f>"73"</f>
        <v>73</v>
      </c>
    </row>
    <row r="395" spans="1:6">
      <c r="A395" t="str">
        <f>"E1388-74"</f>
        <v>E1388-74</v>
      </c>
      <c r="B395" t="str">
        <f t="shared" si="50"/>
        <v>VIA ROBERT BADEN POWELL  17-</v>
      </c>
      <c r="C395" t="str">
        <f t="shared" si="51"/>
        <v>SAM</v>
      </c>
      <c r="D395">
        <v>38</v>
      </c>
      <c r="E395" t="str">
        <f t="shared" si="49"/>
        <v>783</v>
      </c>
      <c r="F395" t="str">
        <f>"74"</f>
        <v>74</v>
      </c>
    </row>
    <row r="396" spans="1:6">
      <c r="A396" t="str">
        <f>"E1388-75"</f>
        <v>E1388-75</v>
      </c>
      <c r="B396" t="str">
        <f t="shared" si="50"/>
        <v>VIA ROBERT BADEN POWELL  17-</v>
      </c>
      <c r="C396" t="str">
        <f t="shared" si="51"/>
        <v>SAM</v>
      </c>
      <c r="D396">
        <v>38</v>
      </c>
      <c r="E396" t="str">
        <f t="shared" si="49"/>
        <v>783</v>
      </c>
      <c r="F396" t="str">
        <f>"75"</f>
        <v>75</v>
      </c>
    </row>
    <row r="397" spans="1:6">
      <c r="A397" t="str">
        <f>"E1388-76"</f>
        <v>E1388-76</v>
      </c>
      <c r="B397" t="str">
        <f t="shared" si="50"/>
        <v>VIA ROBERT BADEN POWELL  17-</v>
      </c>
      <c r="C397" t="str">
        <f t="shared" si="51"/>
        <v>SAM</v>
      </c>
      <c r="D397">
        <v>38</v>
      </c>
      <c r="E397" t="str">
        <f t="shared" si="49"/>
        <v>783</v>
      </c>
      <c r="F397" t="str">
        <f>"76"</f>
        <v>76</v>
      </c>
    </row>
    <row r="398" spans="1:6">
      <c r="A398" t="str">
        <f>"E1388-77"</f>
        <v>E1388-77</v>
      </c>
      <c r="B398" t="str">
        <f t="shared" si="50"/>
        <v>VIA ROBERT BADEN POWELL  17-</v>
      </c>
      <c r="C398" t="str">
        <f t="shared" si="51"/>
        <v>SAM</v>
      </c>
      <c r="D398">
        <v>38</v>
      </c>
      <c r="E398" t="str">
        <f t="shared" si="49"/>
        <v>783</v>
      </c>
      <c r="F398" t="str">
        <f>"77"</f>
        <v>77</v>
      </c>
    </row>
    <row r="399" spans="1:6">
      <c r="A399" t="str">
        <f>"E1388-78"</f>
        <v>E1388-78</v>
      </c>
      <c r="B399" t="str">
        <f t="shared" si="50"/>
        <v>VIA ROBERT BADEN POWELL  17-</v>
      </c>
      <c r="C399" t="str">
        <f t="shared" si="51"/>
        <v>SAM</v>
      </c>
      <c r="D399">
        <v>38</v>
      </c>
      <c r="E399" t="str">
        <f t="shared" si="49"/>
        <v>783</v>
      </c>
      <c r="F399" t="str">
        <f>"78"</f>
        <v>78</v>
      </c>
    </row>
    <row r="400" spans="1:6">
      <c r="A400" t="str">
        <f>"E1388-79"</f>
        <v>E1388-79</v>
      </c>
      <c r="B400" t="str">
        <f t="shared" si="50"/>
        <v>VIA ROBERT BADEN POWELL  17-</v>
      </c>
      <c r="C400" t="str">
        <f t="shared" si="51"/>
        <v>SAM</v>
      </c>
      <c r="D400">
        <v>38</v>
      </c>
      <c r="E400" t="str">
        <f t="shared" si="49"/>
        <v>783</v>
      </c>
      <c r="F400" t="str">
        <f>"79"</f>
        <v>79</v>
      </c>
    </row>
    <row r="401" spans="1:6">
      <c r="A401" t="str">
        <f>"E1392-30"</f>
        <v>E1392-30</v>
      </c>
      <c r="B401" t="str">
        <f>"VIA GIUSEPPE SPATARO  32-"</f>
        <v>VIA GIUSEPPE SPATARO  32-</v>
      </c>
      <c r="C401" t="str">
        <f t="shared" si="51"/>
        <v>SAM</v>
      </c>
      <c r="D401">
        <v>45</v>
      </c>
      <c r="E401" t="str">
        <f>"20"</f>
        <v>20</v>
      </c>
      <c r="F401" t="str">
        <f>"19"</f>
        <v>19</v>
      </c>
    </row>
    <row r="402" spans="1:6">
      <c r="A402" t="str">
        <f>"E1392-31"</f>
        <v>E1392-31</v>
      </c>
      <c r="B402" t="str">
        <f>"VIA GIUSEPPE SPATARO  32-"</f>
        <v>VIA GIUSEPPE SPATARO  32-</v>
      </c>
      <c r="C402" t="str">
        <f t="shared" si="51"/>
        <v>SAM</v>
      </c>
      <c r="D402">
        <v>45</v>
      </c>
      <c r="E402" t="str">
        <f>"20"</f>
        <v>20</v>
      </c>
      <c r="F402" t="str">
        <f>"20"</f>
        <v>20</v>
      </c>
    </row>
    <row r="403" spans="1:6">
      <c r="A403" t="str">
        <f>"E1392-32"</f>
        <v>E1392-32</v>
      </c>
      <c r="B403" t="str">
        <f>"VIA GIUSEPPE SPATARO  32-"</f>
        <v>VIA GIUSEPPE SPATARO  32-</v>
      </c>
      <c r="C403" t="str">
        <f t="shared" si="51"/>
        <v>SAM</v>
      </c>
      <c r="D403">
        <v>45</v>
      </c>
      <c r="E403" t="str">
        <f>"20"</f>
        <v>20</v>
      </c>
      <c r="F403" t="str">
        <f>"21"</f>
        <v>21</v>
      </c>
    </row>
    <row r="404" spans="1:6">
      <c r="A404" t="str">
        <f>"E1392-33"</f>
        <v>E1392-33</v>
      </c>
      <c r="B404" t="str">
        <f>"VIA GIUSEPPE SPATARO  32-"</f>
        <v>VIA GIUSEPPE SPATARO  32-</v>
      </c>
      <c r="C404" t="str">
        <f t="shared" si="51"/>
        <v>SAM</v>
      </c>
      <c r="D404">
        <v>45</v>
      </c>
      <c r="E404" t="str">
        <f>"20"</f>
        <v>20</v>
      </c>
      <c r="F404" t="str">
        <f>"22"</f>
        <v>22</v>
      </c>
    </row>
    <row r="405" spans="1:6">
      <c r="A405" t="str">
        <f>"E1400-1"</f>
        <v>E1400-1</v>
      </c>
      <c r="B405" t="str">
        <f>"VIA TOMASO GROSSI  2-"</f>
        <v>VIA TOMASO GROSSI  2-</v>
      </c>
      <c r="C405" t="str">
        <f t="shared" si="51"/>
        <v>SAM</v>
      </c>
      <c r="D405">
        <v>45</v>
      </c>
      <c r="E405" t="str">
        <f>"386"</f>
        <v>386</v>
      </c>
      <c r="F405" t="str">
        <f>"10"</f>
        <v>10</v>
      </c>
    </row>
    <row r="406" spans="1:6">
      <c r="A406" t="str">
        <f>"E1400-2"</f>
        <v>E1400-2</v>
      </c>
      <c r="B406" t="str">
        <f>"VIA TOMASO GROSSI  2-"</f>
        <v>VIA TOMASO GROSSI  2-</v>
      </c>
      <c r="C406" t="str">
        <f t="shared" ref="C406:C419" si="52">"4"</f>
        <v>4</v>
      </c>
      <c r="D406">
        <v>42</v>
      </c>
      <c r="E406" t="str">
        <f>"25"</f>
        <v>25</v>
      </c>
      <c r="F406" t="str">
        <f t="shared" ref="F406:F419" si="53">"0000"</f>
        <v>0000</v>
      </c>
    </row>
    <row r="407" spans="1:6">
      <c r="C407" t="str">
        <f t="shared" si="52"/>
        <v>4</v>
      </c>
      <c r="D407">
        <v>42</v>
      </c>
      <c r="E407" t="str">
        <f>"32"</f>
        <v>32</v>
      </c>
      <c r="F407" t="str">
        <f t="shared" si="53"/>
        <v>0000</v>
      </c>
    </row>
    <row r="408" spans="1:6">
      <c r="C408" t="str">
        <f t="shared" si="52"/>
        <v>4</v>
      </c>
      <c r="D408">
        <v>42</v>
      </c>
      <c r="E408" t="str">
        <f>"39"</f>
        <v>39</v>
      </c>
      <c r="F408" t="str">
        <f t="shared" si="53"/>
        <v>0000</v>
      </c>
    </row>
    <row r="409" spans="1:6">
      <c r="C409" t="str">
        <f t="shared" si="52"/>
        <v>4</v>
      </c>
      <c r="D409">
        <v>42</v>
      </c>
      <c r="E409" t="str">
        <f>"40"</f>
        <v>40</v>
      </c>
      <c r="F409" t="str">
        <f t="shared" si="53"/>
        <v>0000</v>
      </c>
    </row>
    <row r="410" spans="1:6">
      <c r="C410" t="str">
        <f t="shared" si="52"/>
        <v>4</v>
      </c>
      <c r="D410">
        <v>42</v>
      </c>
      <c r="E410" t="str">
        <f>"54"</f>
        <v>54</v>
      </c>
      <c r="F410" t="str">
        <f t="shared" si="53"/>
        <v>0000</v>
      </c>
    </row>
    <row r="411" spans="1:6">
      <c r="C411" t="str">
        <f t="shared" si="52"/>
        <v>4</v>
      </c>
      <c r="D411">
        <v>42</v>
      </c>
      <c r="E411" t="str">
        <f>"33"</f>
        <v>33</v>
      </c>
      <c r="F411" t="str">
        <f t="shared" si="53"/>
        <v>0000</v>
      </c>
    </row>
    <row r="412" spans="1:6">
      <c r="C412" t="str">
        <f t="shared" si="52"/>
        <v>4</v>
      </c>
      <c r="D412">
        <v>42</v>
      </c>
      <c r="E412" t="str">
        <f>"31"</f>
        <v>31</v>
      </c>
      <c r="F412" t="str">
        <f t="shared" si="53"/>
        <v>0000</v>
      </c>
    </row>
    <row r="413" spans="1:6">
      <c r="A413" t="str">
        <f>"E1400-3"</f>
        <v>E1400-3</v>
      </c>
      <c r="B413" t="str">
        <f>"VIA TOMASO GROSSI  2-"</f>
        <v>VIA TOMASO GROSSI  2-</v>
      </c>
      <c r="C413" t="str">
        <f t="shared" si="52"/>
        <v>4</v>
      </c>
      <c r="D413">
        <v>42</v>
      </c>
      <c r="E413" t="str">
        <f>"25"</f>
        <v>25</v>
      </c>
      <c r="F413" t="str">
        <f t="shared" si="53"/>
        <v>0000</v>
      </c>
    </row>
    <row r="414" spans="1:6">
      <c r="C414" t="str">
        <f t="shared" si="52"/>
        <v>4</v>
      </c>
      <c r="D414">
        <v>42</v>
      </c>
      <c r="E414" t="str">
        <f>"54"</f>
        <v>54</v>
      </c>
      <c r="F414" t="str">
        <f t="shared" si="53"/>
        <v>0000</v>
      </c>
    </row>
    <row r="415" spans="1:6">
      <c r="C415" t="str">
        <f t="shared" si="52"/>
        <v>4</v>
      </c>
      <c r="D415">
        <v>42</v>
      </c>
      <c r="E415" t="str">
        <f>"32"</f>
        <v>32</v>
      </c>
      <c r="F415" t="str">
        <f t="shared" si="53"/>
        <v>0000</v>
      </c>
    </row>
    <row r="416" spans="1:6">
      <c r="C416" t="str">
        <f t="shared" si="52"/>
        <v>4</v>
      </c>
      <c r="D416">
        <v>42</v>
      </c>
      <c r="E416" t="str">
        <f>"33"</f>
        <v>33</v>
      </c>
      <c r="F416" t="str">
        <f t="shared" si="53"/>
        <v>0000</v>
      </c>
    </row>
    <row r="417" spans="1:6">
      <c r="C417" t="str">
        <f t="shared" si="52"/>
        <v>4</v>
      </c>
      <c r="D417">
        <v>42</v>
      </c>
      <c r="E417" t="str">
        <f>"40"</f>
        <v>40</v>
      </c>
      <c r="F417" t="str">
        <f t="shared" si="53"/>
        <v>0000</v>
      </c>
    </row>
    <row r="418" spans="1:6">
      <c r="C418" t="str">
        <f t="shared" si="52"/>
        <v>4</v>
      </c>
      <c r="D418">
        <v>42</v>
      </c>
      <c r="E418" t="str">
        <f>"39"</f>
        <v>39</v>
      </c>
      <c r="F418" t="str">
        <f t="shared" si="53"/>
        <v>0000</v>
      </c>
    </row>
    <row r="419" spans="1:6">
      <c r="C419" t="str">
        <f t="shared" si="52"/>
        <v>4</v>
      </c>
      <c r="D419">
        <v>42</v>
      </c>
      <c r="E419" t="str">
        <f>"31"</f>
        <v>31</v>
      </c>
      <c r="F419" t="str">
        <f t="shared" si="53"/>
        <v>0000</v>
      </c>
    </row>
    <row r="420" spans="1:6">
      <c r="A420" t="str">
        <f>"E1400-4"</f>
        <v>E1400-4</v>
      </c>
      <c r="B420" t="str">
        <f>"VIA TOMASO GROSSI  2-"</f>
        <v>VIA TOMASO GROSSI  2-</v>
      </c>
      <c r="C420" t="str">
        <f>"SAM"</f>
        <v>SAM</v>
      </c>
      <c r="D420">
        <v>45</v>
      </c>
      <c r="E420" t="str">
        <f>"386"</f>
        <v>386</v>
      </c>
      <c r="F420" t="str">
        <f>"9"</f>
        <v>9</v>
      </c>
    </row>
    <row r="421" spans="1:6">
      <c r="A421" t="str">
        <f>"E1401-1"</f>
        <v>E1401-1</v>
      </c>
      <c r="B421" t="str">
        <f>"VIA TOMASO GROSSI VICINO AL 4R-"</f>
        <v>VIA TOMASO GROSSI VICINO AL 4R-</v>
      </c>
      <c r="C421" t="str">
        <f>"4"</f>
        <v>4</v>
      </c>
      <c r="D421">
        <v>42</v>
      </c>
      <c r="E421" t="str">
        <f>"54"</f>
        <v>54</v>
      </c>
      <c r="F421" t="str">
        <f>"0000"</f>
        <v>0000</v>
      </c>
    </row>
    <row r="422" spans="1:6">
      <c r="A422" t="str">
        <f>"E1406-1"</f>
        <v>E1406-1</v>
      </c>
      <c r="B422" t="str">
        <f>"VIA NICOLO DASTE  8A-"</f>
        <v>VIA NICOLO DASTE  8A-</v>
      </c>
      <c r="C422" t="str">
        <f>"SAM"</f>
        <v>SAM</v>
      </c>
      <c r="D422">
        <v>41</v>
      </c>
      <c r="E422" t="str">
        <f>"405"</f>
        <v>405</v>
      </c>
      <c r="F422" t="str">
        <f>"1"</f>
        <v>1</v>
      </c>
    </row>
    <row r="423" spans="1:6">
      <c r="C423" t="str">
        <f>"SAM"</f>
        <v>SAM</v>
      </c>
      <c r="D423">
        <v>41</v>
      </c>
      <c r="E423" t="str">
        <f>"75"</f>
        <v>75</v>
      </c>
      <c r="F423" t="str">
        <f>"1"</f>
        <v>1</v>
      </c>
    </row>
    <row r="424" spans="1:6">
      <c r="C424" t="str">
        <f>"SAM"</f>
        <v>SAM</v>
      </c>
      <c r="D424">
        <v>41</v>
      </c>
      <c r="E424" t="str">
        <f>"66"</f>
        <v>66</v>
      </c>
      <c r="F424" t="str">
        <f>"1"</f>
        <v>1</v>
      </c>
    </row>
    <row r="425" spans="1:6">
      <c r="A425" t="str">
        <f>"E1406-2"</f>
        <v>E1406-2</v>
      </c>
      <c r="B425" t="str">
        <f>"VIA NICOLO DASTE  8A-"</f>
        <v>VIA NICOLO DASTE  8A-</v>
      </c>
      <c r="C425" t="str">
        <f>"SAM"</f>
        <v>SAM</v>
      </c>
      <c r="D425">
        <v>41</v>
      </c>
      <c r="E425" t="str">
        <f>"66"</f>
        <v>66</v>
      </c>
      <c r="F425" t="str">
        <f>"2"</f>
        <v>2</v>
      </c>
    </row>
    <row r="426" spans="1:6">
      <c r="A426" t="str">
        <f>"E1407-1"</f>
        <v>E1407-1</v>
      </c>
      <c r="B426" t="str">
        <f>"VIA G BALBI PIOVERA  20AR-"</f>
        <v>VIA G BALBI PIOVERA  20AR-</v>
      </c>
      <c r="C426" t="str">
        <f>"4"</f>
        <v>4</v>
      </c>
      <c r="D426">
        <v>40</v>
      </c>
      <c r="E426" t="str">
        <f t="shared" ref="E426:E440" si="54">"99999"</f>
        <v>99999</v>
      </c>
      <c r="F426" t="str">
        <f t="shared" ref="F426:F440" si="55">"0000"</f>
        <v>0000</v>
      </c>
    </row>
    <row r="427" spans="1:6">
      <c r="A427" t="str">
        <f>"E1417-1"</f>
        <v>E1417-1</v>
      </c>
      <c r="B427" t="str">
        <f>"VIA DI FRANCIA VICINO AL 7-"</f>
        <v>VIA DI FRANCIA VICINO AL 7-</v>
      </c>
      <c r="C427" t="str">
        <f>"1"</f>
        <v>1</v>
      </c>
      <c r="D427">
        <v>42</v>
      </c>
      <c r="E427" t="str">
        <f t="shared" si="54"/>
        <v>99999</v>
      </c>
      <c r="F427" t="str">
        <f t="shared" si="55"/>
        <v>0000</v>
      </c>
    </row>
    <row r="428" spans="1:6">
      <c r="A428" t="str">
        <f>"E1417-2"</f>
        <v>E1417-2</v>
      </c>
      <c r="B428" t="str">
        <f>"VIA DI FRANCIA VICINO AL 7-"</f>
        <v>VIA DI FRANCIA VICINO AL 7-</v>
      </c>
      <c r="C428" t="str">
        <f>"1"</f>
        <v>1</v>
      </c>
      <c r="D428">
        <v>42</v>
      </c>
      <c r="E428" t="str">
        <f t="shared" si="54"/>
        <v>99999</v>
      </c>
      <c r="F428" t="str">
        <f t="shared" si="55"/>
        <v>0000</v>
      </c>
    </row>
    <row r="429" spans="1:6">
      <c r="A429" t="str">
        <f>"E1418-1"</f>
        <v>E1418-1</v>
      </c>
      <c r="B429" t="str">
        <f>"VIA G.B.BOTTERI VICINO AL 3-"</f>
        <v>VIA G.B.BOTTERI VICINO AL 3-</v>
      </c>
      <c r="C429" t="str">
        <f t="shared" ref="C429:C440" si="56">"4"</f>
        <v>4</v>
      </c>
      <c r="D429">
        <v>40</v>
      </c>
      <c r="E429" t="str">
        <f t="shared" si="54"/>
        <v>99999</v>
      </c>
      <c r="F429" t="str">
        <f t="shared" si="55"/>
        <v>0000</v>
      </c>
    </row>
    <row r="430" spans="1:6">
      <c r="A430" t="str">
        <f>"E1419-1"</f>
        <v>E1419-1</v>
      </c>
      <c r="B430" t="str">
        <f>"VIA G B MONTI  94BR-"</f>
        <v>VIA G B MONTI  94BR-</v>
      </c>
      <c r="C430" t="str">
        <f t="shared" si="56"/>
        <v>4</v>
      </c>
      <c r="D430">
        <v>39</v>
      </c>
      <c r="E430" t="str">
        <f t="shared" si="54"/>
        <v>99999</v>
      </c>
      <c r="F430" t="str">
        <f t="shared" si="55"/>
        <v>0000</v>
      </c>
    </row>
    <row r="431" spans="1:6">
      <c r="A431" t="str">
        <f>"E1419-2"</f>
        <v>E1419-2</v>
      </c>
      <c r="B431" t="str">
        <f>"VIA G B MONTI  94CR-"</f>
        <v>VIA G B MONTI  94CR-</v>
      </c>
      <c r="C431" t="str">
        <f t="shared" si="56"/>
        <v>4</v>
      </c>
      <c r="D431">
        <v>39</v>
      </c>
      <c r="E431" t="str">
        <f t="shared" si="54"/>
        <v>99999</v>
      </c>
      <c r="F431" t="str">
        <f t="shared" si="55"/>
        <v>0000</v>
      </c>
    </row>
    <row r="432" spans="1:6">
      <c r="A432" t="str">
        <f>"E1419-3"</f>
        <v>E1419-3</v>
      </c>
      <c r="B432" t="str">
        <f>"VIA G B MONTI  96R-"</f>
        <v>VIA G B MONTI  96R-</v>
      </c>
      <c r="C432" t="str">
        <f t="shared" si="56"/>
        <v>4</v>
      </c>
      <c r="D432">
        <v>39</v>
      </c>
      <c r="E432" t="str">
        <f t="shared" si="54"/>
        <v>99999</v>
      </c>
      <c r="F432" t="str">
        <f t="shared" si="55"/>
        <v>0000</v>
      </c>
    </row>
    <row r="433" spans="1:6">
      <c r="A433" t="str">
        <f>"E1419-4"</f>
        <v>E1419-4</v>
      </c>
      <c r="B433" t="str">
        <f>"VIA G B MONTI  98R-"</f>
        <v>VIA G B MONTI  98R-</v>
      </c>
      <c r="C433" t="str">
        <f t="shared" si="56"/>
        <v>4</v>
      </c>
      <c r="D433">
        <v>39</v>
      </c>
      <c r="E433" t="str">
        <f t="shared" si="54"/>
        <v>99999</v>
      </c>
      <c r="F433" t="str">
        <f t="shared" si="55"/>
        <v>0000</v>
      </c>
    </row>
    <row r="434" spans="1:6">
      <c r="A434" t="str">
        <f>"E1419-5"</f>
        <v>E1419-5</v>
      </c>
      <c r="B434" t="str">
        <f>"VIA G B MONTI  100R-"</f>
        <v>VIA G B MONTI  100R-</v>
      </c>
      <c r="C434" t="str">
        <f t="shared" si="56"/>
        <v>4</v>
      </c>
      <c r="D434">
        <v>39</v>
      </c>
      <c r="E434" t="str">
        <f t="shared" si="54"/>
        <v>99999</v>
      </c>
      <c r="F434" t="str">
        <f t="shared" si="55"/>
        <v>0000</v>
      </c>
    </row>
    <row r="435" spans="1:6">
      <c r="A435" t="str">
        <f>"E1419-6"</f>
        <v>E1419-6</v>
      </c>
      <c r="B435" t="str">
        <f>"VIA G B MONTI  100AR-"</f>
        <v>VIA G B MONTI  100AR-</v>
      </c>
      <c r="C435" t="str">
        <f t="shared" si="56"/>
        <v>4</v>
      </c>
      <c r="D435">
        <v>39</v>
      </c>
      <c r="E435" t="str">
        <f t="shared" si="54"/>
        <v>99999</v>
      </c>
      <c r="F435" t="str">
        <f t="shared" si="55"/>
        <v>0000</v>
      </c>
    </row>
    <row r="436" spans="1:6">
      <c r="A436" t="str">
        <f>"E1419-7"</f>
        <v>E1419-7</v>
      </c>
      <c r="B436" t="str">
        <f>"VIA G B MONTI  100BR-"</f>
        <v>VIA G B MONTI  100BR-</v>
      </c>
      <c r="C436" t="str">
        <f t="shared" si="56"/>
        <v>4</v>
      </c>
      <c r="D436">
        <v>39</v>
      </c>
      <c r="E436" t="str">
        <f t="shared" si="54"/>
        <v>99999</v>
      </c>
      <c r="F436" t="str">
        <f t="shared" si="55"/>
        <v>0000</v>
      </c>
    </row>
    <row r="437" spans="1:6">
      <c r="A437" t="str">
        <f>"E1423-1"</f>
        <v>E1423-1</v>
      </c>
      <c r="B437" t="str">
        <f>"SCALINATA CESARE BECCARIA VICINO AL 6-"</f>
        <v>SCALINATA CESARE BECCARIA VICINO AL 6-</v>
      </c>
      <c r="C437" t="str">
        <f t="shared" si="56"/>
        <v>4</v>
      </c>
      <c r="D437">
        <v>40</v>
      </c>
      <c r="E437" t="str">
        <f t="shared" si="54"/>
        <v>99999</v>
      </c>
      <c r="F437" t="str">
        <f t="shared" si="55"/>
        <v>0000</v>
      </c>
    </row>
    <row r="438" spans="1:6">
      <c r="A438" t="str">
        <f>"E1423-2"</f>
        <v>E1423-2</v>
      </c>
      <c r="B438" t="str">
        <f>"SCALINATA CESARE BECCARIA VICINO AL 6-"</f>
        <v>SCALINATA CESARE BECCARIA VICINO AL 6-</v>
      </c>
      <c r="C438" t="str">
        <f t="shared" si="56"/>
        <v>4</v>
      </c>
      <c r="D438">
        <v>40</v>
      </c>
      <c r="E438" t="str">
        <f t="shared" si="54"/>
        <v>99999</v>
      </c>
      <c r="F438" t="str">
        <f t="shared" si="55"/>
        <v>0000</v>
      </c>
    </row>
    <row r="439" spans="1:6">
      <c r="A439" t="str">
        <f>"E1423-3"</f>
        <v>E1423-3</v>
      </c>
      <c r="B439" t="str">
        <f>"SCALINATA CESARE BECCARIA VICINO AL 6-"</f>
        <v>SCALINATA CESARE BECCARIA VICINO AL 6-</v>
      </c>
      <c r="C439" t="str">
        <f t="shared" si="56"/>
        <v>4</v>
      </c>
      <c r="D439">
        <v>40</v>
      </c>
      <c r="E439" t="str">
        <f t="shared" si="54"/>
        <v>99999</v>
      </c>
      <c r="F439" t="str">
        <f t="shared" si="55"/>
        <v>0000</v>
      </c>
    </row>
    <row r="440" spans="1:6">
      <c r="A440" t="str">
        <f>"E1423-4"</f>
        <v>E1423-4</v>
      </c>
      <c r="B440" t="str">
        <f>"SCALINATA CESARE BECCARIA VICINO AL 6-"</f>
        <v>SCALINATA CESARE BECCARIA VICINO AL 6-</v>
      </c>
      <c r="C440" t="str">
        <f t="shared" si="56"/>
        <v>4</v>
      </c>
      <c r="D440">
        <v>40</v>
      </c>
      <c r="E440" t="str">
        <f t="shared" si="54"/>
        <v>99999</v>
      </c>
      <c r="F440" t="str">
        <f t="shared" si="55"/>
        <v>0000</v>
      </c>
    </row>
    <row r="441" spans="1:6">
      <c r="A441" t="str">
        <f>"E1426-6"</f>
        <v>E1426-6</v>
      </c>
      <c r="B441" t="str">
        <f>"VIA BOLOGNA  14-"</f>
        <v>VIA BOLOGNA  14-</v>
      </c>
      <c r="C441" t="str">
        <f>"GEC"</f>
        <v>GEC</v>
      </c>
      <c r="D441">
        <v>14</v>
      </c>
      <c r="E441" t="str">
        <f>"1204"</f>
        <v>1204</v>
      </c>
      <c r="F441" t="str">
        <f>"8"</f>
        <v>8</v>
      </c>
    </row>
    <row r="442" spans="1:6">
      <c r="A442" t="str">
        <f>"E1426-50"</f>
        <v>E1426-50</v>
      </c>
      <c r="B442" t="str">
        <f>"VIA BOLOGNA  14-"</f>
        <v>VIA BOLOGNA  14-</v>
      </c>
      <c r="C442" t="str">
        <f>"GEC"</f>
        <v>GEC</v>
      </c>
      <c r="D442">
        <v>14</v>
      </c>
      <c r="E442" t="str">
        <f>"1204"</f>
        <v>1204</v>
      </c>
      <c r="F442" t="str">
        <f>"52"</f>
        <v>52</v>
      </c>
    </row>
    <row r="443" spans="1:6">
      <c r="A443" t="str">
        <f>"E1426-54"</f>
        <v>E1426-54</v>
      </c>
      <c r="B443" t="str">
        <f>"VIA BOLOGNA  16-"</f>
        <v>VIA BOLOGNA  16-</v>
      </c>
      <c r="C443" t="str">
        <f>"GEC"</f>
        <v>GEC</v>
      </c>
      <c r="D443">
        <v>14</v>
      </c>
      <c r="E443" t="str">
        <f>"1204"</f>
        <v>1204</v>
      </c>
      <c r="F443" t="str">
        <f>"62"</f>
        <v>62</v>
      </c>
    </row>
    <row r="444" spans="1:6">
      <c r="A444" t="str">
        <f>"E1432-1"</f>
        <v>E1432-1</v>
      </c>
      <c r="B444" t="str">
        <f>"VIA G B CARPANETO  36R-"</f>
        <v>VIA G B CARPANETO  36R-</v>
      </c>
      <c r="C444" t="str">
        <f>"4"</f>
        <v>4</v>
      </c>
      <c r="D444">
        <v>40</v>
      </c>
      <c r="E444" t="str">
        <f>"99999"</f>
        <v>99999</v>
      </c>
      <c r="F444" t="str">
        <f>"0000"</f>
        <v>0000</v>
      </c>
    </row>
    <row r="445" spans="1:6">
      <c r="A445" t="str">
        <f>"E1446-2"</f>
        <v>E1446-2</v>
      </c>
      <c r="B445" t="str">
        <f>"VIA PAGANO DORIA  12-"</f>
        <v>VIA PAGANO DORIA  12-</v>
      </c>
      <c r="C445" t="str">
        <f>"GEC"</f>
        <v>GEC</v>
      </c>
      <c r="D445">
        <v>15</v>
      </c>
      <c r="E445" t="str">
        <f>"734"</f>
        <v>734</v>
      </c>
      <c r="F445" t="str">
        <f>"0000"</f>
        <v>0000</v>
      </c>
    </row>
    <row r="446" spans="1:6">
      <c r="A446" t="str">
        <f>"E1450-1"</f>
        <v>E1450-1</v>
      </c>
      <c r="B446" t="str">
        <f>"PIAZZA DINEGRO VICINO AL 5-"</f>
        <v>PIAZZA DINEGRO VICINO AL 5-</v>
      </c>
      <c r="C446" t="str">
        <f>"GEA"</f>
        <v>GEA</v>
      </c>
      <c r="D446">
        <v>74</v>
      </c>
      <c r="E446" t="str">
        <f>"47"</f>
        <v>47</v>
      </c>
      <c r="F446" t="str">
        <f>"2"</f>
        <v>2</v>
      </c>
    </row>
    <row r="447" spans="1:6">
      <c r="A447" t="str">
        <f>"E1453-1"</f>
        <v>E1453-1</v>
      </c>
      <c r="B447" t="str">
        <f>"PIAZZA DINEGRO VICINO AL 5-"</f>
        <v>PIAZZA DINEGRO VICINO AL 5-</v>
      </c>
      <c r="C447" t="str">
        <f>"1"</f>
        <v>1</v>
      </c>
      <c r="D447">
        <v>43</v>
      </c>
      <c r="E447" t="str">
        <f>"48"</f>
        <v>48</v>
      </c>
      <c r="F447" t="str">
        <f t="shared" ref="F447:F452" si="57">"0000"</f>
        <v>0000</v>
      </c>
    </row>
    <row r="448" spans="1:6">
      <c r="A448" t="str">
        <f>"E1458-1"</f>
        <v>E1458-1</v>
      </c>
      <c r="B448" t="str">
        <f>"VIA G B MONTI  135R-"</f>
        <v>VIA G B MONTI  135R-</v>
      </c>
      <c r="C448" t="str">
        <f>"4"</f>
        <v>4</v>
      </c>
      <c r="D448">
        <v>39</v>
      </c>
      <c r="E448" t="str">
        <f>"99999"</f>
        <v>99999</v>
      </c>
      <c r="F448" t="str">
        <f t="shared" si="57"/>
        <v>0000</v>
      </c>
    </row>
    <row r="449" spans="1:6">
      <c r="A449" t="str">
        <f>"E1458-2"</f>
        <v>E1458-2</v>
      </c>
      <c r="B449" t="str">
        <f>"VIA G B MONTI  137R-"</f>
        <v>VIA G B MONTI  137R-</v>
      </c>
      <c r="C449" t="str">
        <f>"4"</f>
        <v>4</v>
      </c>
      <c r="D449">
        <v>39</v>
      </c>
      <c r="E449" t="str">
        <f>"99999"</f>
        <v>99999</v>
      </c>
      <c r="F449" t="str">
        <f t="shared" si="57"/>
        <v>0000</v>
      </c>
    </row>
    <row r="450" spans="1:6">
      <c r="A450" t="str">
        <f>"E1458-3"</f>
        <v>E1458-3</v>
      </c>
      <c r="B450" t="str">
        <f>"VIA G B MONTI  139R-"</f>
        <v>VIA G B MONTI  139R-</v>
      </c>
      <c r="C450" t="str">
        <f>"4"</f>
        <v>4</v>
      </c>
      <c r="D450">
        <v>39</v>
      </c>
      <c r="E450" t="str">
        <f>"99999"</f>
        <v>99999</v>
      </c>
      <c r="F450" t="str">
        <f t="shared" si="57"/>
        <v>0000</v>
      </c>
    </row>
    <row r="451" spans="1:6">
      <c r="A451" t="str">
        <f>"E1458-4"</f>
        <v>E1458-4</v>
      </c>
      <c r="B451" t="str">
        <f>"VIA G B MONTI  141R-"</f>
        <v>VIA G B MONTI  141R-</v>
      </c>
      <c r="C451" t="str">
        <f>"4"</f>
        <v>4</v>
      </c>
      <c r="D451">
        <v>39</v>
      </c>
      <c r="E451" t="str">
        <f>"99999"</f>
        <v>99999</v>
      </c>
      <c r="F451" t="str">
        <f t="shared" si="57"/>
        <v>0000</v>
      </c>
    </row>
    <row r="452" spans="1:6">
      <c r="A452" t="str">
        <f>"E1458-5"</f>
        <v>E1458-5</v>
      </c>
      <c r="B452" t="str">
        <f>"VIA G B MONTI  143R-"</f>
        <v>VIA G B MONTI  143R-</v>
      </c>
      <c r="C452" t="str">
        <f>"4"</f>
        <v>4</v>
      </c>
      <c r="D452">
        <v>39</v>
      </c>
      <c r="E452" t="str">
        <f>"99999"</f>
        <v>99999</v>
      </c>
      <c r="F452" t="str">
        <f t="shared" si="57"/>
        <v>0000</v>
      </c>
    </row>
    <row r="453" spans="1:6">
      <c r="A453" t="str">
        <f>"E1467-8"</f>
        <v>E1467-8</v>
      </c>
      <c r="B453" t="str">
        <f>"VIA BOLOGNA  22-"</f>
        <v>VIA BOLOGNA  22-</v>
      </c>
      <c r="C453" t="str">
        <f t="shared" ref="C453:C472" si="58">"GEC"</f>
        <v>GEC</v>
      </c>
      <c r="D453">
        <v>14</v>
      </c>
      <c r="E453" t="str">
        <f>"31"</f>
        <v>31</v>
      </c>
      <c r="F453" t="str">
        <f>"9"</f>
        <v>9</v>
      </c>
    </row>
    <row r="454" spans="1:6">
      <c r="A454" t="str">
        <f>"E1467-48"</f>
        <v>E1467-48</v>
      </c>
      <c r="B454" t="str">
        <f>"VIA BOLOGNA  24-"</f>
        <v>VIA BOLOGNA  24-</v>
      </c>
      <c r="C454" t="str">
        <f t="shared" si="58"/>
        <v>GEC</v>
      </c>
      <c r="D454">
        <v>14</v>
      </c>
      <c r="E454" t="str">
        <f>"31"</f>
        <v>31</v>
      </c>
      <c r="F454" t="str">
        <f>"49"</f>
        <v>49</v>
      </c>
    </row>
    <row r="455" spans="1:6">
      <c r="A455" t="str">
        <f>"E1468-9"</f>
        <v>E1468-9</v>
      </c>
      <c r="B455" t="str">
        <f t="shared" ref="B455:B459" si="59">"VIA BOLOGNA  5-"</f>
        <v>VIA BOLOGNA  5-</v>
      </c>
      <c r="C455" t="str">
        <f t="shared" si="58"/>
        <v>GEC</v>
      </c>
      <c r="D455">
        <v>14</v>
      </c>
      <c r="E455" t="str">
        <f>"55"</f>
        <v>55</v>
      </c>
      <c r="F455" t="str">
        <f>"10"</f>
        <v>10</v>
      </c>
    </row>
    <row r="456" spans="1:6">
      <c r="A456" t="str">
        <f>"E1468-10"</f>
        <v>E1468-10</v>
      </c>
      <c r="B456" t="str">
        <f t="shared" si="59"/>
        <v>VIA BOLOGNA  5-</v>
      </c>
      <c r="C456" t="str">
        <f t="shared" si="58"/>
        <v>GEC</v>
      </c>
      <c r="D456">
        <v>14</v>
      </c>
      <c r="E456" t="str">
        <f>"55"</f>
        <v>55</v>
      </c>
      <c r="F456" t="str">
        <f>"11"</f>
        <v>11</v>
      </c>
    </row>
    <row r="457" spans="1:6">
      <c r="A457" t="str">
        <f>"E1468-11"</f>
        <v>E1468-11</v>
      </c>
      <c r="B457" t="str">
        <f t="shared" si="59"/>
        <v>VIA BOLOGNA  5-</v>
      </c>
      <c r="C457" t="str">
        <f t="shared" si="58"/>
        <v>GEC</v>
      </c>
      <c r="D457">
        <v>14</v>
      </c>
      <c r="E457" t="str">
        <f>"55"</f>
        <v>55</v>
      </c>
      <c r="F457" t="str">
        <f>"12"</f>
        <v>12</v>
      </c>
    </row>
    <row r="458" spans="1:6">
      <c r="A458" t="str">
        <f>"E1468-16"</f>
        <v>E1468-16</v>
      </c>
      <c r="B458" t="str">
        <f t="shared" si="59"/>
        <v>VIA BOLOGNA  5-</v>
      </c>
      <c r="C458" t="str">
        <f t="shared" si="58"/>
        <v>GEC</v>
      </c>
      <c r="D458">
        <v>14</v>
      </c>
      <c r="E458" t="str">
        <f>"55"</f>
        <v>55</v>
      </c>
      <c r="F458" t="str">
        <f>"17"</f>
        <v>17</v>
      </c>
    </row>
    <row r="459" spans="1:6">
      <c r="A459" t="str">
        <f>"E1468-21"</f>
        <v>E1468-21</v>
      </c>
      <c r="B459" t="str">
        <f t="shared" si="59"/>
        <v>VIA BOLOGNA  5-</v>
      </c>
      <c r="C459" t="str">
        <f t="shared" si="58"/>
        <v>GEC</v>
      </c>
      <c r="D459">
        <v>14</v>
      </c>
      <c r="E459" t="str">
        <f>"55"</f>
        <v>55</v>
      </c>
      <c r="F459" t="str">
        <f>"22"</f>
        <v>22</v>
      </c>
    </row>
    <row r="460" spans="1:6">
      <c r="C460" t="str">
        <f t="shared" si="58"/>
        <v>GEC</v>
      </c>
      <c r="D460">
        <v>14</v>
      </c>
      <c r="E460" t="str">
        <f>"57"</f>
        <v>57</v>
      </c>
      <c r="F460" t="str">
        <f>"0000"</f>
        <v>0000</v>
      </c>
    </row>
    <row r="461" spans="1:6">
      <c r="A461" t="str">
        <f>"E1468-37"</f>
        <v>E1468-37</v>
      </c>
      <c r="B461" t="str">
        <f>"VIA BOLOGNA  1R-"</f>
        <v>VIA BOLOGNA  1R-</v>
      </c>
      <c r="C461" t="str">
        <f t="shared" si="58"/>
        <v>GEC</v>
      </c>
      <c r="D461">
        <v>14</v>
      </c>
      <c r="E461" t="str">
        <f>"55"</f>
        <v>55</v>
      </c>
      <c r="F461" t="str">
        <f>"1"</f>
        <v>1</v>
      </c>
    </row>
    <row r="462" spans="1:6">
      <c r="A462" t="str">
        <f>"E1470-3"</f>
        <v>E1470-3</v>
      </c>
      <c r="B462" t="str">
        <f>"VIA BOLOGNA  9-"</f>
        <v>VIA BOLOGNA  9-</v>
      </c>
      <c r="C462" t="str">
        <f t="shared" si="58"/>
        <v>GEC</v>
      </c>
      <c r="D462">
        <v>14</v>
      </c>
      <c r="E462" t="str">
        <f>"78"</f>
        <v>78</v>
      </c>
      <c r="F462" t="str">
        <f>"4"</f>
        <v>4</v>
      </c>
    </row>
    <row r="463" spans="1:6">
      <c r="A463" t="str">
        <f>"E1470-19"</f>
        <v>E1470-19</v>
      </c>
      <c r="B463" t="str">
        <f>"VIA BOLOGNA  9-"</f>
        <v>VIA BOLOGNA  9-</v>
      </c>
      <c r="C463" t="str">
        <f t="shared" si="58"/>
        <v>GEC</v>
      </c>
      <c r="D463">
        <v>14</v>
      </c>
      <c r="E463" t="str">
        <f>"78"</f>
        <v>78</v>
      </c>
      <c r="F463" t="str">
        <f>"20"</f>
        <v>20</v>
      </c>
    </row>
    <row r="464" spans="1:6">
      <c r="A464" t="str">
        <f>"E1473-11"</f>
        <v>E1473-11</v>
      </c>
      <c r="B464" t="str">
        <f>"VIA CARLO GIORDANA  2-"</f>
        <v>VIA CARLO GIORDANA  2-</v>
      </c>
      <c r="C464" t="str">
        <f t="shared" si="58"/>
        <v>GEC</v>
      </c>
      <c r="D464">
        <v>14</v>
      </c>
      <c r="E464" t="str">
        <f>"67"</f>
        <v>67</v>
      </c>
      <c r="F464" t="str">
        <f>"12"</f>
        <v>12</v>
      </c>
    </row>
    <row r="465" spans="1:6">
      <c r="A465" t="str">
        <f>"E1473-31"</f>
        <v>E1473-31</v>
      </c>
      <c r="B465" t="str">
        <f>"VIA CARLO GIORDANA  2R-"</f>
        <v>VIA CARLO GIORDANA  2R-</v>
      </c>
      <c r="C465" t="str">
        <f t="shared" si="58"/>
        <v>GEC</v>
      </c>
      <c r="D465">
        <v>14</v>
      </c>
      <c r="E465" t="str">
        <f>"67"</f>
        <v>67</v>
      </c>
      <c r="F465" t="str">
        <f>"1"</f>
        <v>1</v>
      </c>
    </row>
    <row r="466" spans="1:6">
      <c r="A466" t="str">
        <f>"E1474-6"</f>
        <v>E1474-6</v>
      </c>
      <c r="B466" t="str">
        <f>"VIA CARLO GIORDANA  4-"</f>
        <v>VIA CARLO GIORDANA  4-</v>
      </c>
      <c r="C466" t="str">
        <f t="shared" si="58"/>
        <v>GEC</v>
      </c>
      <c r="D466">
        <v>14</v>
      </c>
      <c r="E466" t="str">
        <f>"72"</f>
        <v>72</v>
      </c>
      <c r="F466" t="str">
        <f>"7"</f>
        <v>7</v>
      </c>
    </row>
    <row r="467" spans="1:6">
      <c r="A467" t="str">
        <f>"E1474-31"</f>
        <v>E1474-31</v>
      </c>
      <c r="B467" t="str">
        <f>"VIA CARLO GIORDANA  4R-"</f>
        <v>VIA CARLO GIORDANA  4R-</v>
      </c>
      <c r="C467" t="str">
        <f t="shared" si="58"/>
        <v>GEC</v>
      </c>
      <c r="D467">
        <v>14</v>
      </c>
      <c r="E467" t="str">
        <f>"72"</f>
        <v>72</v>
      </c>
      <c r="F467" t="str">
        <f>"1"</f>
        <v>1</v>
      </c>
    </row>
    <row r="468" spans="1:6">
      <c r="A468" t="str">
        <f>"E1477-10"</f>
        <v>E1477-10</v>
      </c>
      <c r="B468" t="str">
        <f>"PIAZZALE I. PESTARINO  1-"</f>
        <v>PIAZZALE I. PESTARINO  1-</v>
      </c>
      <c r="C468" t="str">
        <f t="shared" si="58"/>
        <v>GEC</v>
      </c>
      <c r="D468">
        <v>14</v>
      </c>
      <c r="E468" t="str">
        <f>"100"</f>
        <v>100</v>
      </c>
      <c r="F468" t="str">
        <f>"14"</f>
        <v>14</v>
      </c>
    </row>
    <row r="469" spans="1:6">
      <c r="A469" t="str">
        <f>"E1478-1"</f>
        <v>E1478-1</v>
      </c>
      <c r="B469" t="str">
        <f>"PIAZZALE I. PESTARINO  2-"</f>
        <v>PIAZZALE I. PESTARINO  2-</v>
      </c>
      <c r="C469" t="str">
        <f t="shared" si="58"/>
        <v>GEC</v>
      </c>
      <c r="D469">
        <v>14</v>
      </c>
      <c r="E469" t="str">
        <f>"96"</f>
        <v>96</v>
      </c>
      <c r="F469" t="str">
        <f>"3"</f>
        <v>3</v>
      </c>
    </row>
    <row r="470" spans="1:6">
      <c r="A470" t="str">
        <f>"E1479-15"</f>
        <v>E1479-15</v>
      </c>
      <c r="B470" t="str">
        <f>"PIAZZALE I. PESTARINO  3-"</f>
        <v>PIAZZALE I. PESTARINO  3-</v>
      </c>
      <c r="C470" t="str">
        <f t="shared" si="58"/>
        <v>GEC</v>
      </c>
      <c r="D470">
        <v>14</v>
      </c>
      <c r="E470" t="str">
        <f>"77"</f>
        <v>77</v>
      </c>
      <c r="F470" t="str">
        <f>"39"</f>
        <v>39</v>
      </c>
    </row>
    <row r="471" spans="1:6">
      <c r="A471" t="str">
        <f>"E1480-2"</f>
        <v>E1480-2</v>
      </c>
      <c r="B471" t="str">
        <f>"PIAZZALE I. PESTARINO  4-"</f>
        <v>PIAZZALE I. PESTARINO  4-</v>
      </c>
      <c r="C471" t="str">
        <f t="shared" si="58"/>
        <v>GEC</v>
      </c>
      <c r="D471">
        <v>14</v>
      </c>
      <c r="E471" t="str">
        <f>"73"</f>
        <v>73</v>
      </c>
      <c r="F471" t="str">
        <f>"3"</f>
        <v>3</v>
      </c>
    </row>
    <row r="472" spans="1:6">
      <c r="A472" t="str">
        <f>"E1481-7"</f>
        <v>E1481-7</v>
      </c>
      <c r="B472" t="str">
        <f>"VIA BOLOGNA  54-"</f>
        <v>VIA BOLOGNA  54-</v>
      </c>
      <c r="C472" t="str">
        <f t="shared" si="58"/>
        <v>GEC</v>
      </c>
      <c r="D472">
        <v>10</v>
      </c>
      <c r="E472" t="str">
        <f>"295"</f>
        <v>295</v>
      </c>
      <c r="F472" t="str">
        <f>"7"</f>
        <v>7</v>
      </c>
    </row>
    <row r="473" spans="1:6">
      <c r="A473" t="str">
        <f>"E1517-1"</f>
        <v>E1517-1</v>
      </c>
      <c r="B473" t="str">
        <f>"VIA BOLOGNA  6A-"</f>
        <v>VIA BOLOGNA  6A-</v>
      </c>
      <c r="C473" t="str">
        <f>"1"</f>
        <v>1</v>
      </c>
      <c r="D473">
        <v>28</v>
      </c>
      <c r="E473" t="str">
        <f>"110"</f>
        <v>110</v>
      </c>
      <c r="F473" t="str">
        <f>"0000"</f>
        <v>0000</v>
      </c>
    </row>
    <row r="474" spans="1:6">
      <c r="C474" t="str">
        <f>"1"</f>
        <v>1</v>
      </c>
      <c r="D474">
        <v>28</v>
      </c>
      <c r="E474" t="str">
        <f>"564"</f>
        <v>564</v>
      </c>
      <c r="F474" t="str">
        <f>"0000"</f>
        <v>0000</v>
      </c>
    </row>
    <row r="475" spans="1:6">
      <c r="A475" t="str">
        <f>"E1518-14"</f>
        <v>E1518-14</v>
      </c>
      <c r="B475" t="str">
        <f>"VIA BOLOGNA  4A-"</f>
        <v>VIA BOLOGNA  4A-</v>
      </c>
      <c r="C475" t="str">
        <f>"GEC"</f>
        <v>GEC</v>
      </c>
      <c r="D475">
        <v>14</v>
      </c>
      <c r="E475" t="str">
        <f>"296"</f>
        <v>296</v>
      </c>
      <c r="F475" t="str">
        <f>"14"</f>
        <v>14</v>
      </c>
    </row>
    <row r="476" spans="1:6">
      <c r="A476" t="str">
        <f>"E1520-6"</f>
        <v>E1520-6</v>
      </c>
      <c r="B476" t="str">
        <f>"PIAZZA RAFFAELE SOPRANIS  5-"</f>
        <v>PIAZZA RAFFAELE SOPRANIS  5-</v>
      </c>
      <c r="C476" t="str">
        <f>"GEC"</f>
        <v>GEC</v>
      </c>
      <c r="D476">
        <v>14</v>
      </c>
      <c r="E476" t="str">
        <f>"337"</f>
        <v>337</v>
      </c>
      <c r="F476" t="str">
        <f>"6"</f>
        <v>6</v>
      </c>
    </row>
    <row r="477" spans="1:6">
      <c r="A477" t="str">
        <f>"E1520-7"</f>
        <v>E1520-7</v>
      </c>
      <c r="B477" t="str">
        <f>"VIA DIGIONE VICINO AL 1-"</f>
        <v>VIA DIGIONE VICINO AL 1-</v>
      </c>
      <c r="C477" t="str">
        <f>"1"</f>
        <v>1</v>
      </c>
      <c r="D477">
        <v>28</v>
      </c>
      <c r="E477" t="str">
        <f>"170"</f>
        <v>170</v>
      </c>
      <c r="F477" t="str">
        <f>"0000"</f>
        <v>0000</v>
      </c>
    </row>
    <row r="478" spans="1:6">
      <c r="A478" t="str">
        <f>"E1521-1"</f>
        <v>E1521-1</v>
      </c>
      <c r="B478" t="str">
        <f>"VIA BOLOGNA  110AR-"</f>
        <v>VIA BOLOGNA  110AR-</v>
      </c>
      <c r="C478" t="str">
        <f>"1"</f>
        <v>1</v>
      </c>
      <c r="D478">
        <v>29</v>
      </c>
      <c r="E478" t="str">
        <f>"345"</f>
        <v>345</v>
      </c>
      <c r="F478" t="str">
        <f>"0000"</f>
        <v>0000</v>
      </c>
    </row>
    <row r="479" spans="1:6">
      <c r="A479" t="str">
        <f>"E1570-1"</f>
        <v>E1570-1</v>
      </c>
      <c r="B479" t="str">
        <f>"VIA ASILO D.D.GARBARINO  17-"</f>
        <v>VIA ASILO D.D.GARBARINO  17-</v>
      </c>
      <c r="C479" t="str">
        <f>"GEC"</f>
        <v>GEC</v>
      </c>
      <c r="D479">
        <v>15</v>
      </c>
      <c r="E479" t="str">
        <f>"132"</f>
        <v>132</v>
      </c>
      <c r="F479" t="str">
        <f>"0000"</f>
        <v>0000</v>
      </c>
    </row>
    <row r="480" spans="1:6">
      <c r="A480" t="str">
        <f>"E1570-2"</f>
        <v>E1570-2</v>
      </c>
      <c r="B480" t="str">
        <f>"VIA ASILO D.D.GARBARINO  17-"</f>
        <v>VIA ASILO D.D.GARBARINO  17-</v>
      </c>
      <c r="C480" t="str">
        <f>"GEC"</f>
        <v>GEC</v>
      </c>
      <c r="D480">
        <v>15</v>
      </c>
      <c r="E480" t="str">
        <f>"134"</f>
        <v>134</v>
      </c>
      <c r="F480" t="str">
        <f>"2"</f>
        <v>2</v>
      </c>
    </row>
    <row r="481" spans="1:6">
      <c r="A481" t="str">
        <f>"E1574-1"</f>
        <v>E1574-1</v>
      </c>
      <c r="B481" t="str">
        <f>"VIA BOLOGNA  86-"</f>
        <v>VIA BOLOGNA  86-</v>
      </c>
      <c r="C481" t="str">
        <f t="shared" ref="C481:C490" si="60">"1"</f>
        <v>1</v>
      </c>
      <c r="D481">
        <v>29</v>
      </c>
      <c r="E481" t="str">
        <f>"143"</f>
        <v>143</v>
      </c>
      <c r="F481" t="str">
        <f t="shared" ref="F481:F492" si="61">"0000"</f>
        <v>0000</v>
      </c>
    </row>
    <row r="482" spans="1:6">
      <c r="A482" t="str">
        <f>"E1576-1"</f>
        <v>E1576-1</v>
      </c>
      <c r="B482" t="str">
        <f>"VIA SAN MARINO  219-"</f>
        <v>VIA SAN MARINO  219-</v>
      </c>
      <c r="C482" t="str">
        <f t="shared" si="60"/>
        <v>1</v>
      </c>
      <c r="D482">
        <v>11</v>
      </c>
      <c r="E482" t="str">
        <f>"120"</f>
        <v>120</v>
      </c>
      <c r="F482" t="str">
        <f t="shared" si="61"/>
        <v>0000</v>
      </c>
    </row>
    <row r="483" spans="1:6">
      <c r="C483" t="str">
        <f t="shared" si="60"/>
        <v>1</v>
      </c>
      <c r="D483">
        <v>11</v>
      </c>
      <c r="E483" t="str">
        <f>"53"</f>
        <v>53</v>
      </c>
      <c r="F483" t="str">
        <f t="shared" si="61"/>
        <v>0000</v>
      </c>
    </row>
    <row r="484" spans="1:6">
      <c r="C484" t="str">
        <f t="shared" si="60"/>
        <v>1</v>
      </c>
      <c r="D484">
        <v>11</v>
      </c>
      <c r="E484" t="str">
        <f>"57"</f>
        <v>57</v>
      </c>
      <c r="F484" t="str">
        <f t="shared" si="61"/>
        <v>0000</v>
      </c>
    </row>
    <row r="485" spans="1:6">
      <c r="C485" t="str">
        <f t="shared" si="60"/>
        <v>1</v>
      </c>
      <c r="D485">
        <v>11</v>
      </c>
      <c r="E485" t="str">
        <f>"99999"</f>
        <v>99999</v>
      </c>
      <c r="F485" t="str">
        <f t="shared" si="61"/>
        <v>0000</v>
      </c>
    </row>
    <row r="486" spans="1:6">
      <c r="C486" t="str">
        <f t="shared" si="60"/>
        <v>1</v>
      </c>
      <c r="D486">
        <v>11</v>
      </c>
      <c r="E486" t="str">
        <f>"59"</f>
        <v>59</v>
      </c>
      <c r="F486" t="str">
        <f t="shared" si="61"/>
        <v>0000</v>
      </c>
    </row>
    <row r="487" spans="1:6">
      <c r="C487" t="str">
        <f t="shared" si="60"/>
        <v>1</v>
      </c>
      <c r="D487">
        <v>11</v>
      </c>
      <c r="E487" t="str">
        <f>"56"</f>
        <v>56</v>
      </c>
      <c r="F487" t="str">
        <f t="shared" si="61"/>
        <v>0000</v>
      </c>
    </row>
    <row r="488" spans="1:6">
      <c r="C488" t="str">
        <f t="shared" si="60"/>
        <v>1</v>
      </c>
      <c r="D488">
        <v>11</v>
      </c>
      <c r="E488" t="str">
        <f>"466"</f>
        <v>466</v>
      </c>
      <c r="F488" t="str">
        <f t="shared" si="61"/>
        <v>0000</v>
      </c>
    </row>
    <row r="489" spans="1:6">
      <c r="C489" t="str">
        <f t="shared" si="60"/>
        <v>1</v>
      </c>
      <c r="D489">
        <v>11</v>
      </c>
      <c r="E489" t="str">
        <f>"123"</f>
        <v>123</v>
      </c>
      <c r="F489" t="str">
        <f t="shared" si="61"/>
        <v>0000</v>
      </c>
    </row>
    <row r="490" spans="1:6">
      <c r="C490" t="str">
        <f t="shared" si="60"/>
        <v>1</v>
      </c>
      <c r="D490">
        <v>11</v>
      </c>
      <c r="E490" t="str">
        <f>"465"</f>
        <v>465</v>
      </c>
      <c r="F490" t="str">
        <f t="shared" si="61"/>
        <v>0000</v>
      </c>
    </row>
    <row r="491" spans="1:6">
      <c r="A491" t="str">
        <f>"E1577-1"</f>
        <v>E1577-1</v>
      </c>
      <c r="B491" t="str">
        <f>"VIA ASILO D.D.GARBARINO  1-"</f>
        <v>VIA ASILO D.D.GARBARINO  1-</v>
      </c>
      <c r="C491" t="str">
        <f>"GEC"</f>
        <v>GEC</v>
      </c>
      <c r="D491">
        <v>15</v>
      </c>
      <c r="E491" t="str">
        <f>"331"</f>
        <v>331</v>
      </c>
      <c r="F491" t="str">
        <f t="shared" si="61"/>
        <v>0000</v>
      </c>
    </row>
    <row r="492" spans="1:6">
      <c r="A492" t="str">
        <f>"E1577-2"</f>
        <v>E1577-2</v>
      </c>
      <c r="B492" t="str">
        <f>"VIA ASILO D.D.GARBARINO  1-"</f>
        <v>VIA ASILO D.D.GARBARINO  1-</v>
      </c>
      <c r="C492" t="str">
        <f>"1"</f>
        <v>1</v>
      </c>
      <c r="D492">
        <v>30</v>
      </c>
      <c r="E492" t="str">
        <f>"238"</f>
        <v>238</v>
      </c>
      <c r="F492" t="str">
        <f t="shared" si="61"/>
        <v>0000</v>
      </c>
    </row>
    <row r="493" spans="1:6">
      <c r="A493" t="str">
        <f>"E1578-1"</f>
        <v>E1578-1</v>
      </c>
      <c r="B493" t="str">
        <f t="shared" ref="B493:B518" si="62">"VIA LUGO  4-"</f>
        <v>VIA LUGO  4-</v>
      </c>
      <c r="C493" t="str">
        <f t="shared" ref="C493:C524" si="63">"GEC"</f>
        <v>GEC</v>
      </c>
      <c r="D493">
        <v>10</v>
      </c>
      <c r="E493" t="str">
        <f t="shared" ref="E493:E524" si="64">"294"</f>
        <v>294</v>
      </c>
      <c r="F493" t="str">
        <f>"366"</f>
        <v>366</v>
      </c>
    </row>
    <row r="494" spans="1:6">
      <c r="A494" t="str">
        <f>"E1578-2"</f>
        <v>E1578-2</v>
      </c>
      <c r="B494" t="str">
        <f t="shared" si="62"/>
        <v>VIA LUGO  4-</v>
      </c>
      <c r="C494" t="str">
        <f t="shared" si="63"/>
        <v>GEC</v>
      </c>
      <c r="D494">
        <v>10</v>
      </c>
      <c r="E494" t="str">
        <f t="shared" si="64"/>
        <v>294</v>
      </c>
      <c r="F494" t="str">
        <f>"367"</f>
        <v>367</v>
      </c>
    </row>
    <row r="495" spans="1:6">
      <c r="A495" t="str">
        <f>"E1578-3"</f>
        <v>E1578-3</v>
      </c>
      <c r="B495" t="str">
        <f t="shared" si="62"/>
        <v>VIA LUGO  4-</v>
      </c>
      <c r="C495" t="str">
        <f t="shared" si="63"/>
        <v>GEC</v>
      </c>
      <c r="D495">
        <v>10</v>
      </c>
      <c r="E495" t="str">
        <f t="shared" si="64"/>
        <v>294</v>
      </c>
      <c r="F495" t="str">
        <f>"368"</f>
        <v>368</v>
      </c>
    </row>
    <row r="496" spans="1:6">
      <c r="A496" t="str">
        <f>"E1578-4"</f>
        <v>E1578-4</v>
      </c>
      <c r="B496" t="str">
        <f t="shared" si="62"/>
        <v>VIA LUGO  4-</v>
      </c>
      <c r="C496" t="str">
        <f t="shared" si="63"/>
        <v>GEC</v>
      </c>
      <c r="D496">
        <v>10</v>
      </c>
      <c r="E496" t="str">
        <f t="shared" si="64"/>
        <v>294</v>
      </c>
      <c r="F496" t="str">
        <f>"371"</f>
        <v>371</v>
      </c>
    </row>
    <row r="497" spans="1:6">
      <c r="A497" t="str">
        <f>"E1578-5"</f>
        <v>E1578-5</v>
      </c>
      <c r="B497" t="str">
        <f t="shared" si="62"/>
        <v>VIA LUGO  4-</v>
      </c>
      <c r="C497" t="str">
        <f t="shared" si="63"/>
        <v>GEC</v>
      </c>
      <c r="D497">
        <v>10</v>
      </c>
      <c r="E497" t="str">
        <f t="shared" si="64"/>
        <v>294</v>
      </c>
      <c r="F497" t="str">
        <f>"370"</f>
        <v>370</v>
      </c>
    </row>
    <row r="498" spans="1:6">
      <c r="A498" t="str">
        <f>"E1578-6"</f>
        <v>E1578-6</v>
      </c>
      <c r="B498" t="str">
        <f t="shared" si="62"/>
        <v>VIA LUGO  4-</v>
      </c>
      <c r="C498" t="str">
        <f t="shared" si="63"/>
        <v>GEC</v>
      </c>
      <c r="D498">
        <v>10</v>
      </c>
      <c r="E498" t="str">
        <f t="shared" si="64"/>
        <v>294</v>
      </c>
      <c r="F498" t="str">
        <f>"369"</f>
        <v>369</v>
      </c>
    </row>
    <row r="499" spans="1:6">
      <c r="A499" t="str">
        <f>"E1578-7"</f>
        <v>E1578-7</v>
      </c>
      <c r="B499" t="str">
        <f t="shared" si="62"/>
        <v>VIA LUGO  4-</v>
      </c>
      <c r="C499" t="str">
        <f t="shared" si="63"/>
        <v>GEC</v>
      </c>
      <c r="D499">
        <v>10</v>
      </c>
      <c r="E499" t="str">
        <f t="shared" si="64"/>
        <v>294</v>
      </c>
      <c r="F499" t="str">
        <f>"372"</f>
        <v>372</v>
      </c>
    </row>
    <row r="500" spans="1:6">
      <c r="A500" t="str">
        <f>"E1578-8"</f>
        <v>E1578-8</v>
      </c>
      <c r="B500" t="str">
        <f t="shared" si="62"/>
        <v>VIA LUGO  4-</v>
      </c>
      <c r="C500" t="str">
        <f t="shared" si="63"/>
        <v>GEC</v>
      </c>
      <c r="D500">
        <v>10</v>
      </c>
      <c r="E500" t="str">
        <f t="shared" si="64"/>
        <v>294</v>
      </c>
      <c r="F500" t="str">
        <f>"373"</f>
        <v>373</v>
      </c>
    </row>
    <row r="501" spans="1:6">
      <c r="A501" t="str">
        <f>"E1578-9"</f>
        <v>E1578-9</v>
      </c>
      <c r="B501" t="str">
        <f t="shared" si="62"/>
        <v>VIA LUGO  4-</v>
      </c>
      <c r="C501" t="str">
        <f t="shared" si="63"/>
        <v>GEC</v>
      </c>
      <c r="D501">
        <v>10</v>
      </c>
      <c r="E501" t="str">
        <f t="shared" si="64"/>
        <v>294</v>
      </c>
      <c r="F501" t="str">
        <f>"259"</f>
        <v>259</v>
      </c>
    </row>
    <row r="502" spans="1:6">
      <c r="A502" t="str">
        <f>"E1578-10"</f>
        <v>E1578-10</v>
      </c>
      <c r="B502" t="str">
        <f t="shared" si="62"/>
        <v>VIA LUGO  4-</v>
      </c>
      <c r="C502" t="str">
        <f t="shared" si="63"/>
        <v>GEC</v>
      </c>
      <c r="D502">
        <v>10</v>
      </c>
      <c r="E502" t="str">
        <f t="shared" si="64"/>
        <v>294</v>
      </c>
      <c r="F502" t="str">
        <f>"260"</f>
        <v>260</v>
      </c>
    </row>
    <row r="503" spans="1:6">
      <c r="A503" t="str">
        <f>"E1578-11"</f>
        <v>E1578-11</v>
      </c>
      <c r="B503" t="str">
        <f t="shared" si="62"/>
        <v>VIA LUGO  4-</v>
      </c>
      <c r="C503" t="str">
        <f t="shared" si="63"/>
        <v>GEC</v>
      </c>
      <c r="D503">
        <v>10</v>
      </c>
      <c r="E503" t="str">
        <f t="shared" si="64"/>
        <v>294</v>
      </c>
      <c r="F503" t="str">
        <f>"261"</f>
        <v>261</v>
      </c>
    </row>
    <row r="504" spans="1:6">
      <c r="A504" t="str">
        <f>"E1578-12"</f>
        <v>E1578-12</v>
      </c>
      <c r="B504" t="str">
        <f t="shared" si="62"/>
        <v>VIA LUGO  4-</v>
      </c>
      <c r="C504" t="str">
        <f t="shared" si="63"/>
        <v>GEC</v>
      </c>
      <c r="D504">
        <v>10</v>
      </c>
      <c r="E504" t="str">
        <f t="shared" si="64"/>
        <v>294</v>
      </c>
      <c r="F504" t="str">
        <f>"262"</f>
        <v>262</v>
      </c>
    </row>
    <row r="505" spans="1:6">
      <c r="A505" t="str">
        <f>"E1578-13"</f>
        <v>E1578-13</v>
      </c>
      <c r="B505" t="str">
        <f t="shared" si="62"/>
        <v>VIA LUGO  4-</v>
      </c>
      <c r="C505" t="str">
        <f t="shared" si="63"/>
        <v>GEC</v>
      </c>
      <c r="D505">
        <v>10</v>
      </c>
      <c r="E505" t="str">
        <f t="shared" si="64"/>
        <v>294</v>
      </c>
      <c r="F505" t="str">
        <f>"263"</f>
        <v>263</v>
      </c>
    </row>
    <row r="506" spans="1:6">
      <c r="A506" t="str">
        <f>"E1578-14"</f>
        <v>E1578-14</v>
      </c>
      <c r="B506" t="str">
        <f t="shared" si="62"/>
        <v>VIA LUGO  4-</v>
      </c>
      <c r="C506" t="str">
        <f t="shared" si="63"/>
        <v>GEC</v>
      </c>
      <c r="D506">
        <v>10</v>
      </c>
      <c r="E506" t="str">
        <f t="shared" si="64"/>
        <v>294</v>
      </c>
      <c r="F506" t="str">
        <f>"264"</f>
        <v>264</v>
      </c>
    </row>
    <row r="507" spans="1:6">
      <c r="A507" t="str">
        <f>"E1578-15"</f>
        <v>E1578-15</v>
      </c>
      <c r="B507" t="str">
        <f t="shared" si="62"/>
        <v>VIA LUGO  4-</v>
      </c>
      <c r="C507" t="str">
        <f t="shared" si="63"/>
        <v>GEC</v>
      </c>
      <c r="D507">
        <v>10</v>
      </c>
      <c r="E507" t="str">
        <f t="shared" si="64"/>
        <v>294</v>
      </c>
      <c r="F507" t="str">
        <f>"265"</f>
        <v>265</v>
      </c>
    </row>
    <row r="508" spans="1:6">
      <c r="A508" t="str">
        <f>"E1578-16"</f>
        <v>E1578-16</v>
      </c>
      <c r="B508" t="str">
        <f t="shared" si="62"/>
        <v>VIA LUGO  4-</v>
      </c>
      <c r="C508" t="str">
        <f t="shared" si="63"/>
        <v>GEC</v>
      </c>
      <c r="D508">
        <v>10</v>
      </c>
      <c r="E508" t="str">
        <f t="shared" si="64"/>
        <v>294</v>
      </c>
      <c r="F508" t="str">
        <f>"266"</f>
        <v>266</v>
      </c>
    </row>
    <row r="509" spans="1:6">
      <c r="A509" t="str">
        <f>"E1578-17"</f>
        <v>E1578-17</v>
      </c>
      <c r="B509" t="str">
        <f t="shared" si="62"/>
        <v>VIA LUGO  4-</v>
      </c>
      <c r="C509" t="str">
        <f t="shared" si="63"/>
        <v>GEC</v>
      </c>
      <c r="D509">
        <v>10</v>
      </c>
      <c r="E509" t="str">
        <f t="shared" si="64"/>
        <v>294</v>
      </c>
      <c r="F509" t="str">
        <f>"374"</f>
        <v>374</v>
      </c>
    </row>
    <row r="510" spans="1:6">
      <c r="A510" t="str">
        <f>"E1578-18"</f>
        <v>E1578-18</v>
      </c>
      <c r="B510" t="str">
        <f t="shared" si="62"/>
        <v>VIA LUGO  4-</v>
      </c>
      <c r="C510" t="str">
        <f t="shared" si="63"/>
        <v>GEC</v>
      </c>
      <c r="D510">
        <v>10</v>
      </c>
      <c r="E510" t="str">
        <f t="shared" si="64"/>
        <v>294</v>
      </c>
      <c r="F510" t="str">
        <f>"267"</f>
        <v>267</v>
      </c>
    </row>
    <row r="511" spans="1:6">
      <c r="A511" t="str">
        <f>"E1578-19"</f>
        <v>E1578-19</v>
      </c>
      <c r="B511" t="str">
        <f t="shared" si="62"/>
        <v>VIA LUGO  4-</v>
      </c>
      <c r="C511" t="str">
        <f t="shared" si="63"/>
        <v>GEC</v>
      </c>
      <c r="D511">
        <v>10</v>
      </c>
      <c r="E511" t="str">
        <f t="shared" si="64"/>
        <v>294</v>
      </c>
      <c r="F511" t="str">
        <f>"375"</f>
        <v>375</v>
      </c>
    </row>
    <row r="512" spans="1:6">
      <c r="A512" t="str">
        <f>"E1578-20"</f>
        <v>E1578-20</v>
      </c>
      <c r="B512" t="str">
        <f t="shared" si="62"/>
        <v>VIA LUGO  4-</v>
      </c>
      <c r="C512" t="str">
        <f t="shared" si="63"/>
        <v>GEC</v>
      </c>
      <c r="D512">
        <v>10</v>
      </c>
      <c r="E512" t="str">
        <f t="shared" si="64"/>
        <v>294</v>
      </c>
      <c r="F512" t="str">
        <f>"376"</f>
        <v>376</v>
      </c>
    </row>
    <row r="513" spans="1:6">
      <c r="A513" t="str">
        <f>"E1578-21"</f>
        <v>E1578-21</v>
      </c>
      <c r="B513" t="str">
        <f t="shared" si="62"/>
        <v>VIA LUGO  4-</v>
      </c>
      <c r="C513" t="str">
        <f t="shared" si="63"/>
        <v>GEC</v>
      </c>
      <c r="D513">
        <v>10</v>
      </c>
      <c r="E513" t="str">
        <f t="shared" si="64"/>
        <v>294</v>
      </c>
      <c r="F513" t="str">
        <f>"408"</f>
        <v>408</v>
      </c>
    </row>
    <row r="514" spans="1:6">
      <c r="A514" t="str">
        <f>"E1578-22"</f>
        <v>E1578-22</v>
      </c>
      <c r="B514" t="str">
        <f t="shared" si="62"/>
        <v>VIA LUGO  4-</v>
      </c>
      <c r="C514" t="str">
        <f t="shared" si="63"/>
        <v>GEC</v>
      </c>
      <c r="D514">
        <v>10</v>
      </c>
      <c r="E514" t="str">
        <f t="shared" si="64"/>
        <v>294</v>
      </c>
      <c r="F514" t="str">
        <f>"377"</f>
        <v>377</v>
      </c>
    </row>
    <row r="515" spans="1:6">
      <c r="A515" t="str">
        <f>"E1578-23"</f>
        <v>E1578-23</v>
      </c>
      <c r="B515" t="str">
        <f t="shared" si="62"/>
        <v>VIA LUGO  4-</v>
      </c>
      <c r="C515" t="str">
        <f t="shared" si="63"/>
        <v>GEC</v>
      </c>
      <c r="D515">
        <v>10</v>
      </c>
      <c r="E515" t="str">
        <f t="shared" si="64"/>
        <v>294</v>
      </c>
      <c r="F515" t="str">
        <f>"409"</f>
        <v>409</v>
      </c>
    </row>
    <row r="516" spans="1:6">
      <c r="A516" t="str">
        <f>"E1578-24"</f>
        <v>E1578-24</v>
      </c>
      <c r="B516" t="str">
        <f t="shared" si="62"/>
        <v>VIA LUGO  4-</v>
      </c>
      <c r="C516" t="str">
        <f t="shared" si="63"/>
        <v>GEC</v>
      </c>
      <c r="D516">
        <v>10</v>
      </c>
      <c r="E516" t="str">
        <f t="shared" si="64"/>
        <v>294</v>
      </c>
      <c r="F516" t="str">
        <f>"410"</f>
        <v>410</v>
      </c>
    </row>
    <row r="517" spans="1:6">
      <c r="A517" t="str">
        <f>"E1578-25"</f>
        <v>E1578-25</v>
      </c>
      <c r="B517" t="str">
        <f t="shared" si="62"/>
        <v>VIA LUGO  4-</v>
      </c>
      <c r="C517" t="str">
        <f t="shared" si="63"/>
        <v>GEC</v>
      </c>
      <c r="D517">
        <v>10</v>
      </c>
      <c r="E517" t="str">
        <f t="shared" si="64"/>
        <v>294</v>
      </c>
      <c r="F517" t="str">
        <f>"411"</f>
        <v>411</v>
      </c>
    </row>
    <row r="518" spans="1:6">
      <c r="A518" t="str">
        <f>"E1578-26"</f>
        <v>E1578-26</v>
      </c>
      <c r="B518" t="str">
        <f t="shared" si="62"/>
        <v>VIA LUGO  4-</v>
      </c>
      <c r="C518" t="str">
        <f t="shared" si="63"/>
        <v>GEC</v>
      </c>
      <c r="D518">
        <v>10</v>
      </c>
      <c r="E518" t="str">
        <f t="shared" si="64"/>
        <v>294</v>
      </c>
      <c r="F518" t="str">
        <f>"412"</f>
        <v>412</v>
      </c>
    </row>
    <row r="519" spans="1:6">
      <c r="A519" t="str">
        <f>"E1578-27"</f>
        <v>E1578-27</v>
      </c>
      <c r="B519" t="str">
        <f t="shared" ref="B519:B545" si="65">"VIA LUGO  8-"</f>
        <v>VIA LUGO  8-</v>
      </c>
      <c r="C519" t="str">
        <f t="shared" si="63"/>
        <v>GEC</v>
      </c>
      <c r="D519">
        <v>10</v>
      </c>
      <c r="E519" t="str">
        <f t="shared" si="64"/>
        <v>294</v>
      </c>
      <c r="F519" t="str">
        <f>"413"</f>
        <v>413</v>
      </c>
    </row>
    <row r="520" spans="1:6">
      <c r="A520" t="str">
        <f>"E1578-28"</f>
        <v>E1578-28</v>
      </c>
      <c r="B520" t="str">
        <f t="shared" si="65"/>
        <v>VIA LUGO  8-</v>
      </c>
      <c r="C520" t="str">
        <f t="shared" si="63"/>
        <v>GEC</v>
      </c>
      <c r="D520">
        <v>10</v>
      </c>
      <c r="E520" t="str">
        <f t="shared" si="64"/>
        <v>294</v>
      </c>
      <c r="F520" t="str">
        <f>"414"</f>
        <v>414</v>
      </c>
    </row>
    <row r="521" spans="1:6">
      <c r="A521" t="str">
        <f>"E1578-29"</f>
        <v>E1578-29</v>
      </c>
      <c r="B521" t="str">
        <f t="shared" si="65"/>
        <v>VIA LUGO  8-</v>
      </c>
      <c r="C521" t="str">
        <f t="shared" si="63"/>
        <v>GEC</v>
      </c>
      <c r="D521">
        <v>10</v>
      </c>
      <c r="E521" t="str">
        <f t="shared" si="64"/>
        <v>294</v>
      </c>
      <c r="F521" t="str">
        <f>"415"</f>
        <v>415</v>
      </c>
    </row>
    <row r="522" spans="1:6">
      <c r="A522" t="str">
        <f>"E1578-30"</f>
        <v>E1578-30</v>
      </c>
      <c r="B522" t="str">
        <f t="shared" si="65"/>
        <v>VIA LUGO  8-</v>
      </c>
      <c r="C522" t="str">
        <f t="shared" si="63"/>
        <v>GEC</v>
      </c>
      <c r="D522">
        <v>10</v>
      </c>
      <c r="E522" t="str">
        <f t="shared" si="64"/>
        <v>294</v>
      </c>
      <c r="F522" t="str">
        <f>"310"</f>
        <v>310</v>
      </c>
    </row>
    <row r="523" spans="1:6">
      <c r="A523" t="str">
        <f>"E1578-31"</f>
        <v>E1578-31</v>
      </c>
      <c r="B523" t="str">
        <f t="shared" si="65"/>
        <v>VIA LUGO  8-</v>
      </c>
      <c r="C523" t="str">
        <f t="shared" si="63"/>
        <v>GEC</v>
      </c>
      <c r="D523">
        <v>10</v>
      </c>
      <c r="E523" t="str">
        <f t="shared" si="64"/>
        <v>294</v>
      </c>
      <c r="F523" t="str">
        <f>"311"</f>
        <v>311</v>
      </c>
    </row>
    <row r="524" spans="1:6">
      <c r="A524" t="str">
        <f>"E1578-32"</f>
        <v>E1578-32</v>
      </c>
      <c r="B524" t="str">
        <f t="shared" si="65"/>
        <v>VIA LUGO  8-</v>
      </c>
      <c r="C524" t="str">
        <f t="shared" si="63"/>
        <v>GEC</v>
      </c>
      <c r="D524">
        <v>10</v>
      </c>
      <c r="E524" t="str">
        <f t="shared" si="64"/>
        <v>294</v>
      </c>
      <c r="F524" t="str">
        <f>"312"</f>
        <v>312</v>
      </c>
    </row>
    <row r="525" spans="1:6">
      <c r="A525" t="str">
        <f>"E1578-33"</f>
        <v>E1578-33</v>
      </c>
      <c r="B525" t="str">
        <f t="shared" si="65"/>
        <v>VIA LUGO  8-</v>
      </c>
      <c r="C525" t="str">
        <f t="shared" ref="C525:C546" si="66">"GEC"</f>
        <v>GEC</v>
      </c>
      <c r="D525">
        <v>10</v>
      </c>
      <c r="E525" t="str">
        <f t="shared" ref="E525:E546" si="67">"294"</f>
        <v>294</v>
      </c>
      <c r="F525" t="str">
        <f>"313"</f>
        <v>313</v>
      </c>
    </row>
    <row r="526" spans="1:6">
      <c r="A526" t="str">
        <f>"E1578-34"</f>
        <v>E1578-34</v>
      </c>
      <c r="B526" t="str">
        <f t="shared" si="65"/>
        <v>VIA LUGO  8-</v>
      </c>
      <c r="C526" t="str">
        <f t="shared" si="66"/>
        <v>GEC</v>
      </c>
      <c r="D526">
        <v>10</v>
      </c>
      <c r="E526" t="str">
        <f t="shared" si="67"/>
        <v>294</v>
      </c>
      <c r="F526" t="str">
        <f>"314"</f>
        <v>314</v>
      </c>
    </row>
    <row r="527" spans="1:6">
      <c r="A527" t="str">
        <f>"E1578-35"</f>
        <v>E1578-35</v>
      </c>
      <c r="B527" t="str">
        <f t="shared" si="65"/>
        <v>VIA LUGO  8-</v>
      </c>
      <c r="C527" t="str">
        <f t="shared" si="66"/>
        <v>GEC</v>
      </c>
      <c r="D527">
        <v>10</v>
      </c>
      <c r="E527" t="str">
        <f t="shared" si="67"/>
        <v>294</v>
      </c>
      <c r="F527" t="str">
        <f>"315"</f>
        <v>315</v>
      </c>
    </row>
    <row r="528" spans="1:6">
      <c r="A528" t="str">
        <f>"E1578-36"</f>
        <v>E1578-36</v>
      </c>
      <c r="B528" t="str">
        <f t="shared" si="65"/>
        <v>VIA LUGO  8-</v>
      </c>
      <c r="C528" t="str">
        <f t="shared" si="66"/>
        <v>GEC</v>
      </c>
      <c r="D528">
        <v>10</v>
      </c>
      <c r="E528" t="str">
        <f t="shared" si="67"/>
        <v>294</v>
      </c>
      <c r="F528" t="str">
        <f>"316"</f>
        <v>316</v>
      </c>
    </row>
    <row r="529" spans="1:6">
      <c r="A529" t="str">
        <f>"E1578-37"</f>
        <v>E1578-37</v>
      </c>
      <c r="B529" t="str">
        <f t="shared" si="65"/>
        <v>VIA LUGO  8-</v>
      </c>
      <c r="C529" t="str">
        <f t="shared" si="66"/>
        <v>GEC</v>
      </c>
      <c r="D529">
        <v>10</v>
      </c>
      <c r="E529" t="str">
        <f t="shared" si="67"/>
        <v>294</v>
      </c>
      <c r="F529" t="str">
        <f>"317"</f>
        <v>317</v>
      </c>
    </row>
    <row r="530" spans="1:6">
      <c r="A530" t="str">
        <f>"E1578-38"</f>
        <v>E1578-38</v>
      </c>
      <c r="B530" t="str">
        <f t="shared" si="65"/>
        <v>VIA LUGO  8-</v>
      </c>
      <c r="C530" t="str">
        <f t="shared" si="66"/>
        <v>GEC</v>
      </c>
      <c r="D530">
        <v>10</v>
      </c>
      <c r="E530" t="str">
        <f t="shared" si="67"/>
        <v>294</v>
      </c>
      <c r="F530" t="str">
        <f>"306"</f>
        <v>306</v>
      </c>
    </row>
    <row r="531" spans="1:6">
      <c r="A531" t="str">
        <f>"E1578-39"</f>
        <v>E1578-39</v>
      </c>
      <c r="B531" t="str">
        <f t="shared" si="65"/>
        <v>VIA LUGO  8-</v>
      </c>
      <c r="C531" t="str">
        <f t="shared" si="66"/>
        <v>GEC</v>
      </c>
      <c r="D531">
        <v>10</v>
      </c>
      <c r="E531" t="str">
        <f t="shared" si="67"/>
        <v>294</v>
      </c>
      <c r="F531" t="str">
        <f>"307"</f>
        <v>307</v>
      </c>
    </row>
    <row r="532" spans="1:6">
      <c r="A532" t="str">
        <f>"E1578-40"</f>
        <v>E1578-40</v>
      </c>
      <c r="B532" t="str">
        <f t="shared" si="65"/>
        <v>VIA LUGO  8-</v>
      </c>
      <c r="C532" t="str">
        <f t="shared" si="66"/>
        <v>GEC</v>
      </c>
      <c r="D532">
        <v>10</v>
      </c>
      <c r="E532" t="str">
        <f t="shared" si="67"/>
        <v>294</v>
      </c>
      <c r="F532" t="str">
        <f>"308"</f>
        <v>308</v>
      </c>
    </row>
    <row r="533" spans="1:6">
      <c r="A533" t="str">
        <f>"E1578-41"</f>
        <v>E1578-41</v>
      </c>
      <c r="B533" t="str">
        <f t="shared" si="65"/>
        <v>VIA LUGO  8-</v>
      </c>
      <c r="C533" t="str">
        <f t="shared" si="66"/>
        <v>GEC</v>
      </c>
      <c r="D533">
        <v>10</v>
      </c>
      <c r="E533" t="str">
        <f t="shared" si="67"/>
        <v>294</v>
      </c>
      <c r="F533" t="str">
        <f>"309"</f>
        <v>309</v>
      </c>
    </row>
    <row r="534" spans="1:6">
      <c r="A534" t="str">
        <f>"E1578-42"</f>
        <v>E1578-42</v>
      </c>
      <c r="B534" t="str">
        <f t="shared" si="65"/>
        <v>VIA LUGO  8-</v>
      </c>
      <c r="C534" t="str">
        <f t="shared" si="66"/>
        <v>GEC</v>
      </c>
      <c r="D534">
        <v>10</v>
      </c>
      <c r="E534" t="str">
        <f t="shared" si="67"/>
        <v>294</v>
      </c>
      <c r="F534" t="str">
        <f>"298"</f>
        <v>298</v>
      </c>
    </row>
    <row r="535" spans="1:6">
      <c r="A535" t="str">
        <f>"E1578-43"</f>
        <v>E1578-43</v>
      </c>
      <c r="B535" t="str">
        <f t="shared" si="65"/>
        <v>VIA LUGO  8-</v>
      </c>
      <c r="C535" t="str">
        <f t="shared" si="66"/>
        <v>GEC</v>
      </c>
      <c r="D535">
        <v>10</v>
      </c>
      <c r="E535" t="str">
        <f t="shared" si="67"/>
        <v>294</v>
      </c>
      <c r="F535" t="str">
        <f>"299"</f>
        <v>299</v>
      </c>
    </row>
    <row r="536" spans="1:6">
      <c r="A536" t="str">
        <f>"E1578-44"</f>
        <v>E1578-44</v>
      </c>
      <c r="B536" t="str">
        <f t="shared" si="65"/>
        <v>VIA LUGO  8-</v>
      </c>
      <c r="C536" t="str">
        <f t="shared" si="66"/>
        <v>GEC</v>
      </c>
      <c r="D536">
        <v>10</v>
      </c>
      <c r="E536" t="str">
        <f t="shared" si="67"/>
        <v>294</v>
      </c>
      <c r="F536" t="str">
        <f>"300"</f>
        <v>300</v>
      </c>
    </row>
    <row r="537" spans="1:6">
      <c r="A537" t="str">
        <f>"E1578-45"</f>
        <v>E1578-45</v>
      </c>
      <c r="B537" t="str">
        <f t="shared" si="65"/>
        <v>VIA LUGO  8-</v>
      </c>
      <c r="C537" t="str">
        <f t="shared" si="66"/>
        <v>GEC</v>
      </c>
      <c r="D537">
        <v>10</v>
      </c>
      <c r="E537" t="str">
        <f t="shared" si="67"/>
        <v>294</v>
      </c>
      <c r="F537" t="str">
        <f>"301"</f>
        <v>301</v>
      </c>
    </row>
    <row r="538" spans="1:6">
      <c r="A538" t="str">
        <f>"E1578-46"</f>
        <v>E1578-46</v>
      </c>
      <c r="B538" t="str">
        <f t="shared" si="65"/>
        <v>VIA LUGO  8-</v>
      </c>
      <c r="C538" t="str">
        <f t="shared" si="66"/>
        <v>GEC</v>
      </c>
      <c r="D538">
        <v>10</v>
      </c>
      <c r="E538" t="str">
        <f t="shared" si="67"/>
        <v>294</v>
      </c>
      <c r="F538" t="str">
        <f>"294"</f>
        <v>294</v>
      </c>
    </row>
    <row r="539" spans="1:6">
      <c r="A539" t="str">
        <f>"E1578-47"</f>
        <v>E1578-47</v>
      </c>
      <c r="B539" t="str">
        <f t="shared" si="65"/>
        <v>VIA LUGO  8-</v>
      </c>
      <c r="C539" t="str">
        <f t="shared" si="66"/>
        <v>GEC</v>
      </c>
      <c r="D539">
        <v>10</v>
      </c>
      <c r="E539" t="str">
        <f t="shared" si="67"/>
        <v>294</v>
      </c>
      <c r="F539" t="str">
        <f>"295"</f>
        <v>295</v>
      </c>
    </row>
    <row r="540" spans="1:6">
      <c r="A540" t="str">
        <f>"E1578-48"</f>
        <v>E1578-48</v>
      </c>
      <c r="B540" t="str">
        <f t="shared" si="65"/>
        <v>VIA LUGO  8-</v>
      </c>
      <c r="C540" t="str">
        <f t="shared" si="66"/>
        <v>GEC</v>
      </c>
      <c r="D540">
        <v>10</v>
      </c>
      <c r="E540" t="str">
        <f t="shared" si="67"/>
        <v>294</v>
      </c>
      <c r="F540" t="str">
        <f>"296"</f>
        <v>296</v>
      </c>
    </row>
    <row r="541" spans="1:6">
      <c r="A541" t="str">
        <f>"E1578-49"</f>
        <v>E1578-49</v>
      </c>
      <c r="B541" t="str">
        <f t="shared" si="65"/>
        <v>VIA LUGO  8-</v>
      </c>
      <c r="C541" t="str">
        <f t="shared" si="66"/>
        <v>GEC</v>
      </c>
      <c r="D541">
        <v>10</v>
      </c>
      <c r="E541" t="str">
        <f t="shared" si="67"/>
        <v>294</v>
      </c>
      <c r="F541" t="str">
        <f>"297"</f>
        <v>297</v>
      </c>
    </row>
    <row r="542" spans="1:6">
      <c r="A542" t="str">
        <f>"E1578-50"</f>
        <v>E1578-50</v>
      </c>
      <c r="B542" t="str">
        <f t="shared" si="65"/>
        <v>VIA LUGO  8-</v>
      </c>
      <c r="C542" t="str">
        <f t="shared" si="66"/>
        <v>GEC</v>
      </c>
      <c r="D542">
        <v>10</v>
      </c>
      <c r="E542" t="str">
        <f t="shared" si="67"/>
        <v>294</v>
      </c>
      <c r="F542" t="str">
        <f>"302"</f>
        <v>302</v>
      </c>
    </row>
    <row r="543" spans="1:6">
      <c r="A543" t="str">
        <f>"E1578-51"</f>
        <v>E1578-51</v>
      </c>
      <c r="B543" t="str">
        <f t="shared" si="65"/>
        <v>VIA LUGO  8-</v>
      </c>
      <c r="C543" t="str">
        <f t="shared" si="66"/>
        <v>GEC</v>
      </c>
      <c r="D543">
        <v>10</v>
      </c>
      <c r="E543" t="str">
        <f t="shared" si="67"/>
        <v>294</v>
      </c>
      <c r="F543" t="str">
        <f>"303"</f>
        <v>303</v>
      </c>
    </row>
    <row r="544" spans="1:6">
      <c r="A544" t="str">
        <f>"E1578-52"</f>
        <v>E1578-52</v>
      </c>
      <c r="B544" t="str">
        <f t="shared" si="65"/>
        <v>VIA LUGO  8-</v>
      </c>
      <c r="C544" t="str">
        <f t="shared" si="66"/>
        <v>GEC</v>
      </c>
      <c r="D544">
        <v>10</v>
      </c>
      <c r="E544" t="str">
        <f t="shared" si="67"/>
        <v>294</v>
      </c>
      <c r="F544" t="str">
        <f>"304"</f>
        <v>304</v>
      </c>
    </row>
    <row r="545" spans="1:6">
      <c r="A545" t="str">
        <f>"E1578-53"</f>
        <v>E1578-53</v>
      </c>
      <c r="B545" t="str">
        <f t="shared" si="65"/>
        <v>VIA LUGO  8-</v>
      </c>
      <c r="C545" t="str">
        <f t="shared" si="66"/>
        <v>GEC</v>
      </c>
      <c r="D545">
        <v>10</v>
      </c>
      <c r="E545" t="str">
        <f t="shared" si="67"/>
        <v>294</v>
      </c>
      <c r="F545" t="str">
        <f>"305"</f>
        <v>305</v>
      </c>
    </row>
    <row r="546" spans="1:6">
      <c r="A546" t="str">
        <f>"E1578-54"</f>
        <v>E1578-54</v>
      </c>
      <c r="B546" t="str">
        <f>"VIA LUGO  6-"</f>
        <v>VIA LUGO  6-</v>
      </c>
      <c r="C546" t="str">
        <f t="shared" si="66"/>
        <v>GEC</v>
      </c>
      <c r="D546">
        <v>10</v>
      </c>
      <c r="E546" t="str">
        <f t="shared" si="67"/>
        <v>294</v>
      </c>
      <c r="F546" t="str">
        <f>"2"</f>
        <v>2</v>
      </c>
    </row>
    <row r="547" spans="1:6">
      <c r="A547" t="str">
        <f>"E1579-1"</f>
        <v>E1579-1</v>
      </c>
      <c r="B547" t="str">
        <f>"VIA LUGO VICINO AL 18-"</f>
        <v>VIA LUGO VICINO AL 18-</v>
      </c>
      <c r="C547" t="str">
        <f>"1"</f>
        <v>1</v>
      </c>
      <c r="D547">
        <v>29</v>
      </c>
      <c r="E547" t="str">
        <f>"822"</f>
        <v>822</v>
      </c>
      <c r="F547" t="str">
        <f t="shared" ref="F547:F553" si="68">"0000"</f>
        <v>0000</v>
      </c>
    </row>
    <row r="548" spans="1:6">
      <c r="A548" t="str">
        <f>"E1589-1"</f>
        <v>E1589-1</v>
      </c>
      <c r="B548" t="str">
        <f>"VIA SAN MARINO VICINO AL 223-"</f>
        <v>VIA SAN MARINO VICINO AL 223-</v>
      </c>
      <c r="C548" t="str">
        <f>"1"</f>
        <v>1</v>
      </c>
      <c r="D548">
        <v>11</v>
      </c>
      <c r="E548" t="str">
        <f>"56"</f>
        <v>56</v>
      </c>
      <c r="F548" t="str">
        <f t="shared" si="68"/>
        <v>0000</v>
      </c>
    </row>
    <row r="549" spans="1:6">
      <c r="C549" t="str">
        <f>"1"</f>
        <v>1</v>
      </c>
      <c r="D549">
        <v>11</v>
      </c>
      <c r="E549" t="str">
        <f>"99999"</f>
        <v>99999</v>
      </c>
      <c r="F549" t="str">
        <f t="shared" si="68"/>
        <v>0000</v>
      </c>
    </row>
    <row r="550" spans="1:6">
      <c r="C550" t="str">
        <f>"1"</f>
        <v>1</v>
      </c>
      <c r="D550">
        <v>11</v>
      </c>
      <c r="E550" t="str">
        <f>"57"</f>
        <v>57</v>
      </c>
      <c r="F550" t="str">
        <f t="shared" si="68"/>
        <v>0000</v>
      </c>
    </row>
    <row r="551" spans="1:6">
      <c r="A551" t="str">
        <f>"E1705-1"</f>
        <v>E1705-1</v>
      </c>
      <c r="B551" t="str">
        <f>"MURA DEGLI ZINGARI  5R-"</f>
        <v>MURA DEGLI ZINGARI  5R-</v>
      </c>
      <c r="C551" t="str">
        <f>"GEA"</f>
        <v>GEA</v>
      </c>
      <c r="D551">
        <v>76</v>
      </c>
      <c r="E551" t="str">
        <f>"39"</f>
        <v>39</v>
      </c>
      <c r="F551" t="str">
        <f t="shared" si="68"/>
        <v>0000</v>
      </c>
    </row>
    <row r="552" spans="1:6">
      <c r="A552" t="str">
        <f>"E1706-1"</f>
        <v>E1706-1</v>
      </c>
      <c r="B552" t="str">
        <f>"PIAZZA DINEGRO  18R-"</f>
        <v>PIAZZA DINEGRO  18R-</v>
      </c>
      <c r="C552" t="str">
        <f>"GEA"</f>
        <v>GEA</v>
      </c>
      <c r="D552">
        <v>74</v>
      </c>
      <c r="E552" t="str">
        <f>"3"</f>
        <v>3</v>
      </c>
      <c r="F552" t="str">
        <f t="shared" si="68"/>
        <v>0000</v>
      </c>
    </row>
    <row r="553" spans="1:6">
      <c r="A553" t="str">
        <f>"E1706-2"</f>
        <v>E1706-2</v>
      </c>
      <c r="B553" t="str">
        <f>"PIAZZA DINEGRO  20R-"</f>
        <v>PIAZZA DINEGRO  20R-</v>
      </c>
      <c r="C553" t="str">
        <f>"GEA"</f>
        <v>GEA</v>
      </c>
      <c r="D553">
        <v>74</v>
      </c>
      <c r="E553" t="str">
        <f>"45"</f>
        <v>45</v>
      </c>
      <c r="F553" t="str">
        <f t="shared" si="68"/>
        <v>0000</v>
      </c>
    </row>
    <row r="554" spans="1:6">
      <c r="A554" t="str">
        <f>"E1708-5"</f>
        <v>E1708-5</v>
      </c>
      <c r="B554" t="str">
        <f>"VIA DINO COL  13-"</f>
        <v>VIA DINO COL  13-</v>
      </c>
      <c r="C554" t="str">
        <f>"GEA"</f>
        <v>GEA</v>
      </c>
      <c r="D554">
        <v>16</v>
      </c>
      <c r="E554" t="str">
        <f>"165"</f>
        <v>165</v>
      </c>
      <c r="F554" t="str">
        <f>"6"</f>
        <v>6</v>
      </c>
    </row>
    <row r="555" spans="1:6">
      <c r="C555" t="str">
        <f>"GEA"</f>
        <v>GEA</v>
      </c>
      <c r="D555">
        <v>16</v>
      </c>
      <c r="E555" t="str">
        <f>"170"</f>
        <v>170</v>
      </c>
      <c r="F555" t="str">
        <f>"0000"</f>
        <v>0000</v>
      </c>
    </row>
    <row r="556" spans="1:6">
      <c r="A556" t="str">
        <f>"E1709-1"</f>
        <v>E1709-1</v>
      </c>
      <c r="B556" t="str">
        <f>"SAL SAN FRANCESCO DA PAOL  7A-"</f>
        <v>SAL SAN FRANCESCO DA PAOL  7A-</v>
      </c>
      <c r="C556" t="str">
        <f>"GEC"</f>
        <v>GEC</v>
      </c>
      <c r="D556">
        <v>15</v>
      </c>
      <c r="E556" t="str">
        <f>"235"</f>
        <v>235</v>
      </c>
      <c r="F556" t="str">
        <f>"1"</f>
        <v>1</v>
      </c>
    </row>
    <row r="557" spans="1:6">
      <c r="A557" t="str">
        <f>"E1709-2"</f>
        <v>E1709-2</v>
      </c>
      <c r="B557" t="str">
        <f>"SAL SAN FRANCESCO DA PAOL  9-"</f>
        <v>SAL SAN FRANCESCO DA PAOL  9-</v>
      </c>
      <c r="C557" t="str">
        <f>"GEC"</f>
        <v>GEC</v>
      </c>
      <c r="D557">
        <v>15</v>
      </c>
      <c r="E557" t="str">
        <f>"235"</f>
        <v>235</v>
      </c>
      <c r="F557" t="str">
        <f>"2"</f>
        <v>2</v>
      </c>
    </row>
    <row r="558" spans="1:6">
      <c r="A558" t="str">
        <f>"E1718-1"</f>
        <v>E1718-1</v>
      </c>
      <c r="B558" t="str">
        <f>"VIA BOLOGNA  21-"</f>
        <v>VIA BOLOGNA  21-</v>
      </c>
      <c r="C558" t="str">
        <f>"GEC"</f>
        <v>GEC</v>
      </c>
      <c r="D558">
        <v>15</v>
      </c>
      <c r="E558" t="str">
        <f>"9"</f>
        <v>9</v>
      </c>
      <c r="F558" t="str">
        <f>"1"</f>
        <v>1</v>
      </c>
    </row>
    <row r="559" spans="1:6">
      <c r="A559" t="str">
        <f>"E1719-1"</f>
        <v>E1719-1</v>
      </c>
      <c r="B559" t="str">
        <f>"VIA BOLOGNA  21-"</f>
        <v>VIA BOLOGNA  21-</v>
      </c>
      <c r="C559" t="str">
        <f>"GEC"</f>
        <v>GEC</v>
      </c>
      <c r="D559">
        <v>15</v>
      </c>
      <c r="E559" t="str">
        <f>"6"</f>
        <v>6</v>
      </c>
      <c r="F559" t="str">
        <f t="shared" ref="F559:F564" si="69">"0000"</f>
        <v>0000</v>
      </c>
    </row>
    <row r="560" spans="1:6">
      <c r="A560" t="str">
        <f>"E1723-1"</f>
        <v>E1723-1</v>
      </c>
      <c r="B560" t="str">
        <f>"VIA BOLOGNA  19A-"</f>
        <v>VIA BOLOGNA  19A-</v>
      </c>
      <c r="C560" t="str">
        <f>"GEC"</f>
        <v>GEC</v>
      </c>
      <c r="D560">
        <v>15</v>
      </c>
      <c r="E560" t="str">
        <f>"5"</f>
        <v>5</v>
      </c>
      <c r="F560" t="str">
        <f t="shared" si="69"/>
        <v>0000</v>
      </c>
    </row>
    <row r="561" spans="1:6">
      <c r="A561" t="str">
        <f>"E1723-2"</f>
        <v>E1723-2</v>
      </c>
      <c r="B561" t="str">
        <f>"VIA BOLOGNA  19B-"</f>
        <v>VIA BOLOGNA  19B-</v>
      </c>
      <c r="C561" t="str">
        <f>"1"</f>
        <v>1</v>
      </c>
      <c r="D561">
        <v>30</v>
      </c>
      <c r="E561" t="str">
        <f>"5"</f>
        <v>5</v>
      </c>
      <c r="F561" t="str">
        <f t="shared" si="69"/>
        <v>0000</v>
      </c>
    </row>
    <row r="562" spans="1:6">
      <c r="A562" t="str">
        <f>"E1724-1"</f>
        <v>E1724-1</v>
      </c>
      <c r="B562" t="str">
        <f>"VIA BOLOGNA  21-"</f>
        <v>VIA BOLOGNA  21-</v>
      </c>
      <c r="C562" t="str">
        <f>"GEC"</f>
        <v>GEC</v>
      </c>
      <c r="D562">
        <v>15</v>
      </c>
      <c r="E562" t="str">
        <f>"8"</f>
        <v>8</v>
      </c>
      <c r="F562" t="str">
        <f t="shared" si="69"/>
        <v>0000</v>
      </c>
    </row>
    <row r="563" spans="1:6">
      <c r="A563" t="str">
        <f>"E1725-1"</f>
        <v>E1725-1</v>
      </c>
      <c r="B563" t="str">
        <f>"VIA ASILO D.D.GARBARINO  31-"</f>
        <v>VIA ASILO D.D.GARBARINO  31-</v>
      </c>
      <c r="C563" t="str">
        <f>"GEC"</f>
        <v>GEC</v>
      </c>
      <c r="D563">
        <v>15</v>
      </c>
      <c r="E563" t="str">
        <f>"11"</f>
        <v>11</v>
      </c>
      <c r="F563" t="str">
        <f t="shared" si="69"/>
        <v>0000</v>
      </c>
    </row>
    <row r="564" spans="1:6">
      <c r="A564" t="str">
        <f>"E1726-1"</f>
        <v>E1726-1</v>
      </c>
      <c r="B564" t="str">
        <f>"VIA BOLOGNA  21-"</f>
        <v>VIA BOLOGNA  21-</v>
      </c>
      <c r="C564" t="str">
        <f>"GEC"</f>
        <v>GEC</v>
      </c>
      <c r="D564">
        <v>15</v>
      </c>
      <c r="E564" t="str">
        <f>"13"</f>
        <v>13</v>
      </c>
      <c r="F564" t="str">
        <f t="shared" si="69"/>
        <v>0000</v>
      </c>
    </row>
    <row r="565" spans="1:6">
      <c r="A565" t="str">
        <f>"E1799-1"</f>
        <v>E1799-1</v>
      </c>
      <c r="B565" t="str">
        <f>"VIA BARTOLOMEO BIANCO  130-"</f>
        <v>VIA BARTOLOMEO BIANCO  130-</v>
      </c>
      <c r="C565" t="str">
        <f>"GEC"</f>
        <v>GEC</v>
      </c>
      <c r="D565">
        <v>4</v>
      </c>
      <c r="E565" t="str">
        <f>"48"</f>
        <v>48</v>
      </c>
      <c r="F565" t="str">
        <f>"6"</f>
        <v>6</v>
      </c>
    </row>
    <row r="566" spans="1:6">
      <c r="A566" t="str">
        <f>"E1799-3"</f>
        <v>E1799-3</v>
      </c>
      <c r="B566" t="str">
        <f>"VIA BARTOLOMEO BIANCO  130-"</f>
        <v>VIA BARTOLOMEO BIANCO  130-</v>
      </c>
      <c r="C566" t="str">
        <f>"GEC"</f>
        <v>GEC</v>
      </c>
      <c r="D566">
        <v>4</v>
      </c>
      <c r="E566" t="str">
        <f>"48"</f>
        <v>48</v>
      </c>
      <c r="F566" t="str">
        <f>"3"</f>
        <v>3</v>
      </c>
    </row>
    <row r="567" spans="1:6">
      <c r="A567" t="str">
        <f>"E1821-1"</f>
        <v>E1821-1</v>
      </c>
      <c r="B567" t="str">
        <f>"VIA CHIUSONE  1-"</f>
        <v>VIA CHIUSONE  1-</v>
      </c>
      <c r="C567" t="str">
        <f t="shared" ref="C567:C591" si="70">"SAM"</f>
        <v>SAM</v>
      </c>
      <c r="D567">
        <v>43</v>
      </c>
      <c r="E567" t="str">
        <f>"40"</f>
        <v>40</v>
      </c>
      <c r="F567" t="str">
        <f>"42"</f>
        <v>42</v>
      </c>
    </row>
    <row r="568" spans="1:6">
      <c r="C568" t="str">
        <f t="shared" si="70"/>
        <v>SAM</v>
      </c>
      <c r="D568">
        <v>43</v>
      </c>
      <c r="E568" t="str">
        <f>"47"</f>
        <v>47</v>
      </c>
      <c r="F568" t="str">
        <f>"8"</f>
        <v>8</v>
      </c>
    </row>
    <row r="569" spans="1:6">
      <c r="A569" t="str">
        <f>"E1821-2"</f>
        <v>E1821-2</v>
      </c>
      <c r="B569" t="str">
        <f>"VIA CHIUSONE  1-"</f>
        <v>VIA CHIUSONE  1-</v>
      </c>
      <c r="C569" t="str">
        <f t="shared" si="70"/>
        <v>SAM</v>
      </c>
      <c r="D569">
        <v>43</v>
      </c>
      <c r="E569" t="str">
        <f>"47"</f>
        <v>47</v>
      </c>
      <c r="F569" t="str">
        <f>"10"</f>
        <v>10</v>
      </c>
    </row>
    <row r="570" spans="1:6">
      <c r="A570" t="str">
        <f>"E1821-3"</f>
        <v>E1821-3</v>
      </c>
      <c r="B570" t="str">
        <f>"PIAZZA PALMETTA  11-"</f>
        <v>PIAZZA PALMETTA  11-</v>
      </c>
      <c r="C570" t="str">
        <f t="shared" si="70"/>
        <v>SAM</v>
      </c>
      <c r="D570">
        <v>43</v>
      </c>
      <c r="E570" t="str">
        <f>"380"</f>
        <v>380</v>
      </c>
      <c r="F570" t="str">
        <f>"60"</f>
        <v>60</v>
      </c>
    </row>
    <row r="571" spans="1:6">
      <c r="C571" t="str">
        <f t="shared" si="70"/>
        <v>SAM</v>
      </c>
      <c r="D571">
        <v>43</v>
      </c>
      <c r="E571" t="str">
        <f>"47"</f>
        <v>47</v>
      </c>
      <c r="F571" t="str">
        <f>"11"</f>
        <v>11</v>
      </c>
    </row>
    <row r="572" spans="1:6">
      <c r="A572" t="str">
        <f>"E1821-4"</f>
        <v>E1821-4</v>
      </c>
      <c r="B572" t="str">
        <f>"PIAZZA PALMETTA  7-"</f>
        <v>PIAZZA PALMETTA  7-</v>
      </c>
      <c r="C572" t="str">
        <f t="shared" si="70"/>
        <v>SAM</v>
      </c>
      <c r="D572">
        <v>43</v>
      </c>
      <c r="E572" t="str">
        <f>"380"</f>
        <v>380</v>
      </c>
      <c r="F572" t="str">
        <f>"59"</f>
        <v>59</v>
      </c>
    </row>
    <row r="573" spans="1:6">
      <c r="A573" t="str">
        <f>"E1821-5"</f>
        <v>E1821-5</v>
      </c>
      <c r="B573" t="str">
        <f>"VIA WALTER FILLAK VICINO AL 26-"</f>
        <v>VIA WALTER FILLAK VICINO AL 26-</v>
      </c>
      <c r="C573" t="str">
        <f t="shared" si="70"/>
        <v>SAM</v>
      </c>
      <c r="D573">
        <v>43</v>
      </c>
      <c r="E573" t="str">
        <f>"49"</f>
        <v>49</v>
      </c>
      <c r="F573" t="str">
        <f>"9"</f>
        <v>9</v>
      </c>
    </row>
    <row r="574" spans="1:6">
      <c r="A574" t="str">
        <f>"E1821-6"</f>
        <v>E1821-6</v>
      </c>
      <c r="B574" t="str">
        <f>"VIA CHIUSONE  1-"</f>
        <v>VIA CHIUSONE  1-</v>
      </c>
      <c r="C574" t="str">
        <f t="shared" si="70"/>
        <v>SAM</v>
      </c>
      <c r="D574">
        <v>43</v>
      </c>
      <c r="E574" t="str">
        <f>"40"</f>
        <v>40</v>
      </c>
      <c r="F574" t="str">
        <f>"43"</f>
        <v>43</v>
      </c>
    </row>
    <row r="575" spans="1:6">
      <c r="C575" t="str">
        <f t="shared" si="70"/>
        <v>SAM</v>
      </c>
      <c r="D575">
        <v>43</v>
      </c>
      <c r="E575" t="str">
        <f>"48"</f>
        <v>48</v>
      </c>
      <c r="F575" t="str">
        <f>"9"</f>
        <v>9</v>
      </c>
    </row>
    <row r="576" spans="1:6">
      <c r="C576" t="str">
        <f t="shared" si="70"/>
        <v>SAM</v>
      </c>
      <c r="D576">
        <v>43</v>
      </c>
      <c r="E576" t="str">
        <f>"47"</f>
        <v>47</v>
      </c>
      <c r="F576" t="str">
        <f>"9"</f>
        <v>9</v>
      </c>
    </row>
    <row r="577" spans="1:6">
      <c r="A577" t="str">
        <f>"E1821-7"</f>
        <v>E1821-7</v>
      </c>
      <c r="B577" t="str">
        <f>"PIAZZA PALMETTA  11-"</f>
        <v>PIAZZA PALMETTA  11-</v>
      </c>
      <c r="C577" t="str">
        <f t="shared" si="70"/>
        <v>SAM</v>
      </c>
      <c r="D577">
        <v>43</v>
      </c>
      <c r="E577" t="str">
        <f>"380"</f>
        <v>380</v>
      </c>
      <c r="F577" t="str">
        <f>"63"</f>
        <v>63</v>
      </c>
    </row>
    <row r="578" spans="1:6">
      <c r="A578" t="str">
        <f>"E1822-1"</f>
        <v>E1822-1</v>
      </c>
      <c r="B578" t="str">
        <f>"VIA VINCENZO CAPELLO  28-"</f>
        <v>VIA VINCENZO CAPELLO  28-</v>
      </c>
      <c r="C578" t="str">
        <f t="shared" si="70"/>
        <v>SAM</v>
      </c>
      <c r="D578">
        <v>43</v>
      </c>
      <c r="E578" t="str">
        <f>"11"</f>
        <v>11</v>
      </c>
      <c r="F578" t="str">
        <f>"9"</f>
        <v>9</v>
      </c>
    </row>
    <row r="579" spans="1:6">
      <c r="C579" t="str">
        <f t="shared" si="70"/>
        <v>SAM</v>
      </c>
      <c r="D579">
        <v>43</v>
      </c>
      <c r="E579" t="str">
        <f>"377"</f>
        <v>377</v>
      </c>
      <c r="F579" t="str">
        <f>"20"</f>
        <v>20</v>
      </c>
    </row>
    <row r="580" spans="1:6">
      <c r="C580" t="str">
        <f t="shared" si="70"/>
        <v>SAM</v>
      </c>
      <c r="D580">
        <v>43</v>
      </c>
      <c r="E580" t="str">
        <f>"379"</f>
        <v>379</v>
      </c>
      <c r="F580" t="str">
        <f>"8"</f>
        <v>8</v>
      </c>
    </row>
    <row r="581" spans="1:6">
      <c r="C581" t="str">
        <f t="shared" si="70"/>
        <v>SAM</v>
      </c>
      <c r="D581">
        <v>43</v>
      </c>
      <c r="E581" t="str">
        <f>"380"</f>
        <v>380</v>
      </c>
      <c r="F581" t="str">
        <f>"20"</f>
        <v>20</v>
      </c>
    </row>
    <row r="582" spans="1:6">
      <c r="C582" t="str">
        <f t="shared" si="70"/>
        <v>SAM</v>
      </c>
      <c r="D582">
        <v>43</v>
      </c>
      <c r="E582" t="str">
        <f>"389"</f>
        <v>389</v>
      </c>
      <c r="F582" t="str">
        <f>"14"</f>
        <v>14</v>
      </c>
    </row>
    <row r="583" spans="1:6">
      <c r="C583" t="str">
        <f t="shared" si="70"/>
        <v>SAM</v>
      </c>
      <c r="D583">
        <v>43</v>
      </c>
      <c r="E583" t="str">
        <f>"40"</f>
        <v>40</v>
      </c>
      <c r="F583" t="str">
        <f>"14"</f>
        <v>14</v>
      </c>
    </row>
    <row r="584" spans="1:6">
      <c r="C584" t="str">
        <f t="shared" si="70"/>
        <v>SAM</v>
      </c>
      <c r="D584">
        <v>43</v>
      </c>
      <c r="E584" t="str">
        <f>"41"</f>
        <v>41</v>
      </c>
      <c r="F584" t="str">
        <f>"29"</f>
        <v>29</v>
      </c>
    </row>
    <row r="585" spans="1:6">
      <c r="C585" t="str">
        <f t="shared" si="70"/>
        <v>SAM</v>
      </c>
      <c r="D585">
        <v>43</v>
      </c>
      <c r="E585" t="str">
        <f>"39"</f>
        <v>39</v>
      </c>
      <c r="F585" t="str">
        <f>"7"</f>
        <v>7</v>
      </c>
    </row>
    <row r="586" spans="1:6">
      <c r="C586" t="str">
        <f t="shared" si="70"/>
        <v>SAM</v>
      </c>
      <c r="D586">
        <v>43</v>
      </c>
      <c r="E586" t="str">
        <f>"381"</f>
        <v>381</v>
      </c>
      <c r="F586" t="str">
        <f>"7"</f>
        <v>7</v>
      </c>
    </row>
    <row r="587" spans="1:6">
      <c r="C587" t="str">
        <f t="shared" si="70"/>
        <v>SAM</v>
      </c>
      <c r="D587">
        <v>43</v>
      </c>
      <c r="E587" t="str">
        <f>"38"</f>
        <v>38</v>
      </c>
      <c r="F587" t="str">
        <f>"6"</f>
        <v>6</v>
      </c>
    </row>
    <row r="588" spans="1:6">
      <c r="C588" t="str">
        <f t="shared" si="70"/>
        <v>SAM</v>
      </c>
      <c r="D588">
        <v>43</v>
      </c>
      <c r="E588" t="str">
        <f>"378"</f>
        <v>378</v>
      </c>
      <c r="F588" t="str">
        <f>"7"</f>
        <v>7</v>
      </c>
    </row>
    <row r="589" spans="1:6">
      <c r="C589" t="str">
        <f t="shared" si="70"/>
        <v>SAM</v>
      </c>
      <c r="D589">
        <v>43</v>
      </c>
      <c r="E589" t="str">
        <f>"376"</f>
        <v>376</v>
      </c>
      <c r="F589" t="str">
        <f>"6"</f>
        <v>6</v>
      </c>
    </row>
    <row r="590" spans="1:6">
      <c r="C590" t="str">
        <f t="shared" si="70"/>
        <v>SAM</v>
      </c>
      <c r="D590">
        <v>43</v>
      </c>
      <c r="E590" t="str">
        <f>"3"</f>
        <v>3</v>
      </c>
      <c r="F590" t="str">
        <f>"9"</f>
        <v>9</v>
      </c>
    </row>
    <row r="591" spans="1:6">
      <c r="C591" t="str">
        <f t="shared" si="70"/>
        <v>SAM</v>
      </c>
      <c r="D591">
        <v>43</v>
      </c>
      <c r="E591" t="str">
        <f>"33"</f>
        <v>33</v>
      </c>
      <c r="F591" t="str">
        <f>"7"</f>
        <v>7</v>
      </c>
    </row>
    <row r="592" spans="1:6">
      <c r="A592" t="str">
        <f>"E1824-1"</f>
        <v>E1824-1</v>
      </c>
      <c r="B592" t="str">
        <f>"SALITA DEGLI ANGELI  62-"</f>
        <v>SALITA DEGLI ANGELI  62-</v>
      </c>
      <c r="C592" t="str">
        <f>"GEC"</f>
        <v>GEC</v>
      </c>
      <c r="D592">
        <v>14</v>
      </c>
      <c r="E592" t="str">
        <f>"186"</f>
        <v>186</v>
      </c>
      <c r="F592" t="str">
        <f>"1"</f>
        <v>1</v>
      </c>
    </row>
    <row r="593" spans="1:6">
      <c r="C593" t="str">
        <f>"GEC"</f>
        <v>GEC</v>
      </c>
      <c r="D593">
        <v>14</v>
      </c>
      <c r="E593" t="str">
        <f>"187"</f>
        <v>187</v>
      </c>
      <c r="F593" t="str">
        <f>"6"</f>
        <v>6</v>
      </c>
    </row>
    <row r="594" spans="1:6">
      <c r="A594" t="str">
        <f>"E1837-1"</f>
        <v>E1837-1</v>
      </c>
      <c r="B594" t="str">
        <f>"SAL FORTE DELLA CROCETTA SITO NEL 2A-"</f>
        <v>SAL FORTE DELLA CROCETTA SITO NEL 2A-</v>
      </c>
      <c r="C594" t="str">
        <f>"4"</f>
        <v>4</v>
      </c>
      <c r="D594">
        <v>38</v>
      </c>
      <c r="E594" t="str">
        <f>"732"</f>
        <v>732</v>
      </c>
      <c r="F594" t="str">
        <f>"0000"</f>
        <v>0000</v>
      </c>
    </row>
    <row r="595" spans="1:6">
      <c r="C595" t="str">
        <f>"4"</f>
        <v>4</v>
      </c>
      <c r="D595">
        <v>38</v>
      </c>
      <c r="E595" t="str">
        <f>"733"</f>
        <v>733</v>
      </c>
      <c r="F595" t="str">
        <f>"0000"</f>
        <v>0000</v>
      </c>
    </row>
    <row r="596" spans="1:6">
      <c r="A596" t="str">
        <f>"E1926-1"</f>
        <v>E1926-1</v>
      </c>
      <c r="B596" t="str">
        <f>"VIA ANTONIO PELLEGRINI  1-"</f>
        <v>VIA ANTONIO PELLEGRINI  1-</v>
      </c>
      <c r="C596" t="str">
        <f>"4"</f>
        <v>4</v>
      </c>
      <c r="D596">
        <v>38</v>
      </c>
      <c r="E596" t="str">
        <f>"235"</f>
        <v>235</v>
      </c>
      <c r="F596" t="str">
        <f>"0000"</f>
        <v>0000</v>
      </c>
    </row>
    <row r="597" spans="1:6">
      <c r="A597" t="str">
        <f>"E1954-1"</f>
        <v>E1954-1</v>
      </c>
      <c r="B597" t="str">
        <f>"VIA DI FRANCIA  1-"</f>
        <v>VIA DI FRANCIA  1-</v>
      </c>
      <c r="C597" t="str">
        <f>"GEA"</f>
        <v>GEA</v>
      </c>
      <c r="D597">
        <v>16</v>
      </c>
      <c r="E597" t="str">
        <f>"444"</f>
        <v>444</v>
      </c>
      <c r="F597" t="str">
        <f>"138"</f>
        <v>138</v>
      </c>
    </row>
    <row r="598" spans="1:6">
      <c r="A598" t="str">
        <f>"E1956-1"</f>
        <v>E1956-1</v>
      </c>
      <c r="B598" t="str">
        <f>"VIA ANTONIO CANTORE  3-"</f>
        <v>VIA ANTONIO CANTORE  3-</v>
      </c>
      <c r="C598" t="str">
        <f>"GEA"</f>
        <v>GEA</v>
      </c>
      <c r="D598">
        <v>16</v>
      </c>
      <c r="E598" t="str">
        <f>"809"</f>
        <v>809</v>
      </c>
      <c r="F598" t="str">
        <f>"28"</f>
        <v>28</v>
      </c>
    </row>
    <row r="599" spans="1:6">
      <c r="A599" t="str">
        <f>"E1956-2"</f>
        <v>E1956-2</v>
      </c>
      <c r="B599" t="str">
        <f>"VIA ANTONIO CANTORE  3-"</f>
        <v>VIA ANTONIO CANTORE  3-</v>
      </c>
      <c r="C599" t="str">
        <f>"GEA"</f>
        <v>GEA</v>
      </c>
      <c r="D599">
        <v>16</v>
      </c>
      <c r="E599" t="str">
        <f>"809"</f>
        <v>809</v>
      </c>
      <c r="F599" t="str">
        <f>"29"</f>
        <v>29</v>
      </c>
    </row>
    <row r="600" spans="1:6">
      <c r="A600" t="str">
        <f>"E1978-1"</f>
        <v>E1978-1</v>
      </c>
      <c r="B600" t="str">
        <f>"SAL FORTE DELLA CROCETTA  18A-"</f>
        <v>SAL FORTE DELLA CROCETTA  18A-</v>
      </c>
      <c r="C600" t="str">
        <f>"4"</f>
        <v>4</v>
      </c>
      <c r="D600">
        <v>38</v>
      </c>
      <c r="E600" t="str">
        <f>"470"</f>
        <v>470</v>
      </c>
      <c r="F600" t="str">
        <f>"0000"</f>
        <v>0000</v>
      </c>
    </row>
    <row r="601" spans="1:6">
      <c r="A601" t="str">
        <f>"E1979-1"</f>
        <v>E1979-1</v>
      </c>
      <c r="B601" t="str">
        <f>"SAL FORTE DELLA CROCETTA  19-"</f>
        <v>SAL FORTE DELLA CROCETTA  19-</v>
      </c>
      <c r="C601" t="str">
        <f>"SAM"</f>
        <v>SAM</v>
      </c>
      <c r="D601">
        <v>38</v>
      </c>
      <c r="E601" t="str">
        <f>"400"</f>
        <v>400</v>
      </c>
      <c r="F601" t="str">
        <f>"0000"</f>
        <v>0000</v>
      </c>
    </row>
    <row r="602" spans="1:6">
      <c r="A602" t="str">
        <f>"E1980-1"</f>
        <v>E1980-1</v>
      </c>
      <c r="B602" t="str">
        <f>"VIA AL FORTE TENAGLIA VICINO AL 24-"</f>
        <v>VIA AL FORTE TENAGLIA VICINO AL 24-</v>
      </c>
      <c r="C602" t="str">
        <f>"4"</f>
        <v>4</v>
      </c>
      <c r="D602">
        <v>38</v>
      </c>
      <c r="E602" t="str">
        <f>"753"</f>
        <v>753</v>
      </c>
      <c r="F602" t="str">
        <f>"0000"</f>
        <v>0000</v>
      </c>
    </row>
    <row r="603" spans="1:6">
      <c r="A603" t="str">
        <f>"E1984-1"</f>
        <v>E1984-1</v>
      </c>
      <c r="B603" t="str">
        <f>"VIA SAN PIER D ARENA  36-"</f>
        <v>VIA SAN PIER D ARENA  36-</v>
      </c>
      <c r="C603" t="str">
        <f>"SAM"</f>
        <v>SAM</v>
      </c>
      <c r="D603">
        <v>44</v>
      </c>
      <c r="E603" t="str">
        <f>"458"</f>
        <v>458</v>
      </c>
      <c r="F603" t="str">
        <f>"1"</f>
        <v>1</v>
      </c>
    </row>
    <row r="604" spans="1:6">
      <c r="C604" t="str">
        <f>"SAM"</f>
        <v>SAM</v>
      </c>
      <c r="D604">
        <v>44</v>
      </c>
      <c r="E604" t="str">
        <f>"460"</f>
        <v>460</v>
      </c>
      <c r="F604" t="str">
        <f>"0000"</f>
        <v>0000</v>
      </c>
    </row>
    <row r="605" spans="1:6">
      <c r="A605" t="str">
        <f>"E1984-2"</f>
        <v>E1984-2</v>
      </c>
      <c r="B605" t="str">
        <f>"VIA SAN PIER D ARENA  36-"</f>
        <v>VIA SAN PIER D ARENA  36-</v>
      </c>
      <c r="C605" t="str">
        <f>"SAM"</f>
        <v>SAM</v>
      </c>
      <c r="D605">
        <v>44</v>
      </c>
      <c r="E605" t="str">
        <f>"458"</f>
        <v>458</v>
      </c>
      <c r="F605" t="str">
        <f>"2"</f>
        <v>2</v>
      </c>
    </row>
    <row r="606" spans="1:6">
      <c r="A606" t="str">
        <f>"E1985-1"</f>
        <v>E1985-1</v>
      </c>
      <c r="B606" t="str">
        <f>"CORSO BELVEDERE VICINO AL 16-"</f>
        <v>CORSO BELVEDERE VICINO AL 16-</v>
      </c>
      <c r="C606" t="str">
        <f>"SAM"</f>
        <v>SAM</v>
      </c>
      <c r="D606">
        <v>38</v>
      </c>
      <c r="E606" t="str">
        <f>"601"</f>
        <v>601</v>
      </c>
      <c r="F606" t="str">
        <f>"0000"</f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33"/>
  <sheetViews>
    <sheetView workbookViewId="0"/>
  </sheetViews>
  <sheetFormatPr defaultRowHeight="12.75"/>
  <cols>
    <col min="1" max="1" width="19.5703125" bestFit="1" customWidth="1"/>
    <col min="2" max="2" width="41.8554687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"E50-40"</f>
        <v>E50-40</v>
      </c>
      <c r="B2" t="str">
        <f>"VIA ORISTANO VICINO AL 7-"</f>
        <v>VIA ORISTANO VICINO AL 7-</v>
      </c>
      <c r="C2" t="str">
        <f t="shared" ref="C2:C10" si="0">"1"</f>
        <v>1</v>
      </c>
      <c r="D2">
        <v>51</v>
      </c>
      <c r="E2" t="str">
        <f>"170"</f>
        <v>170</v>
      </c>
      <c r="F2" t="str">
        <f t="shared" ref="F2:F10" si="1">"0000"</f>
        <v>0000</v>
      </c>
    </row>
    <row r="3" spans="1:6">
      <c r="C3" t="str">
        <f t="shared" si="0"/>
        <v>1</v>
      </c>
      <c r="D3">
        <v>51</v>
      </c>
      <c r="E3" t="str">
        <f>"177"</f>
        <v>177</v>
      </c>
      <c r="F3" t="str">
        <f t="shared" si="1"/>
        <v>0000</v>
      </c>
    </row>
    <row r="4" spans="1:6">
      <c r="C4" t="str">
        <f t="shared" si="0"/>
        <v>1</v>
      </c>
      <c r="D4">
        <v>51</v>
      </c>
      <c r="E4" t="str">
        <f>"178"</f>
        <v>178</v>
      </c>
      <c r="F4" t="str">
        <f t="shared" si="1"/>
        <v>0000</v>
      </c>
    </row>
    <row r="5" spans="1:6">
      <c r="A5" t="str">
        <f>"E50-41"</f>
        <v>E50-41</v>
      </c>
      <c r="B5" t="str">
        <f>"VIA ORISTANO  7-"</f>
        <v>VIA ORISTANO  7-</v>
      </c>
      <c r="C5" t="str">
        <f t="shared" si="0"/>
        <v>1</v>
      </c>
      <c r="D5">
        <v>51</v>
      </c>
      <c r="E5" t="str">
        <f>"170"</f>
        <v>170</v>
      </c>
      <c r="F5" t="str">
        <f t="shared" si="1"/>
        <v>0000</v>
      </c>
    </row>
    <row r="6" spans="1:6">
      <c r="C6" t="str">
        <f t="shared" si="0"/>
        <v>1</v>
      </c>
      <c r="D6">
        <v>51</v>
      </c>
      <c r="E6" t="str">
        <f>"178"</f>
        <v>178</v>
      </c>
      <c r="F6" t="str">
        <f t="shared" si="1"/>
        <v>0000</v>
      </c>
    </row>
    <row r="7" spans="1:6">
      <c r="C7" t="str">
        <f t="shared" si="0"/>
        <v>1</v>
      </c>
      <c r="D7">
        <v>51</v>
      </c>
      <c r="E7" t="str">
        <f>"177"</f>
        <v>177</v>
      </c>
      <c r="F7" t="str">
        <f t="shared" si="1"/>
        <v>0000</v>
      </c>
    </row>
    <row r="8" spans="1:6">
      <c r="A8" t="str">
        <f>"E50-42"</f>
        <v>E50-42</v>
      </c>
      <c r="B8" t="str">
        <f>"VIA ORISTANO  7-"</f>
        <v>VIA ORISTANO  7-</v>
      </c>
      <c r="C8" t="str">
        <f t="shared" si="0"/>
        <v>1</v>
      </c>
      <c r="D8">
        <v>51</v>
      </c>
      <c r="E8" t="str">
        <f>"170"</f>
        <v>170</v>
      </c>
      <c r="F8" t="str">
        <f t="shared" si="1"/>
        <v>0000</v>
      </c>
    </row>
    <row r="9" spans="1:6">
      <c r="C9" t="str">
        <f t="shared" si="0"/>
        <v>1</v>
      </c>
      <c r="D9">
        <v>51</v>
      </c>
      <c r="E9" t="str">
        <f>"178"</f>
        <v>178</v>
      </c>
      <c r="F9" t="str">
        <f t="shared" si="1"/>
        <v>0000</v>
      </c>
    </row>
    <row r="10" spans="1:6">
      <c r="C10" t="str">
        <f t="shared" si="0"/>
        <v>1</v>
      </c>
      <c r="D10">
        <v>51</v>
      </c>
      <c r="E10" t="str">
        <f>"177"</f>
        <v>177</v>
      </c>
      <c r="F10" t="str">
        <f t="shared" si="1"/>
        <v>0000</v>
      </c>
    </row>
    <row r="11" spans="1:6">
      <c r="A11" t="str">
        <f>"E116-1"</f>
        <v>E116-1</v>
      </c>
      <c r="B11" t="str">
        <f>"SAL NVA NS SIGNORA MONTE  4-"</f>
        <v>SAL NVA NS SIGNORA MONTE  4-</v>
      </c>
      <c r="C11" t="str">
        <f>"GED"</f>
        <v>GED</v>
      </c>
      <c r="D11">
        <v>51</v>
      </c>
      <c r="E11" t="str">
        <f>"835"</f>
        <v>835</v>
      </c>
      <c r="F11" t="str">
        <f>"1"</f>
        <v>1</v>
      </c>
    </row>
    <row r="12" spans="1:6">
      <c r="A12" t="str">
        <f>"E190-1"</f>
        <v>E190-1</v>
      </c>
      <c r="B12" t="str">
        <f>"VIA G B GAULLI  7-"</f>
        <v>VIA G B GAULLI  7-</v>
      </c>
      <c r="C12" t="str">
        <f>"GED"</f>
        <v>GED</v>
      </c>
      <c r="D12">
        <v>44</v>
      </c>
      <c r="E12" t="str">
        <f>"408"</f>
        <v>408</v>
      </c>
      <c r="F12" t="str">
        <f>"15"</f>
        <v>15</v>
      </c>
    </row>
    <row r="13" spans="1:6">
      <c r="A13" t="str">
        <f>"E204-1"</f>
        <v>E204-1</v>
      </c>
      <c r="B13" t="str">
        <f>"VIA VINCENZO BLELE VICINO AL 31R-"</f>
        <v>VIA VINCENZO BLELE VICINO AL 31R-</v>
      </c>
      <c r="C13" t="str">
        <f>"GED"</f>
        <v>GED</v>
      </c>
      <c r="D13">
        <v>44</v>
      </c>
      <c r="E13" t="str">
        <f>"333"</f>
        <v>333</v>
      </c>
      <c r="F13" t="str">
        <f>"0000"</f>
        <v>0000</v>
      </c>
    </row>
    <row r="14" spans="1:6">
      <c r="A14" t="str">
        <f>"E208-13"</f>
        <v>E208-13</v>
      </c>
      <c r="B14" t="str">
        <f>"CORSO MONTE GRAPPA  24-"</f>
        <v>CORSO MONTE GRAPPA  24-</v>
      </c>
      <c r="C14" t="str">
        <f>"GEC"</f>
        <v>GEC</v>
      </c>
      <c r="D14">
        <v>49</v>
      </c>
      <c r="E14" t="str">
        <f>"43"</f>
        <v>43</v>
      </c>
      <c r="F14" t="str">
        <f>"25"</f>
        <v>25</v>
      </c>
    </row>
    <row r="15" spans="1:6">
      <c r="A15" t="str">
        <f>"E208-14"</f>
        <v>E208-14</v>
      </c>
      <c r="B15" t="str">
        <f>"CORSO MONTE GRAPPA  24-"</f>
        <v>CORSO MONTE GRAPPA  24-</v>
      </c>
      <c r="C15" t="str">
        <f>"GEC"</f>
        <v>GEC</v>
      </c>
      <c r="D15">
        <v>49</v>
      </c>
      <c r="E15" t="str">
        <f>"43"</f>
        <v>43</v>
      </c>
      <c r="F15" t="str">
        <f>"26"</f>
        <v>26</v>
      </c>
    </row>
    <row r="16" spans="1:6">
      <c r="A16" t="str">
        <f>"E231-1"</f>
        <v>E231-1</v>
      </c>
      <c r="B16" t="str">
        <f>"VIA VITO VITALE  16-"</f>
        <v>VIA VITO VITALE  16-</v>
      </c>
      <c r="C16" t="str">
        <f t="shared" ref="C16:C22" si="2">"GED"</f>
        <v>GED</v>
      </c>
      <c r="D16">
        <v>43</v>
      </c>
      <c r="E16" t="str">
        <f>"479"</f>
        <v>479</v>
      </c>
      <c r="F16" t="str">
        <f>"0000"</f>
        <v>0000</v>
      </c>
    </row>
    <row r="17" spans="1:6">
      <c r="A17" t="str">
        <f>"E231-2"</f>
        <v>E231-2</v>
      </c>
      <c r="B17" t="str">
        <f>"VIA VITO VITALE  20-"</f>
        <v>VIA VITO VITALE  20-</v>
      </c>
      <c r="C17" t="str">
        <f t="shared" si="2"/>
        <v>GED</v>
      </c>
      <c r="D17">
        <v>43</v>
      </c>
      <c r="E17" t="str">
        <f>"903"</f>
        <v>903</v>
      </c>
      <c r="F17" t="str">
        <f>"0000"</f>
        <v>0000</v>
      </c>
    </row>
    <row r="18" spans="1:6">
      <c r="A18" t="str">
        <f>"E389-19"</f>
        <v>E389-19</v>
      </c>
      <c r="B18" t="str">
        <f>"VIA ARCHIMEDE  86R-"</f>
        <v>VIA ARCHIMEDE  86R-</v>
      </c>
      <c r="C18" t="str">
        <f t="shared" si="2"/>
        <v>GED</v>
      </c>
      <c r="D18">
        <v>50</v>
      </c>
      <c r="E18" t="str">
        <f>"621"</f>
        <v>621</v>
      </c>
      <c r="F18" t="str">
        <f>"82"</f>
        <v>82</v>
      </c>
    </row>
    <row r="19" spans="1:6">
      <c r="A19" t="str">
        <f>"E389-20"</f>
        <v>E389-20</v>
      </c>
      <c r="B19" t="str">
        <f>"VIA ARCHIMEDE  28A-"</f>
        <v>VIA ARCHIMEDE  28A-</v>
      </c>
      <c r="C19" t="str">
        <f t="shared" si="2"/>
        <v>GED</v>
      </c>
      <c r="D19">
        <v>50</v>
      </c>
      <c r="E19" t="str">
        <f>"621"</f>
        <v>621</v>
      </c>
      <c r="F19" t="str">
        <f>"83"</f>
        <v>83</v>
      </c>
    </row>
    <row r="20" spans="1:6">
      <c r="C20" t="str">
        <f t="shared" si="2"/>
        <v>GED</v>
      </c>
      <c r="D20">
        <v>50</v>
      </c>
      <c r="E20" t="str">
        <f>"621"</f>
        <v>621</v>
      </c>
      <c r="F20" t="str">
        <f>"84"</f>
        <v>84</v>
      </c>
    </row>
    <row r="21" spans="1:6">
      <c r="A21" t="str">
        <f>"E390-4"</f>
        <v>E390-4</v>
      </c>
      <c r="B21" t="str">
        <f>"CORSO GALILEO GALILEI  5-"</f>
        <v>CORSO GALILEO GALILEI  5-</v>
      </c>
      <c r="C21" t="str">
        <f t="shared" si="2"/>
        <v>GED</v>
      </c>
      <c r="D21">
        <v>50</v>
      </c>
      <c r="E21" t="str">
        <f>"54"</f>
        <v>54</v>
      </c>
      <c r="F21" t="str">
        <f>"3"</f>
        <v>3</v>
      </c>
    </row>
    <row r="22" spans="1:6">
      <c r="A22" t="str">
        <f>"E390-6"</f>
        <v>E390-6</v>
      </c>
      <c r="B22" t="str">
        <f>"VIA LUCA CAMBIASO  6-"</f>
        <v>VIA LUCA CAMBIASO  6-</v>
      </c>
      <c r="C22" t="str">
        <f t="shared" si="2"/>
        <v>GED</v>
      </c>
      <c r="D22">
        <v>50</v>
      </c>
      <c r="E22" t="str">
        <f>"54"</f>
        <v>54</v>
      </c>
      <c r="F22" t="str">
        <f>"6"</f>
        <v>6</v>
      </c>
    </row>
    <row r="23" spans="1:6">
      <c r="A23" t="str">
        <f>"E391-1"</f>
        <v>E391-1</v>
      </c>
      <c r="B23" t="str">
        <f>"VIA ARCHIMEDE  42-"</f>
        <v>VIA ARCHIMEDE  42-</v>
      </c>
      <c r="C23" t="str">
        <f t="shared" ref="C23:C28" si="3">"1"</f>
        <v>1</v>
      </c>
      <c r="D23">
        <v>52</v>
      </c>
      <c r="E23" t="str">
        <f>"135"</f>
        <v>135</v>
      </c>
      <c r="F23" t="str">
        <f t="shared" ref="F23:F28" si="4">"0000"</f>
        <v>0000</v>
      </c>
    </row>
    <row r="24" spans="1:6">
      <c r="C24" t="str">
        <f t="shared" si="3"/>
        <v>1</v>
      </c>
      <c r="D24">
        <v>52</v>
      </c>
      <c r="E24" t="str">
        <f>"274"</f>
        <v>274</v>
      </c>
      <c r="F24" t="str">
        <f t="shared" si="4"/>
        <v>0000</v>
      </c>
    </row>
    <row r="25" spans="1:6">
      <c r="C25" t="str">
        <f t="shared" si="3"/>
        <v>1</v>
      </c>
      <c r="D25">
        <v>52</v>
      </c>
      <c r="E25" t="str">
        <f>"312"</f>
        <v>312</v>
      </c>
      <c r="F25" t="str">
        <f t="shared" si="4"/>
        <v>0000</v>
      </c>
    </row>
    <row r="26" spans="1:6">
      <c r="A26" t="str">
        <f>"E391-2"</f>
        <v>E391-2</v>
      </c>
      <c r="B26" t="str">
        <f>"VIA ARCHIMEDE  46-"</f>
        <v>VIA ARCHIMEDE  46-</v>
      </c>
      <c r="C26" t="str">
        <f t="shared" si="3"/>
        <v>1</v>
      </c>
      <c r="D26">
        <v>52</v>
      </c>
      <c r="E26" t="str">
        <f>"135"</f>
        <v>135</v>
      </c>
      <c r="F26" t="str">
        <f t="shared" si="4"/>
        <v>0000</v>
      </c>
    </row>
    <row r="27" spans="1:6">
      <c r="C27" t="str">
        <f t="shared" si="3"/>
        <v>1</v>
      </c>
      <c r="D27">
        <v>52</v>
      </c>
      <c r="E27" t="str">
        <f>"312"</f>
        <v>312</v>
      </c>
      <c r="F27" t="str">
        <f t="shared" si="4"/>
        <v>0000</v>
      </c>
    </row>
    <row r="28" spans="1:6">
      <c r="C28" t="str">
        <f t="shared" si="3"/>
        <v>1</v>
      </c>
      <c r="D28">
        <v>52</v>
      </c>
      <c r="E28" t="str">
        <f>"274"</f>
        <v>274</v>
      </c>
      <c r="F28" t="str">
        <f t="shared" si="4"/>
        <v>0000</v>
      </c>
    </row>
    <row r="29" spans="1:6">
      <c r="A29" t="str">
        <f>"E392-1"</f>
        <v>E392-1</v>
      </c>
      <c r="B29" t="str">
        <f>"PIAZZA MANZONI  2-"</f>
        <v>PIAZZA MANZONI  2-</v>
      </c>
      <c r="C29" t="str">
        <f t="shared" ref="C29:C41" si="5">"GED"</f>
        <v>GED</v>
      </c>
      <c r="D29">
        <v>50</v>
      </c>
      <c r="E29" t="str">
        <f>"11"</f>
        <v>11</v>
      </c>
      <c r="F29" t="str">
        <f>"1"</f>
        <v>1</v>
      </c>
    </row>
    <row r="30" spans="1:6">
      <c r="A30" t="str">
        <f>"E392-2"</f>
        <v>E392-2</v>
      </c>
      <c r="B30" t="str">
        <f>"PIAZZA MANZONI  2-"</f>
        <v>PIAZZA MANZONI  2-</v>
      </c>
      <c r="C30" t="str">
        <f t="shared" si="5"/>
        <v>GED</v>
      </c>
      <c r="D30">
        <v>50</v>
      </c>
      <c r="E30" t="str">
        <f>"11"</f>
        <v>11</v>
      </c>
      <c r="F30" t="str">
        <f>"2"</f>
        <v>2</v>
      </c>
    </row>
    <row r="31" spans="1:6">
      <c r="A31" t="str">
        <f>"E393-1"</f>
        <v>E393-1</v>
      </c>
      <c r="B31" t="str">
        <f>"VIA AL FORTE DI S. TECLA  1-"</f>
        <v>VIA AL FORTE DI S. TECLA  1-</v>
      </c>
      <c r="C31" t="str">
        <f t="shared" si="5"/>
        <v>GED</v>
      </c>
      <c r="D31">
        <v>39</v>
      </c>
      <c r="E31" t="str">
        <f>"700"</f>
        <v>700</v>
      </c>
      <c r="F31" t="str">
        <f>"0000"</f>
        <v>0000</v>
      </c>
    </row>
    <row r="32" spans="1:6">
      <c r="C32" t="str">
        <f t="shared" si="5"/>
        <v>GED</v>
      </c>
      <c r="D32">
        <v>39</v>
      </c>
      <c r="E32" t="str">
        <f>"701"</f>
        <v>701</v>
      </c>
      <c r="F32" t="str">
        <f>"0000"</f>
        <v>0000</v>
      </c>
    </row>
    <row r="33" spans="1:6">
      <c r="A33" t="str">
        <f>"E394-1"</f>
        <v>E394-1</v>
      </c>
      <c r="B33" t="str">
        <f>"VIA AL FORTE DI S. TECLA  1-"</f>
        <v>VIA AL FORTE DI S. TECLA  1-</v>
      </c>
      <c r="C33" t="str">
        <f t="shared" si="5"/>
        <v>GED</v>
      </c>
      <c r="D33">
        <v>39</v>
      </c>
      <c r="E33" t="str">
        <f>"698"</f>
        <v>698</v>
      </c>
      <c r="F33" t="str">
        <f>"0000"</f>
        <v>0000</v>
      </c>
    </row>
    <row r="34" spans="1:6">
      <c r="A34" t="str">
        <f>"E395-1"</f>
        <v>E395-1</v>
      </c>
      <c r="B34" t="str">
        <f>"VIA AL FORTE DI S. TECLA  1-"</f>
        <v>VIA AL FORTE DI S. TECLA  1-</v>
      </c>
      <c r="C34" t="str">
        <f t="shared" si="5"/>
        <v>GED</v>
      </c>
      <c r="D34">
        <v>39</v>
      </c>
      <c r="E34" t="str">
        <f>"702"</f>
        <v>702</v>
      </c>
      <c r="F34" t="str">
        <f>"0000"</f>
        <v>0000</v>
      </c>
    </row>
    <row r="35" spans="1:6">
      <c r="C35" t="str">
        <f t="shared" si="5"/>
        <v>GED</v>
      </c>
      <c r="D35">
        <v>39</v>
      </c>
      <c r="E35" t="str">
        <f>"703"</f>
        <v>703</v>
      </c>
      <c r="F35" t="str">
        <f>"0000"</f>
        <v>0000</v>
      </c>
    </row>
    <row r="36" spans="1:6">
      <c r="A36" t="str">
        <f>"E396-1"</f>
        <v>E396-1</v>
      </c>
      <c r="B36" t="str">
        <f>"PIAZZA MANZONI  1-"</f>
        <v>PIAZZA MANZONI  1-</v>
      </c>
      <c r="C36" t="str">
        <f t="shared" si="5"/>
        <v>GED</v>
      </c>
      <c r="D36">
        <v>50</v>
      </c>
      <c r="E36" t="str">
        <f>"10"</f>
        <v>10</v>
      </c>
      <c r="F36" t="str">
        <f>"1"</f>
        <v>1</v>
      </c>
    </row>
    <row r="37" spans="1:6">
      <c r="A37" t="str">
        <f>"E396-2"</f>
        <v>E396-2</v>
      </c>
      <c r="B37" t="str">
        <f>"VIA DELLA FENICE  1-"</f>
        <v>VIA DELLA FENICE  1-</v>
      </c>
      <c r="C37" t="str">
        <f t="shared" si="5"/>
        <v>GED</v>
      </c>
      <c r="D37">
        <v>50</v>
      </c>
      <c r="E37" t="str">
        <f>"10"</f>
        <v>10</v>
      </c>
      <c r="F37" t="str">
        <f>"2"</f>
        <v>2</v>
      </c>
    </row>
    <row r="38" spans="1:6">
      <c r="A38" t="str">
        <f>"E397-1"</f>
        <v>E397-1</v>
      </c>
      <c r="B38" t="str">
        <f>"PIAZZA GIOVANNI MARTINEZ  1-"</f>
        <v>PIAZZA GIOVANNI MARTINEZ  1-</v>
      </c>
      <c r="C38" t="str">
        <f t="shared" si="5"/>
        <v>GED</v>
      </c>
      <c r="D38">
        <v>50</v>
      </c>
      <c r="E38" t="str">
        <f>"175"</f>
        <v>175</v>
      </c>
      <c r="F38" t="str">
        <f>"1"</f>
        <v>1</v>
      </c>
    </row>
    <row r="39" spans="1:6">
      <c r="A39" t="str">
        <f>"E397-2"</f>
        <v>E397-2</v>
      </c>
      <c r="B39" t="str">
        <f>"PIAZZA GIOVANNI MARTINEZ  2-"</f>
        <v>PIAZZA GIOVANNI MARTINEZ  2-</v>
      </c>
      <c r="C39" t="str">
        <f t="shared" si="5"/>
        <v>GED</v>
      </c>
      <c r="D39">
        <v>50</v>
      </c>
      <c r="E39" t="str">
        <f>"175"</f>
        <v>175</v>
      </c>
      <c r="F39" t="str">
        <f>"2"</f>
        <v>2</v>
      </c>
    </row>
    <row r="40" spans="1:6">
      <c r="A40" t="str">
        <f>"E401-1"</f>
        <v>E401-1</v>
      </c>
      <c r="B40" t="str">
        <f>"PIAZZA GALILEO FERRARIS  4-"</f>
        <v>PIAZZA GALILEO FERRARIS  4-</v>
      </c>
      <c r="C40" t="str">
        <f t="shared" si="5"/>
        <v>GED</v>
      </c>
      <c r="D40">
        <v>37</v>
      </c>
      <c r="E40" t="str">
        <f>"92"</f>
        <v>92</v>
      </c>
      <c r="F40" t="str">
        <f>"1"</f>
        <v>1</v>
      </c>
    </row>
    <row r="41" spans="1:6">
      <c r="A41" t="str">
        <f>"E401-2"</f>
        <v>E401-2</v>
      </c>
      <c r="B41" t="str">
        <f>"PIAZZA GALILEO FERRARIS  4-"</f>
        <v>PIAZZA GALILEO FERRARIS  4-</v>
      </c>
      <c r="C41" t="str">
        <f t="shared" si="5"/>
        <v>GED</v>
      </c>
      <c r="D41">
        <v>37</v>
      </c>
      <c r="E41" t="str">
        <f>"92"</f>
        <v>92</v>
      </c>
      <c r="F41" t="str">
        <f>"2"</f>
        <v>2</v>
      </c>
    </row>
    <row r="42" spans="1:6">
      <c r="A42" t="str">
        <f>"E453-1"</f>
        <v>E453-1</v>
      </c>
      <c r="B42" t="str">
        <f>"CORSO MONTE GRAPPA VICINO AL 11-"</f>
        <v>CORSO MONTE GRAPPA VICINO AL 11-</v>
      </c>
      <c r="C42" t="str">
        <f>"GEC"</f>
        <v>GEC</v>
      </c>
      <c r="D42">
        <v>49</v>
      </c>
      <c r="E42" t="str">
        <f>"257"</f>
        <v>257</v>
      </c>
      <c r="F42" t="str">
        <f>"0000"</f>
        <v>0000</v>
      </c>
    </row>
    <row r="43" spans="1:6">
      <c r="A43" t="str">
        <f>"E454-1"</f>
        <v>E454-1</v>
      </c>
      <c r="B43" t="str">
        <f>"CORSO MONTE GRAPPA VICINO AL 16-"</f>
        <v>CORSO MONTE GRAPPA VICINO AL 16-</v>
      </c>
      <c r="C43" t="str">
        <f>"GEC"</f>
        <v>GEC</v>
      </c>
      <c r="D43">
        <v>49</v>
      </c>
      <c r="E43" t="str">
        <f>"227"</f>
        <v>227</v>
      </c>
      <c r="F43" t="str">
        <f>"0000"</f>
        <v>0000</v>
      </c>
    </row>
    <row r="44" spans="1:6">
      <c r="A44" t="str">
        <f>"E455-2"</f>
        <v>E455-2</v>
      </c>
      <c r="B44" t="str">
        <f>"VIA ALDO MANUZIO  16-"</f>
        <v>VIA ALDO MANUZIO  16-</v>
      </c>
      <c r="C44" t="str">
        <f t="shared" ref="C44:C54" si="6">"GED"</f>
        <v>GED</v>
      </c>
      <c r="D44">
        <v>44</v>
      </c>
      <c r="E44" t="str">
        <f>"378"</f>
        <v>378</v>
      </c>
      <c r="F44" t="str">
        <f>"53"</f>
        <v>53</v>
      </c>
    </row>
    <row r="45" spans="1:6">
      <c r="A45" t="str">
        <f>"E457-1"</f>
        <v>E457-1</v>
      </c>
      <c r="B45" t="str">
        <f>"VIA VINCENZO BLELE VICINO AL 35R-"</f>
        <v>VIA VINCENZO BLELE VICINO AL 35R-</v>
      </c>
      <c r="C45" t="str">
        <f t="shared" si="6"/>
        <v>GED</v>
      </c>
      <c r="D45">
        <v>44</v>
      </c>
      <c r="E45" t="str">
        <f>"329"</f>
        <v>329</v>
      </c>
      <c r="F45" t="str">
        <f>"1"</f>
        <v>1</v>
      </c>
    </row>
    <row r="46" spans="1:6">
      <c r="A46" t="str">
        <f>"E458-1"</f>
        <v>E458-1</v>
      </c>
      <c r="B46" t="str">
        <f>"VIA DONGHI  10-"</f>
        <v>VIA DONGHI  10-</v>
      </c>
      <c r="C46" t="str">
        <f t="shared" si="6"/>
        <v>GED</v>
      </c>
      <c r="D46">
        <v>44</v>
      </c>
      <c r="E46" t="str">
        <f>"218"</f>
        <v>218</v>
      </c>
      <c r="F46" t="str">
        <f>"0000"</f>
        <v>0000</v>
      </c>
    </row>
    <row r="47" spans="1:6">
      <c r="C47" t="str">
        <f t="shared" si="6"/>
        <v>GED</v>
      </c>
      <c r="D47">
        <v>44</v>
      </c>
      <c r="E47" t="str">
        <f>"242"</f>
        <v>242</v>
      </c>
      <c r="F47" t="str">
        <f>"0000"</f>
        <v>0000</v>
      </c>
    </row>
    <row r="48" spans="1:6">
      <c r="C48" t="str">
        <f t="shared" si="6"/>
        <v>GED</v>
      </c>
      <c r="D48">
        <v>44</v>
      </c>
      <c r="E48" t="str">
        <f>"261"</f>
        <v>261</v>
      </c>
      <c r="F48" t="str">
        <f>"2"</f>
        <v>2</v>
      </c>
    </row>
    <row r="49" spans="1:6">
      <c r="A49" t="str">
        <f>"E458-2"</f>
        <v>E458-2</v>
      </c>
      <c r="B49" t="str">
        <f>"VIA DONGHI  8-"</f>
        <v>VIA DONGHI  8-</v>
      </c>
      <c r="C49" t="str">
        <f t="shared" si="6"/>
        <v>GED</v>
      </c>
      <c r="D49">
        <v>44</v>
      </c>
      <c r="E49" t="str">
        <f>"261"</f>
        <v>261</v>
      </c>
      <c r="F49" t="str">
        <f>"1"</f>
        <v>1</v>
      </c>
    </row>
    <row r="50" spans="1:6">
      <c r="A50" t="str">
        <f>"E459-1"</f>
        <v>E459-1</v>
      </c>
      <c r="B50" t="str">
        <f>"PIAZZA STANISLAO SOLARI  2-"</f>
        <v>PIAZZA STANISLAO SOLARI  2-</v>
      </c>
      <c r="C50" t="str">
        <f t="shared" si="6"/>
        <v>GED</v>
      </c>
      <c r="D50">
        <v>42</v>
      </c>
      <c r="E50" t="str">
        <f>"1034"</f>
        <v>1034</v>
      </c>
      <c r="F50" t="str">
        <f>"0000"</f>
        <v>0000</v>
      </c>
    </row>
    <row r="51" spans="1:6">
      <c r="A51" t="str">
        <f>"E461-1"</f>
        <v>E461-1</v>
      </c>
      <c r="B51" t="str">
        <f>"PIAZZA TERRALBA VICINO AL 2-"</f>
        <v>PIAZZA TERRALBA VICINO AL 2-</v>
      </c>
      <c r="C51" t="str">
        <f t="shared" si="6"/>
        <v>GED</v>
      </c>
      <c r="D51">
        <v>51</v>
      </c>
      <c r="E51" t="str">
        <f>"832"</f>
        <v>832</v>
      </c>
      <c r="F51" t="str">
        <f>"0000"</f>
        <v>0000</v>
      </c>
    </row>
    <row r="52" spans="1:6">
      <c r="A52" t="str">
        <f>"E462-1"</f>
        <v>E462-1</v>
      </c>
      <c r="B52" t="str">
        <f>"VIA GIACOMO MORESCO  24-"</f>
        <v>VIA GIACOMO MORESCO  24-</v>
      </c>
      <c r="C52" t="str">
        <f t="shared" si="6"/>
        <v>GED</v>
      </c>
      <c r="D52">
        <v>43</v>
      </c>
      <c r="E52" t="str">
        <f>"120"</f>
        <v>120</v>
      </c>
      <c r="F52" t="str">
        <f>"6"</f>
        <v>6</v>
      </c>
    </row>
    <row r="53" spans="1:6">
      <c r="A53" t="str">
        <f>"E462-4"</f>
        <v>E462-4</v>
      </c>
      <c r="B53" t="str">
        <f>"VIA CANEVARI  1A-"</f>
        <v>VIA CANEVARI  1A-</v>
      </c>
      <c r="C53" t="str">
        <f t="shared" si="6"/>
        <v>GED</v>
      </c>
      <c r="D53">
        <v>43</v>
      </c>
      <c r="E53" t="str">
        <f>"120"</f>
        <v>120</v>
      </c>
      <c r="F53" t="str">
        <f>"4"</f>
        <v>4</v>
      </c>
    </row>
    <row r="54" spans="1:6">
      <c r="A54" t="str">
        <f>"E462-5"</f>
        <v>E462-5</v>
      </c>
      <c r="B54" t="str">
        <f>"VIA CANEVARI  3R-"</f>
        <v>VIA CANEVARI  3R-</v>
      </c>
      <c r="C54" t="str">
        <f t="shared" si="6"/>
        <v>GED</v>
      </c>
      <c r="D54">
        <v>43</v>
      </c>
      <c r="E54" t="str">
        <f>"120"</f>
        <v>120</v>
      </c>
      <c r="F54" t="str">
        <f>"5"</f>
        <v>5</v>
      </c>
    </row>
    <row r="55" spans="1:6">
      <c r="A55" t="str">
        <f>"E463-1"</f>
        <v>E463-1</v>
      </c>
      <c r="B55" t="str">
        <f>"VIA AURELIANO GALEAZZO  26-"</f>
        <v>VIA AURELIANO GALEAZZO  26-</v>
      </c>
      <c r="C55" t="str">
        <f>"1"</f>
        <v>1</v>
      </c>
      <c r="D55">
        <v>55</v>
      </c>
      <c r="E55" t="str">
        <f>"1451"</f>
        <v>1451</v>
      </c>
      <c r="F55" t="str">
        <f>"0000"</f>
        <v>0000</v>
      </c>
    </row>
    <row r="56" spans="1:6">
      <c r="A56" t="str">
        <f>"E465-1"</f>
        <v>E465-1</v>
      </c>
      <c r="B56" t="str">
        <f>"VIA CONTUB GB D ALBERTIS  7-"</f>
        <v>VIA CONTUB GB D ALBERTIS  7-</v>
      </c>
      <c r="C56" t="str">
        <f>"GED"</f>
        <v>GED</v>
      </c>
      <c r="D56">
        <v>51</v>
      </c>
      <c r="E56" t="str">
        <f>"390"</f>
        <v>390</v>
      </c>
      <c r="F56" t="str">
        <f>"0000"</f>
        <v>0000</v>
      </c>
    </row>
    <row r="57" spans="1:6">
      <c r="C57" t="str">
        <f>"GED"</f>
        <v>GED</v>
      </c>
      <c r="D57">
        <v>51</v>
      </c>
      <c r="E57" t="str">
        <f>"392"</f>
        <v>392</v>
      </c>
      <c r="F57" t="str">
        <f>"1"</f>
        <v>1</v>
      </c>
    </row>
    <row r="58" spans="1:6">
      <c r="A58" t="str">
        <f>"E465-2"</f>
        <v>E465-2</v>
      </c>
      <c r="B58" t="str">
        <f>"VIA ALESSANDRO REPETTO VICINO AL 7-"</f>
        <v>VIA ALESSANDRO REPETTO VICINO AL 7-</v>
      </c>
      <c r="C58" t="str">
        <f t="shared" ref="C58:C69" si="7">"1"</f>
        <v>1</v>
      </c>
      <c r="D58">
        <v>53</v>
      </c>
      <c r="E58" t="str">
        <f>"199"</f>
        <v>199</v>
      </c>
      <c r="F58" t="str">
        <f t="shared" ref="F58:F71" si="8">"0000"</f>
        <v>0000</v>
      </c>
    </row>
    <row r="59" spans="1:6">
      <c r="C59" t="str">
        <f t="shared" si="7"/>
        <v>1</v>
      </c>
      <c r="D59">
        <v>53</v>
      </c>
      <c r="E59" t="str">
        <f>"60"</f>
        <v>60</v>
      </c>
      <c r="F59" t="str">
        <f t="shared" si="8"/>
        <v>0000</v>
      </c>
    </row>
    <row r="60" spans="1:6">
      <c r="C60" t="str">
        <f t="shared" si="7"/>
        <v>1</v>
      </c>
      <c r="D60">
        <v>53</v>
      </c>
      <c r="E60" t="str">
        <f>"59"</f>
        <v>59</v>
      </c>
      <c r="F60" t="str">
        <f t="shared" si="8"/>
        <v>0000</v>
      </c>
    </row>
    <row r="61" spans="1:6">
      <c r="C61" t="str">
        <f t="shared" si="7"/>
        <v>1</v>
      </c>
      <c r="D61">
        <v>53</v>
      </c>
      <c r="E61" t="str">
        <f>"296"</f>
        <v>296</v>
      </c>
      <c r="F61" t="str">
        <f t="shared" si="8"/>
        <v>0000</v>
      </c>
    </row>
    <row r="62" spans="1:6">
      <c r="C62" t="str">
        <f t="shared" si="7"/>
        <v>1</v>
      </c>
      <c r="D62">
        <v>53</v>
      </c>
      <c r="E62" t="str">
        <f>"249"</f>
        <v>249</v>
      </c>
      <c r="F62" t="str">
        <f t="shared" si="8"/>
        <v>0000</v>
      </c>
    </row>
    <row r="63" spans="1:6">
      <c r="C63" t="str">
        <f t="shared" si="7"/>
        <v>1</v>
      </c>
      <c r="D63">
        <v>53</v>
      </c>
      <c r="E63" t="str">
        <f>"248"</f>
        <v>248</v>
      </c>
      <c r="F63" t="str">
        <f t="shared" si="8"/>
        <v>0000</v>
      </c>
    </row>
    <row r="64" spans="1:6">
      <c r="C64" t="str">
        <f t="shared" si="7"/>
        <v>1</v>
      </c>
      <c r="D64">
        <v>53</v>
      </c>
      <c r="E64" t="str">
        <f>"247"</f>
        <v>247</v>
      </c>
      <c r="F64" t="str">
        <f t="shared" si="8"/>
        <v>0000</v>
      </c>
    </row>
    <row r="65" spans="1:6">
      <c r="C65" t="str">
        <f t="shared" si="7"/>
        <v>1</v>
      </c>
      <c r="D65">
        <v>53</v>
      </c>
      <c r="E65" t="str">
        <f>"246"</f>
        <v>246</v>
      </c>
      <c r="F65" t="str">
        <f t="shared" si="8"/>
        <v>0000</v>
      </c>
    </row>
    <row r="66" spans="1:6">
      <c r="A66" t="str">
        <f>"E474-23"</f>
        <v>E474-23</v>
      </c>
      <c r="B66" t="str">
        <f>"CORSO MONTE GRAPPA  110R-"</f>
        <v>CORSO MONTE GRAPPA  110R-</v>
      </c>
      <c r="C66" t="str">
        <f t="shared" si="7"/>
        <v>1</v>
      </c>
      <c r="D66">
        <v>49</v>
      </c>
      <c r="E66" t="str">
        <f>"73"</f>
        <v>73</v>
      </c>
      <c r="F66" t="str">
        <f t="shared" si="8"/>
        <v>0000</v>
      </c>
    </row>
    <row r="67" spans="1:6">
      <c r="C67" t="str">
        <f t="shared" si="7"/>
        <v>1</v>
      </c>
      <c r="D67">
        <v>49</v>
      </c>
      <c r="E67" t="str">
        <f>"86"</f>
        <v>86</v>
      </c>
      <c r="F67" t="str">
        <f t="shared" si="8"/>
        <v>0000</v>
      </c>
    </row>
    <row r="68" spans="1:6">
      <c r="A68" t="str">
        <f>"E474-24"</f>
        <v>E474-24</v>
      </c>
      <c r="B68" t="str">
        <f>"CORSO MONTE GRAPPA  110R-"</f>
        <v>CORSO MONTE GRAPPA  110R-</v>
      </c>
      <c r="C68" t="str">
        <f t="shared" si="7"/>
        <v>1</v>
      </c>
      <c r="D68">
        <v>49</v>
      </c>
      <c r="E68" t="str">
        <f>"73"</f>
        <v>73</v>
      </c>
      <c r="F68" t="str">
        <f t="shared" si="8"/>
        <v>0000</v>
      </c>
    </row>
    <row r="69" spans="1:6">
      <c r="C69" t="str">
        <f t="shared" si="7"/>
        <v>1</v>
      </c>
      <c r="D69">
        <v>49</v>
      </c>
      <c r="E69" t="str">
        <f>"86"</f>
        <v>86</v>
      </c>
      <c r="F69" t="str">
        <f t="shared" si="8"/>
        <v>0000</v>
      </c>
    </row>
    <row r="70" spans="1:6">
      <c r="A70" t="str">
        <f>"E484-1"</f>
        <v>E484-1</v>
      </c>
      <c r="B70" t="str">
        <f>"LARGO GAETANO GIARDINO  13-"</f>
        <v>LARGO GAETANO GIARDINO  13-</v>
      </c>
      <c r="C70" t="str">
        <f>"GEC"</f>
        <v>GEC</v>
      </c>
      <c r="D70">
        <v>13</v>
      </c>
      <c r="E70" t="str">
        <f>"881"</f>
        <v>881</v>
      </c>
      <c r="F70" t="str">
        <f t="shared" si="8"/>
        <v>0000</v>
      </c>
    </row>
    <row r="71" spans="1:6">
      <c r="A71" t="str">
        <f>"E485-3"</f>
        <v>E485-3</v>
      </c>
      <c r="B71" t="str">
        <f>"VIA CONTUB GB D ALBERTIS  5-"</f>
        <v>VIA CONTUB GB D ALBERTIS  5-</v>
      </c>
      <c r="C71" t="str">
        <f>"GED"</f>
        <v>GED</v>
      </c>
      <c r="D71">
        <v>43</v>
      </c>
      <c r="E71" t="str">
        <f>"387"</f>
        <v>387</v>
      </c>
      <c r="F71" t="str">
        <f t="shared" si="8"/>
        <v>0000</v>
      </c>
    </row>
    <row r="72" spans="1:6">
      <c r="C72" t="str">
        <f>"GED"</f>
        <v>GED</v>
      </c>
      <c r="D72">
        <v>43</v>
      </c>
      <c r="E72" t="str">
        <f>"388"</f>
        <v>388</v>
      </c>
      <c r="F72" t="str">
        <f>"27"</f>
        <v>27</v>
      </c>
    </row>
    <row r="73" spans="1:6">
      <c r="A73" t="str">
        <f>"E485-21"</f>
        <v>E485-21</v>
      </c>
      <c r="B73" t="str">
        <f>"VIA CONTUB GB D ALBERTIS  23R-"</f>
        <v>VIA CONTUB GB D ALBERTIS  23R-</v>
      </c>
      <c r="C73" t="str">
        <f>"GED"</f>
        <v>GED</v>
      </c>
      <c r="D73">
        <v>43</v>
      </c>
      <c r="E73" t="str">
        <f>"388"</f>
        <v>388</v>
      </c>
      <c r="F73" t="str">
        <f>"21"</f>
        <v>21</v>
      </c>
    </row>
    <row r="74" spans="1:6">
      <c r="A74" t="str">
        <f>"E486-1"</f>
        <v>E486-1</v>
      </c>
      <c r="B74" t="str">
        <f>"VIA PASQUALE BERGHINI  1-"</f>
        <v>VIA PASQUALE BERGHINI  1-</v>
      </c>
      <c r="C74" t="str">
        <f>"1"</f>
        <v>1</v>
      </c>
      <c r="D74">
        <v>55</v>
      </c>
      <c r="E74" t="str">
        <f>"76"</f>
        <v>76</v>
      </c>
      <c r="F74" t="str">
        <f>"0000"</f>
        <v>0000</v>
      </c>
    </row>
    <row r="75" spans="1:6">
      <c r="A75" t="str">
        <f>"E486-2"</f>
        <v>E486-2</v>
      </c>
      <c r="B75" t="str">
        <f>"VIA PASQUALE BERGHINI  1-"</f>
        <v>VIA PASQUALE BERGHINI  1-</v>
      </c>
      <c r="C75" t="str">
        <f>"1"</f>
        <v>1</v>
      </c>
      <c r="D75">
        <v>55</v>
      </c>
      <c r="E75" t="str">
        <f>"76"</f>
        <v>76</v>
      </c>
      <c r="F75" t="str">
        <f>"0000"</f>
        <v>0000</v>
      </c>
    </row>
    <row r="76" spans="1:6">
      <c r="A76" t="str">
        <f>"E486-3"</f>
        <v>E486-3</v>
      </c>
      <c r="B76" t="str">
        <f>"VIA PASQUALE BERGHINI  1-"</f>
        <v>VIA PASQUALE BERGHINI  1-</v>
      </c>
      <c r="C76" t="str">
        <f>"1"</f>
        <v>1</v>
      </c>
      <c r="D76">
        <v>55</v>
      </c>
      <c r="E76" t="str">
        <f>"76"</f>
        <v>76</v>
      </c>
      <c r="F76" t="str">
        <f>"0000"</f>
        <v>0000</v>
      </c>
    </row>
    <row r="77" spans="1:6">
      <c r="A77" t="str">
        <f>"E487-1"</f>
        <v>E487-1</v>
      </c>
      <c r="B77" t="str">
        <f>"LARGO GAETANO GIARDINO  12-"</f>
        <v>LARGO GAETANO GIARDINO  12-</v>
      </c>
      <c r="C77" t="str">
        <f>"GEC"</f>
        <v>GEC</v>
      </c>
      <c r="D77">
        <v>41</v>
      </c>
      <c r="E77" t="str">
        <f>"121"</f>
        <v>121</v>
      </c>
      <c r="F77" t="str">
        <f>"2"</f>
        <v>2</v>
      </c>
    </row>
    <row r="78" spans="1:6">
      <c r="C78" t="str">
        <f>"GEC"</f>
        <v>GEC</v>
      </c>
      <c r="D78">
        <v>41</v>
      </c>
      <c r="E78" t="str">
        <f>"124"</f>
        <v>124</v>
      </c>
      <c r="F78" t="str">
        <f>"1"</f>
        <v>1</v>
      </c>
    </row>
    <row r="79" spans="1:6">
      <c r="C79" t="str">
        <f>"GEC"</f>
        <v>GEC</v>
      </c>
      <c r="D79">
        <v>41</v>
      </c>
      <c r="E79" t="str">
        <f>"122"</f>
        <v>122</v>
      </c>
      <c r="F79" t="str">
        <f>"0000"</f>
        <v>0000</v>
      </c>
    </row>
    <row r="80" spans="1:6">
      <c r="C80" t="str">
        <f>"GEC"</f>
        <v>GEC</v>
      </c>
      <c r="D80">
        <v>41</v>
      </c>
      <c r="E80" t="str">
        <f>"123"</f>
        <v>123</v>
      </c>
      <c r="F80" t="str">
        <f>"0000"</f>
        <v>0000</v>
      </c>
    </row>
    <row r="81" spans="1:6">
      <c r="A81" t="str">
        <f>"E487-2"</f>
        <v>E487-2</v>
      </c>
      <c r="B81" t="str">
        <f>"LARGO GAETANO GIARDINO  12-"</f>
        <v>LARGO GAETANO GIARDINO  12-</v>
      </c>
      <c r="C81" t="str">
        <f>"GEC"</f>
        <v>GEC</v>
      </c>
      <c r="D81">
        <v>41</v>
      </c>
      <c r="E81" t="str">
        <f>"121"</f>
        <v>121</v>
      </c>
      <c r="F81" t="str">
        <f>"1"</f>
        <v>1</v>
      </c>
    </row>
    <row r="82" spans="1:6">
      <c r="A82" t="str">
        <f>"E490-63"</f>
        <v>E490-63</v>
      </c>
      <c r="B82" t="str">
        <f>"VIA ORISTANO  24-"</f>
        <v>VIA ORISTANO  24-</v>
      </c>
      <c r="C82" t="str">
        <f t="shared" ref="C82:C98" si="9">"GED"</f>
        <v>GED</v>
      </c>
      <c r="D82">
        <v>43</v>
      </c>
      <c r="E82" t="str">
        <f>"176"</f>
        <v>176</v>
      </c>
      <c r="F82" t="str">
        <f>"64"</f>
        <v>64</v>
      </c>
    </row>
    <row r="83" spans="1:6">
      <c r="A83" t="str">
        <f>"E490-64"</f>
        <v>E490-64</v>
      </c>
      <c r="B83" t="str">
        <f>"VIA ORISTANO  22-"</f>
        <v>VIA ORISTANO  22-</v>
      </c>
      <c r="C83" t="str">
        <f t="shared" si="9"/>
        <v>GED</v>
      </c>
      <c r="D83">
        <v>43</v>
      </c>
      <c r="E83" t="str">
        <f>"176"</f>
        <v>176</v>
      </c>
      <c r="F83" t="str">
        <f>"65"</f>
        <v>65</v>
      </c>
    </row>
    <row r="84" spans="1:6">
      <c r="A84" t="str">
        <f>"E490-65"</f>
        <v>E490-65</v>
      </c>
      <c r="B84" t="str">
        <f>"VIA ORISTANO  20-"</f>
        <v>VIA ORISTANO  20-</v>
      </c>
      <c r="C84" t="str">
        <f t="shared" si="9"/>
        <v>GED</v>
      </c>
      <c r="D84">
        <v>43</v>
      </c>
      <c r="E84" t="str">
        <f>"176"</f>
        <v>176</v>
      </c>
      <c r="F84" t="str">
        <f>"66"</f>
        <v>66</v>
      </c>
    </row>
    <row r="85" spans="1:6">
      <c r="A85" t="str">
        <f>"E491-1"</f>
        <v>E491-1</v>
      </c>
      <c r="B85" t="str">
        <f>"VIA CARLO VARESE  5R-"</f>
        <v>VIA CARLO VARESE  5R-</v>
      </c>
      <c r="C85" t="str">
        <f t="shared" si="9"/>
        <v>GED</v>
      </c>
      <c r="D85">
        <v>43</v>
      </c>
      <c r="E85" t="str">
        <f>"403"</f>
        <v>403</v>
      </c>
      <c r="F85" t="str">
        <f>"0000"</f>
        <v>0000</v>
      </c>
    </row>
    <row r="86" spans="1:6">
      <c r="A86" t="str">
        <f>"E493-1"</f>
        <v>E493-1</v>
      </c>
      <c r="B86" t="str">
        <f>"VIA SAN FRUTTUOSO  74-"</f>
        <v>VIA SAN FRUTTUOSO  74-</v>
      </c>
      <c r="C86" t="str">
        <f t="shared" si="9"/>
        <v>GED</v>
      </c>
      <c r="D86">
        <v>51</v>
      </c>
      <c r="E86" t="str">
        <f>"113"</f>
        <v>113</v>
      </c>
      <c r="F86" t="str">
        <f>"1"</f>
        <v>1</v>
      </c>
    </row>
    <row r="87" spans="1:6">
      <c r="C87" t="str">
        <f t="shared" si="9"/>
        <v>GED</v>
      </c>
      <c r="D87">
        <v>51</v>
      </c>
      <c r="E87" t="str">
        <f>"114"</f>
        <v>114</v>
      </c>
      <c r="F87" t="str">
        <f>"0000"</f>
        <v>0000</v>
      </c>
    </row>
    <row r="88" spans="1:6">
      <c r="C88" t="str">
        <f t="shared" si="9"/>
        <v>GED</v>
      </c>
      <c r="D88">
        <v>51</v>
      </c>
      <c r="E88" t="str">
        <f>"216"</f>
        <v>216</v>
      </c>
      <c r="F88" t="str">
        <f>"0000"</f>
        <v>0000</v>
      </c>
    </row>
    <row r="89" spans="1:6">
      <c r="C89" t="str">
        <f t="shared" si="9"/>
        <v>GED</v>
      </c>
      <c r="D89">
        <v>51</v>
      </c>
      <c r="E89" t="str">
        <f>"217"</f>
        <v>217</v>
      </c>
      <c r="F89" t="str">
        <f>"0000"</f>
        <v>0000</v>
      </c>
    </row>
    <row r="90" spans="1:6">
      <c r="A90" t="str">
        <f>"E493-2"</f>
        <v>E493-2</v>
      </c>
      <c r="B90" t="str">
        <f>"VIA SAN FRUTTUOSO  74-"</f>
        <v>VIA SAN FRUTTUOSO  74-</v>
      </c>
      <c r="C90" t="str">
        <f t="shared" si="9"/>
        <v>GED</v>
      </c>
      <c r="D90">
        <v>51</v>
      </c>
      <c r="E90" t="str">
        <f>"113"</f>
        <v>113</v>
      </c>
      <c r="F90" t="str">
        <f>"2"</f>
        <v>2</v>
      </c>
    </row>
    <row r="91" spans="1:6">
      <c r="A91" t="str">
        <f>"E495-1"</f>
        <v>E495-1</v>
      </c>
      <c r="B91" t="str">
        <f>"VIA SAN FRUTTUOSO  72-"</f>
        <v>VIA SAN FRUTTUOSO  72-</v>
      </c>
      <c r="C91" t="str">
        <f t="shared" si="9"/>
        <v>GED</v>
      </c>
      <c r="D91">
        <v>51</v>
      </c>
      <c r="E91" t="str">
        <f>"168"</f>
        <v>168</v>
      </c>
      <c r="F91" t="str">
        <f>"1"</f>
        <v>1</v>
      </c>
    </row>
    <row r="92" spans="1:6">
      <c r="A92" t="str">
        <f>"E495-2"</f>
        <v>E495-2</v>
      </c>
      <c r="B92" t="str">
        <f>"VIA SAN FRUTTUOSO  72-"</f>
        <v>VIA SAN FRUTTUOSO  72-</v>
      </c>
      <c r="C92" t="str">
        <f t="shared" si="9"/>
        <v>GED</v>
      </c>
      <c r="D92">
        <v>51</v>
      </c>
      <c r="E92" t="str">
        <f>"168"</f>
        <v>168</v>
      </c>
      <c r="F92" t="str">
        <f>"2"</f>
        <v>2</v>
      </c>
    </row>
    <row r="93" spans="1:6">
      <c r="A93" t="str">
        <f>"E495-3"</f>
        <v>E495-3</v>
      </c>
      <c r="B93" t="str">
        <f>"VIA SAN FRUTTUOSO  72-"</f>
        <v>VIA SAN FRUTTUOSO  72-</v>
      </c>
      <c r="C93" t="str">
        <f t="shared" si="9"/>
        <v>GED</v>
      </c>
      <c r="D93">
        <v>51</v>
      </c>
      <c r="E93" t="str">
        <f>"168"</f>
        <v>168</v>
      </c>
      <c r="F93" t="str">
        <f>"3"</f>
        <v>3</v>
      </c>
    </row>
    <row r="94" spans="1:6">
      <c r="A94" t="str">
        <f>"E495-4"</f>
        <v>E495-4</v>
      </c>
      <c r="B94" t="str">
        <f>"VIA SAN FRUTTUOSO  72-"</f>
        <v>VIA SAN FRUTTUOSO  72-</v>
      </c>
      <c r="C94" t="str">
        <f t="shared" si="9"/>
        <v>GED</v>
      </c>
      <c r="D94">
        <v>51</v>
      </c>
      <c r="E94" t="str">
        <f>"168"</f>
        <v>168</v>
      </c>
      <c r="F94" t="str">
        <f>"4"</f>
        <v>4</v>
      </c>
    </row>
    <row r="95" spans="1:6">
      <c r="A95" t="str">
        <f>"E495-5"</f>
        <v>E495-5</v>
      </c>
      <c r="B95" t="str">
        <f>"VIA SAN FRUTTUOSO  72-"</f>
        <v>VIA SAN FRUTTUOSO  72-</v>
      </c>
      <c r="C95" t="str">
        <f t="shared" si="9"/>
        <v>GED</v>
      </c>
      <c r="D95">
        <v>51</v>
      </c>
      <c r="E95" t="str">
        <f>"168"</f>
        <v>168</v>
      </c>
      <c r="F95" t="str">
        <f>"5"</f>
        <v>5</v>
      </c>
    </row>
    <row r="96" spans="1:6">
      <c r="A96" t="str">
        <f>"E497-1"</f>
        <v>E497-1</v>
      </c>
      <c r="B96" t="str">
        <f>"VIA IMPERIALE VICINO AL 14-"</f>
        <v>VIA IMPERIALE VICINO AL 14-</v>
      </c>
      <c r="C96" t="str">
        <f t="shared" si="9"/>
        <v>GED</v>
      </c>
      <c r="D96">
        <v>51</v>
      </c>
      <c r="E96" t="str">
        <f>"127"</f>
        <v>127</v>
      </c>
      <c r="F96" t="str">
        <f>"1"</f>
        <v>1</v>
      </c>
    </row>
    <row r="97" spans="1:6">
      <c r="A97" t="str">
        <f>"E497-2"</f>
        <v>E497-2</v>
      </c>
      <c r="B97" t="str">
        <f>"VIA IMPERIALE  14-"</f>
        <v>VIA IMPERIALE  14-</v>
      </c>
      <c r="C97" t="str">
        <f t="shared" si="9"/>
        <v>GED</v>
      </c>
      <c r="D97">
        <v>51</v>
      </c>
      <c r="E97" t="str">
        <f>"127"</f>
        <v>127</v>
      </c>
      <c r="F97" t="str">
        <f>"2"</f>
        <v>2</v>
      </c>
    </row>
    <row r="98" spans="1:6">
      <c r="A98" t="str">
        <f>"E498-1"</f>
        <v>E498-1</v>
      </c>
      <c r="B98" t="str">
        <f>"VIA SAN FRUTTUOSO VICINO AL 74-"</f>
        <v>VIA SAN FRUTTUOSO VICINO AL 74-</v>
      </c>
      <c r="C98" t="str">
        <f t="shared" si="9"/>
        <v>GED</v>
      </c>
      <c r="D98">
        <v>51</v>
      </c>
      <c r="E98" t="str">
        <f>"844"</f>
        <v>844</v>
      </c>
      <c r="F98" t="str">
        <f>"0000"</f>
        <v>0000</v>
      </c>
    </row>
    <row r="99" spans="1:6">
      <c r="A99" t="str">
        <f>"E499-1"</f>
        <v>E499-1</v>
      </c>
      <c r="B99" t="str">
        <f>"PIAZZA G.DOM.ROMAGNOSI  2-"</f>
        <v>PIAZZA G.DOM.ROMAGNOSI  2-</v>
      </c>
      <c r="C99" t="str">
        <f>"GEC"</f>
        <v>GEC</v>
      </c>
      <c r="D99">
        <v>41</v>
      </c>
      <c r="E99" t="str">
        <f>"177"</f>
        <v>177</v>
      </c>
      <c r="F99" t="str">
        <f>"0000"</f>
        <v>0000</v>
      </c>
    </row>
    <row r="100" spans="1:6">
      <c r="A100" t="str">
        <f>"E508-1"</f>
        <v>E508-1</v>
      </c>
      <c r="B100" t="str">
        <f>"VIA PASQUALE BERGHINI  1-"</f>
        <v>VIA PASQUALE BERGHINI  1-</v>
      </c>
      <c r="C100" t="str">
        <f>"1"</f>
        <v>1</v>
      </c>
      <c r="D100">
        <v>55</v>
      </c>
      <c r="E100" t="str">
        <f>"76"</f>
        <v>76</v>
      </c>
      <c r="F100" t="str">
        <f>"0000"</f>
        <v>0000</v>
      </c>
    </row>
    <row r="101" spans="1:6">
      <c r="A101" t="str">
        <f>"E509-1"</f>
        <v>E509-1</v>
      </c>
      <c r="B101" t="str">
        <f>"VIA PASQUALE BERGHINI  1-"</f>
        <v>VIA PASQUALE BERGHINI  1-</v>
      </c>
      <c r="C101" t="str">
        <f>"1"</f>
        <v>1</v>
      </c>
      <c r="D101">
        <v>55</v>
      </c>
      <c r="E101" t="str">
        <f>"76"</f>
        <v>76</v>
      </c>
      <c r="F101" t="str">
        <f>"0000"</f>
        <v>0000</v>
      </c>
    </row>
    <row r="102" spans="1:6">
      <c r="A102" t="str">
        <f>"E515-1"</f>
        <v>E515-1</v>
      </c>
      <c r="B102" t="str">
        <f>"VIA AYROLI  26-"</f>
        <v>VIA AYROLI  26-</v>
      </c>
      <c r="C102" t="str">
        <f t="shared" ref="C102:C126" si="10">"GED"</f>
        <v>GED</v>
      </c>
      <c r="D102">
        <v>43</v>
      </c>
      <c r="E102" t="str">
        <f>"171"</f>
        <v>171</v>
      </c>
      <c r="F102" t="str">
        <f>"58"</f>
        <v>58</v>
      </c>
    </row>
    <row r="103" spans="1:6">
      <c r="A103" t="str">
        <f>"E515-2"</f>
        <v>E515-2</v>
      </c>
      <c r="B103" t="str">
        <f>"VIA AYROLI  26-"</f>
        <v>VIA AYROLI  26-</v>
      </c>
      <c r="C103" t="str">
        <f t="shared" si="10"/>
        <v>GED</v>
      </c>
      <c r="D103">
        <v>43</v>
      </c>
      <c r="E103" t="str">
        <f>"171"</f>
        <v>171</v>
      </c>
      <c r="F103" t="str">
        <f>"59"</f>
        <v>59</v>
      </c>
    </row>
    <row r="104" spans="1:6">
      <c r="A104" t="str">
        <f>"E515-3"</f>
        <v>E515-3</v>
      </c>
      <c r="B104" t="str">
        <f>"VIA AYROLI  26-"</f>
        <v>VIA AYROLI  26-</v>
      </c>
      <c r="C104" t="str">
        <f t="shared" si="10"/>
        <v>GED</v>
      </c>
      <c r="D104">
        <v>43</v>
      </c>
      <c r="E104" t="str">
        <f>"171"</f>
        <v>171</v>
      </c>
      <c r="F104" t="str">
        <f>"60"</f>
        <v>60</v>
      </c>
    </row>
    <row r="105" spans="1:6">
      <c r="A105" t="str">
        <f>"E517-1"</f>
        <v>E517-1</v>
      </c>
      <c r="B105" t="str">
        <f>"VIA CANEVARI  1-"</f>
        <v>VIA CANEVARI  1-</v>
      </c>
      <c r="C105" t="str">
        <f t="shared" si="10"/>
        <v>GED</v>
      </c>
      <c r="D105">
        <v>43</v>
      </c>
      <c r="E105" t="str">
        <f>"117"</f>
        <v>117</v>
      </c>
      <c r="F105" t="str">
        <f>"1"</f>
        <v>1</v>
      </c>
    </row>
    <row r="106" spans="1:6">
      <c r="C106" t="str">
        <f t="shared" si="10"/>
        <v>GED</v>
      </c>
      <c r="D106">
        <v>43</v>
      </c>
      <c r="E106" t="str">
        <f>"119"</f>
        <v>119</v>
      </c>
      <c r="F106" t="str">
        <f>"0000"</f>
        <v>0000</v>
      </c>
    </row>
    <row r="107" spans="1:6">
      <c r="C107" t="str">
        <f t="shared" si="10"/>
        <v>GED</v>
      </c>
      <c r="D107">
        <v>43</v>
      </c>
      <c r="E107" t="str">
        <f>"443"</f>
        <v>443</v>
      </c>
      <c r="F107" t="str">
        <f>"0000"</f>
        <v>0000</v>
      </c>
    </row>
    <row r="108" spans="1:6">
      <c r="C108" t="str">
        <f t="shared" si="10"/>
        <v>GED</v>
      </c>
      <c r="D108">
        <v>43</v>
      </c>
      <c r="E108" t="str">
        <f>"118"</f>
        <v>118</v>
      </c>
      <c r="F108" t="str">
        <f>"0000"</f>
        <v>0000</v>
      </c>
    </row>
    <row r="109" spans="1:6">
      <c r="A109" t="str">
        <f>"E517-2"</f>
        <v>E517-2</v>
      </c>
      <c r="B109" t="str">
        <f>"VIA CANEVARI  3-"</f>
        <v>VIA CANEVARI  3-</v>
      </c>
      <c r="C109" t="str">
        <f t="shared" si="10"/>
        <v>GED</v>
      </c>
      <c r="D109">
        <v>43</v>
      </c>
      <c r="E109" t="str">
        <f>"117"</f>
        <v>117</v>
      </c>
      <c r="F109" t="str">
        <f>"2"</f>
        <v>2</v>
      </c>
    </row>
    <row r="110" spans="1:6">
      <c r="A110" t="str">
        <f>"E517-3"</f>
        <v>E517-3</v>
      </c>
      <c r="B110" t="str">
        <f>"VIA CANEVARI  5-"</f>
        <v>VIA CANEVARI  5-</v>
      </c>
      <c r="C110" t="str">
        <f t="shared" si="10"/>
        <v>GED</v>
      </c>
      <c r="D110">
        <v>43</v>
      </c>
      <c r="E110" t="str">
        <f>"117"</f>
        <v>117</v>
      </c>
      <c r="F110" t="str">
        <f>"3"</f>
        <v>3</v>
      </c>
    </row>
    <row r="111" spans="1:6">
      <c r="A111" t="str">
        <f>"E517-4"</f>
        <v>E517-4</v>
      </c>
      <c r="B111" t="str">
        <f>"VIA CANEVARI  5-"</f>
        <v>VIA CANEVARI  5-</v>
      </c>
      <c r="C111" t="str">
        <f t="shared" si="10"/>
        <v>GED</v>
      </c>
      <c r="D111">
        <v>43</v>
      </c>
      <c r="E111" t="str">
        <f>"117"</f>
        <v>117</v>
      </c>
      <c r="F111" t="str">
        <f>"4"</f>
        <v>4</v>
      </c>
    </row>
    <row r="112" spans="1:6">
      <c r="A112" t="str">
        <f>"E525-1"</f>
        <v>E525-1</v>
      </c>
      <c r="B112" t="str">
        <f>"CORSO SARDEGNA  67-"</f>
        <v>CORSO SARDEGNA  67-</v>
      </c>
      <c r="C112" t="str">
        <f t="shared" si="10"/>
        <v>GED</v>
      </c>
      <c r="D112">
        <v>43</v>
      </c>
      <c r="E112" t="str">
        <f>"179"</f>
        <v>179</v>
      </c>
      <c r="F112" t="str">
        <f>"1"</f>
        <v>1</v>
      </c>
    </row>
    <row r="113" spans="1:6">
      <c r="C113" t="str">
        <f t="shared" si="10"/>
        <v>GED</v>
      </c>
      <c r="D113">
        <v>43</v>
      </c>
      <c r="E113" t="str">
        <f>"180"</f>
        <v>180</v>
      </c>
      <c r="F113" t="str">
        <f>"0000"</f>
        <v>0000</v>
      </c>
    </row>
    <row r="114" spans="1:6">
      <c r="C114" t="str">
        <f t="shared" si="10"/>
        <v>GED</v>
      </c>
      <c r="D114">
        <v>43</v>
      </c>
      <c r="E114" t="str">
        <f>"182"</f>
        <v>182</v>
      </c>
      <c r="F114" t="str">
        <f>"4"</f>
        <v>4</v>
      </c>
    </row>
    <row r="115" spans="1:6">
      <c r="C115" t="str">
        <f t="shared" si="10"/>
        <v>GED</v>
      </c>
      <c r="D115">
        <v>50</v>
      </c>
      <c r="E115" t="str">
        <f>"85"</f>
        <v>85</v>
      </c>
      <c r="F115" t="str">
        <f t="shared" ref="F115:F122" si="11">"0000"</f>
        <v>0000</v>
      </c>
    </row>
    <row r="116" spans="1:6">
      <c r="C116" t="str">
        <f t="shared" si="10"/>
        <v>GED</v>
      </c>
      <c r="D116">
        <v>50</v>
      </c>
      <c r="E116" t="str">
        <f>"280"</f>
        <v>280</v>
      </c>
      <c r="F116" t="str">
        <f t="shared" si="11"/>
        <v>0000</v>
      </c>
    </row>
    <row r="117" spans="1:6">
      <c r="C117" t="str">
        <f t="shared" si="10"/>
        <v>GED</v>
      </c>
      <c r="D117">
        <v>43</v>
      </c>
      <c r="E117" t="str">
        <f>"456"</f>
        <v>456</v>
      </c>
      <c r="F117" t="str">
        <f t="shared" si="11"/>
        <v>0000</v>
      </c>
    </row>
    <row r="118" spans="1:6">
      <c r="C118" t="str">
        <f t="shared" si="10"/>
        <v>GED</v>
      </c>
      <c r="D118">
        <v>43</v>
      </c>
      <c r="E118" t="str">
        <f>"454"</f>
        <v>454</v>
      </c>
      <c r="F118" t="str">
        <f t="shared" si="11"/>
        <v>0000</v>
      </c>
    </row>
    <row r="119" spans="1:6">
      <c r="C119" t="str">
        <f t="shared" si="10"/>
        <v>GED</v>
      </c>
      <c r="D119">
        <v>43</v>
      </c>
      <c r="E119" t="str">
        <f>"453"</f>
        <v>453</v>
      </c>
      <c r="F119" t="str">
        <f t="shared" si="11"/>
        <v>0000</v>
      </c>
    </row>
    <row r="120" spans="1:6">
      <c r="C120" t="str">
        <f t="shared" si="10"/>
        <v>GED</v>
      </c>
      <c r="D120">
        <v>43</v>
      </c>
      <c r="E120" t="str">
        <f>"184"</f>
        <v>184</v>
      </c>
      <c r="F120" t="str">
        <f t="shared" si="11"/>
        <v>0000</v>
      </c>
    </row>
    <row r="121" spans="1:6">
      <c r="C121" t="str">
        <f t="shared" si="10"/>
        <v>GED</v>
      </c>
      <c r="D121">
        <v>43</v>
      </c>
      <c r="E121" t="str">
        <f>"183"</f>
        <v>183</v>
      </c>
      <c r="F121" t="str">
        <f t="shared" si="11"/>
        <v>0000</v>
      </c>
    </row>
    <row r="122" spans="1:6">
      <c r="C122" t="str">
        <f t="shared" si="10"/>
        <v>GED</v>
      </c>
      <c r="D122">
        <v>43</v>
      </c>
      <c r="E122" t="str">
        <f>"181"</f>
        <v>181</v>
      </c>
      <c r="F122" t="str">
        <f t="shared" si="11"/>
        <v>0000</v>
      </c>
    </row>
    <row r="123" spans="1:6">
      <c r="A123" t="str">
        <f>"E526-1"</f>
        <v>E526-1</v>
      </c>
      <c r="B123" t="str">
        <f>"CORSO SARDEGNA  69-"</f>
        <v>CORSO SARDEGNA  69-</v>
      </c>
      <c r="C123" t="str">
        <f t="shared" si="10"/>
        <v>GED</v>
      </c>
      <c r="D123">
        <v>43</v>
      </c>
      <c r="E123" t="str">
        <f>"179"</f>
        <v>179</v>
      </c>
      <c r="F123" t="str">
        <f>"2"</f>
        <v>2</v>
      </c>
    </row>
    <row r="124" spans="1:6">
      <c r="A124" t="str">
        <f>"E526-2"</f>
        <v>E526-2</v>
      </c>
      <c r="B124" t="str">
        <f>"CORSO SARDEGNA  67-"</f>
        <v>CORSO SARDEGNA  67-</v>
      </c>
      <c r="C124" t="str">
        <f t="shared" si="10"/>
        <v>GED</v>
      </c>
      <c r="D124">
        <v>43</v>
      </c>
      <c r="E124" t="str">
        <f>"179"</f>
        <v>179</v>
      </c>
      <c r="F124" t="str">
        <f>"3"</f>
        <v>3</v>
      </c>
    </row>
    <row r="125" spans="1:6">
      <c r="A125" t="str">
        <f>"E526-3"</f>
        <v>E526-3</v>
      </c>
      <c r="B125" t="str">
        <f>"VIA CARLO VARESE  2-"</f>
        <v>VIA CARLO VARESE  2-</v>
      </c>
      <c r="C125" t="str">
        <f t="shared" si="10"/>
        <v>GED</v>
      </c>
      <c r="D125">
        <v>43</v>
      </c>
      <c r="E125" t="str">
        <f>"179"</f>
        <v>179</v>
      </c>
      <c r="F125" t="str">
        <f>"4"</f>
        <v>4</v>
      </c>
    </row>
    <row r="126" spans="1:6">
      <c r="A126" t="str">
        <f>"E526-4"</f>
        <v>E526-4</v>
      </c>
      <c r="B126" t="str">
        <f>"VIA CARLO VARESE  2-"</f>
        <v>VIA CARLO VARESE  2-</v>
      </c>
      <c r="C126" t="str">
        <f t="shared" si="10"/>
        <v>GED</v>
      </c>
      <c r="D126">
        <v>43</v>
      </c>
      <c r="E126" t="str">
        <f>"179"</f>
        <v>179</v>
      </c>
      <c r="F126" t="str">
        <f>"5"</f>
        <v>5</v>
      </c>
    </row>
    <row r="127" spans="1:6">
      <c r="A127" t="str">
        <f>"E527-1"</f>
        <v>E527-1</v>
      </c>
      <c r="B127" t="str">
        <f>"VIA CARLO VARESE VICINO AL 1-"</f>
        <v>VIA CARLO VARESE VICINO AL 1-</v>
      </c>
      <c r="C127" t="str">
        <f>"1"</f>
        <v>1</v>
      </c>
      <c r="D127">
        <v>51</v>
      </c>
      <c r="E127" t="str">
        <f>"459"</f>
        <v>459</v>
      </c>
      <c r="F127" t="str">
        <f>"0000"</f>
        <v>0000</v>
      </c>
    </row>
    <row r="128" spans="1:6">
      <c r="A128" t="str">
        <f>"E528-1"</f>
        <v>E528-1</v>
      </c>
      <c r="B128" t="str">
        <f>"VIA CARLO VARESE VICINO AL 1-"</f>
        <v>VIA CARLO VARESE VICINO AL 1-</v>
      </c>
      <c r="C128" t="str">
        <f>"1"</f>
        <v>1</v>
      </c>
      <c r="D128">
        <v>51</v>
      </c>
      <c r="E128" t="str">
        <f>"462"</f>
        <v>462</v>
      </c>
      <c r="F128" t="str">
        <f>"0000"</f>
        <v>0000</v>
      </c>
    </row>
    <row r="129" spans="1:6">
      <c r="A129" t="str">
        <f>"E529-1"</f>
        <v>E529-1</v>
      </c>
      <c r="B129" t="str">
        <f>"CORSO SARDEGNA  65-"</f>
        <v>CORSO SARDEGNA  65-</v>
      </c>
      <c r="C129" t="str">
        <f>"GED"</f>
        <v>GED</v>
      </c>
      <c r="D129">
        <v>43</v>
      </c>
      <c r="E129" t="str">
        <f>"182"</f>
        <v>182</v>
      </c>
      <c r="F129" t="str">
        <f>"1"</f>
        <v>1</v>
      </c>
    </row>
    <row r="130" spans="1:6">
      <c r="A130" t="str">
        <f>"E529-2"</f>
        <v>E529-2</v>
      </c>
      <c r="B130" t="str">
        <f>"CORSO SARDEGNA  65-"</f>
        <v>CORSO SARDEGNA  65-</v>
      </c>
      <c r="C130" t="str">
        <f>"GED"</f>
        <v>GED</v>
      </c>
      <c r="D130">
        <v>43</v>
      </c>
      <c r="E130" t="str">
        <f>"182"</f>
        <v>182</v>
      </c>
      <c r="F130" t="str">
        <f>"2"</f>
        <v>2</v>
      </c>
    </row>
    <row r="131" spans="1:6">
      <c r="A131" t="str">
        <f>"E529-3"</f>
        <v>E529-3</v>
      </c>
      <c r="B131" t="str">
        <f>"CORSO SARDEGNA  65-"</f>
        <v>CORSO SARDEGNA  65-</v>
      </c>
      <c r="C131" t="str">
        <f>"GED"</f>
        <v>GED</v>
      </c>
      <c r="D131">
        <v>43</v>
      </c>
      <c r="E131" t="str">
        <f>"182"</f>
        <v>182</v>
      </c>
      <c r="F131" t="str">
        <f>"3"</f>
        <v>3</v>
      </c>
    </row>
    <row r="132" spans="1:6">
      <c r="A132" t="str">
        <f>"E530-1"</f>
        <v>E530-1</v>
      </c>
      <c r="B132" t="str">
        <f>"CORSO SARDEGNA  67-"</f>
        <v>CORSO SARDEGNA  67-</v>
      </c>
      <c r="C132" t="str">
        <f>"1"</f>
        <v>1</v>
      </c>
      <c r="D132">
        <v>51</v>
      </c>
      <c r="E132" t="str">
        <f>"463"</f>
        <v>463</v>
      </c>
      <c r="F132" t="str">
        <f t="shared" ref="F132:F144" si="12">"0000"</f>
        <v>0000</v>
      </c>
    </row>
    <row r="133" spans="1:6">
      <c r="A133" t="str">
        <f>"E531-1"</f>
        <v>E531-1</v>
      </c>
      <c r="B133" t="str">
        <f>"CORSO SARDEGNA  67-"</f>
        <v>CORSO SARDEGNA  67-</v>
      </c>
      <c r="C133" t="str">
        <f>"1"</f>
        <v>1</v>
      </c>
      <c r="D133">
        <v>51</v>
      </c>
      <c r="E133" t="str">
        <f>"464"</f>
        <v>464</v>
      </c>
      <c r="F133" t="str">
        <f t="shared" si="12"/>
        <v>0000</v>
      </c>
    </row>
    <row r="134" spans="1:6">
      <c r="A134" t="str">
        <f>"E669-1"</f>
        <v>E669-1</v>
      </c>
      <c r="B134" t="str">
        <f>"VIALE CENTURIONE BRACELLI  55-"</f>
        <v>VIALE CENTURIONE BRACELLI  55-</v>
      </c>
      <c r="C134" t="str">
        <f>"1"</f>
        <v>1</v>
      </c>
      <c r="D134">
        <v>21</v>
      </c>
      <c r="E134" t="str">
        <f>"1679"</f>
        <v>1679</v>
      </c>
      <c r="F134" t="str">
        <f t="shared" si="12"/>
        <v>0000</v>
      </c>
    </row>
    <row r="135" spans="1:6">
      <c r="A135" t="str">
        <f>"E669-2"</f>
        <v>E669-2</v>
      </c>
      <c r="B135" t="str">
        <f>"VIALE CENTURIONE BRACELLI  57-"</f>
        <v>VIALE CENTURIONE BRACELLI  57-</v>
      </c>
      <c r="C135" t="str">
        <f>"1"</f>
        <v>1</v>
      </c>
      <c r="D135">
        <v>21</v>
      </c>
      <c r="E135" t="str">
        <f>"1679"</f>
        <v>1679</v>
      </c>
      <c r="F135" t="str">
        <f t="shared" si="12"/>
        <v>0000</v>
      </c>
    </row>
    <row r="136" spans="1:6">
      <c r="A136" t="str">
        <f>"E670-1"</f>
        <v>E670-1</v>
      </c>
      <c r="B136" t="str">
        <f>"VIA FRATELLI CERVI  1-"</f>
        <v>VIA FRATELLI CERVI  1-</v>
      </c>
      <c r="C136" t="str">
        <f>"GED"</f>
        <v>GED</v>
      </c>
      <c r="D136">
        <v>34</v>
      </c>
      <c r="E136" t="str">
        <f>"1591"</f>
        <v>1591</v>
      </c>
      <c r="F136" t="str">
        <f t="shared" si="12"/>
        <v>0000</v>
      </c>
    </row>
    <row r="137" spans="1:6">
      <c r="A137" t="str">
        <f>"E671-1"</f>
        <v>E671-1</v>
      </c>
      <c r="B137" t="str">
        <f>"VIALE CENTURIONE BRACELLI  59-"</f>
        <v>VIALE CENTURIONE BRACELLI  59-</v>
      </c>
      <c r="C137" t="str">
        <f>"1"</f>
        <v>1</v>
      </c>
      <c r="D137">
        <v>21</v>
      </c>
      <c r="E137" t="str">
        <f>"1129"</f>
        <v>1129</v>
      </c>
      <c r="F137" t="str">
        <f t="shared" si="12"/>
        <v>0000</v>
      </c>
    </row>
    <row r="138" spans="1:6">
      <c r="C138" t="str">
        <f>"1"</f>
        <v>1</v>
      </c>
      <c r="D138">
        <v>21</v>
      </c>
      <c r="E138" t="str">
        <f>"1690"</f>
        <v>1690</v>
      </c>
      <c r="F138" t="str">
        <f t="shared" si="12"/>
        <v>0000</v>
      </c>
    </row>
    <row r="139" spans="1:6">
      <c r="C139" t="str">
        <f>"1"</f>
        <v>1</v>
      </c>
      <c r="D139">
        <v>21</v>
      </c>
      <c r="E139" t="str">
        <f>"1678"</f>
        <v>1678</v>
      </c>
      <c r="F139" t="str">
        <f t="shared" si="12"/>
        <v>0000</v>
      </c>
    </row>
    <row r="140" spans="1:6">
      <c r="A140" t="str">
        <f>"E672-1"</f>
        <v>E672-1</v>
      </c>
      <c r="B140" t="str">
        <f>"VIALE CENTURIONE BRACELLI  61-"</f>
        <v>VIALE CENTURIONE BRACELLI  61-</v>
      </c>
      <c r="C140" t="str">
        <f>"1"</f>
        <v>1</v>
      </c>
      <c r="D140">
        <v>21</v>
      </c>
      <c r="E140" t="str">
        <f>"1129"</f>
        <v>1129</v>
      </c>
      <c r="F140" t="str">
        <f t="shared" si="12"/>
        <v>0000</v>
      </c>
    </row>
    <row r="141" spans="1:6">
      <c r="A141" t="str">
        <f>"E674-1"</f>
        <v>E674-1</v>
      </c>
      <c r="B141" t="str">
        <f>"SALITA COSTA DEI RATTI  8-"</f>
        <v>SALITA COSTA DEI RATTI  8-</v>
      </c>
      <c r="C141" t="str">
        <f t="shared" ref="C141:C147" si="13">"GED"</f>
        <v>GED</v>
      </c>
      <c r="D141">
        <v>29</v>
      </c>
      <c r="E141" t="str">
        <f>"725"</f>
        <v>725</v>
      </c>
      <c r="F141" t="str">
        <f t="shared" si="12"/>
        <v>0000</v>
      </c>
    </row>
    <row r="142" spans="1:6">
      <c r="C142" t="str">
        <f t="shared" si="13"/>
        <v>GED</v>
      </c>
      <c r="D142">
        <v>29</v>
      </c>
      <c r="E142" t="str">
        <f>"726"</f>
        <v>726</v>
      </c>
      <c r="F142" t="str">
        <f t="shared" si="12"/>
        <v>0000</v>
      </c>
    </row>
    <row r="143" spans="1:6">
      <c r="C143" t="str">
        <f t="shared" si="13"/>
        <v>GED</v>
      </c>
      <c r="D143">
        <v>29</v>
      </c>
      <c r="E143" t="str">
        <f>"727"</f>
        <v>727</v>
      </c>
      <c r="F143" t="str">
        <f t="shared" si="12"/>
        <v>0000</v>
      </c>
    </row>
    <row r="144" spans="1:6">
      <c r="A144" t="str">
        <f>"E675-1"</f>
        <v>E675-1</v>
      </c>
      <c r="B144" t="str">
        <f>"SALITA COSTA DEI RATTI  6A-"</f>
        <v>SALITA COSTA DEI RATTI  6A-</v>
      </c>
      <c r="C144" t="str">
        <f t="shared" si="13"/>
        <v>GED</v>
      </c>
      <c r="D144">
        <v>29</v>
      </c>
      <c r="E144" t="str">
        <f>"3105"</f>
        <v>3105</v>
      </c>
      <c r="F144" t="str">
        <f t="shared" si="12"/>
        <v>0000</v>
      </c>
    </row>
    <row r="145" spans="1:6">
      <c r="A145" t="str">
        <f>"E676-4"</f>
        <v>E676-4</v>
      </c>
      <c r="B145" t="str">
        <f>"VIA AL POLIGONO DI QUEZZI  1-"</f>
        <v>VIA AL POLIGONO DI QUEZZI  1-</v>
      </c>
      <c r="C145" t="str">
        <f t="shared" si="13"/>
        <v>GED</v>
      </c>
      <c r="D145">
        <v>35</v>
      </c>
      <c r="E145" t="str">
        <f>"608"</f>
        <v>608</v>
      </c>
      <c r="F145" t="str">
        <f>"11"</f>
        <v>11</v>
      </c>
    </row>
    <row r="146" spans="1:6">
      <c r="A146" t="str">
        <f>"E676-7"</f>
        <v>E676-7</v>
      </c>
      <c r="B146" t="str">
        <f>"VIA AL POLIGONO DI QUEZZI  1-"</f>
        <v>VIA AL POLIGONO DI QUEZZI  1-</v>
      </c>
      <c r="C146" t="str">
        <f t="shared" si="13"/>
        <v>GED</v>
      </c>
      <c r="D146">
        <v>35</v>
      </c>
      <c r="E146" t="str">
        <f>"608"</f>
        <v>608</v>
      </c>
      <c r="F146" t="str">
        <f>"14"</f>
        <v>14</v>
      </c>
    </row>
    <row r="147" spans="1:6">
      <c r="A147" t="str">
        <f>"E677-1"</f>
        <v>E677-1</v>
      </c>
      <c r="B147" t="str">
        <f>"VIA MONTICELLI  25R-"</f>
        <v>VIA MONTICELLI  25R-</v>
      </c>
      <c r="C147" t="str">
        <f t="shared" si="13"/>
        <v>GED</v>
      </c>
      <c r="D147">
        <v>42</v>
      </c>
      <c r="E147" t="str">
        <f>"128"</f>
        <v>128</v>
      </c>
      <c r="F147" t="str">
        <f>"1"</f>
        <v>1</v>
      </c>
    </row>
    <row r="148" spans="1:6">
      <c r="A148" t="str">
        <f>"E678-1"</f>
        <v>E678-1</v>
      </c>
      <c r="B148" t="str">
        <f>"VIALE CENTURIONE BRACELLI VICINO AL 32-"</f>
        <v>VIALE CENTURIONE BRACELLI VICINO AL 32-</v>
      </c>
      <c r="C148" t="str">
        <f>"1"</f>
        <v>1</v>
      </c>
      <c r="D148">
        <v>21</v>
      </c>
      <c r="E148" t="str">
        <f>"1103"</f>
        <v>1103</v>
      </c>
      <c r="F148" t="str">
        <f>"0000"</f>
        <v>0000</v>
      </c>
    </row>
    <row r="149" spans="1:6">
      <c r="A149" t="str">
        <f>"E679-1"</f>
        <v>E679-1</v>
      </c>
      <c r="B149" t="str">
        <f>"VIA MARIO ROMAGNOLI  20-"</f>
        <v>VIA MARIO ROMAGNOLI  20-</v>
      </c>
      <c r="C149" t="str">
        <f t="shared" ref="C149:C157" si="14">"GED"</f>
        <v>GED</v>
      </c>
      <c r="D149">
        <v>38</v>
      </c>
      <c r="E149" t="str">
        <f>"951"</f>
        <v>951</v>
      </c>
      <c r="F149" t="str">
        <f>"10"</f>
        <v>10</v>
      </c>
    </row>
    <row r="150" spans="1:6">
      <c r="A150" t="str">
        <f>"E680-1"</f>
        <v>E680-1</v>
      </c>
      <c r="B150" t="str">
        <f>"VIA PIERO PINETTI  68-"</f>
        <v>VIA PIERO PINETTI  68-</v>
      </c>
      <c r="C150" t="str">
        <f t="shared" si="14"/>
        <v>GED</v>
      </c>
      <c r="D150">
        <v>35</v>
      </c>
      <c r="E150" t="str">
        <f>"229"</f>
        <v>229</v>
      </c>
      <c r="F150" t="str">
        <f>"0000"</f>
        <v>0000</v>
      </c>
    </row>
    <row r="151" spans="1:6">
      <c r="A151" t="str">
        <f>"E689-1"</f>
        <v>E689-1</v>
      </c>
      <c r="B151" t="str">
        <f>"VIA FINOCCHIARA  2G-"</f>
        <v>VIA FINOCCHIARA  2G-</v>
      </c>
      <c r="C151" t="str">
        <f t="shared" si="14"/>
        <v>GED</v>
      </c>
      <c r="D151">
        <v>29</v>
      </c>
      <c r="E151" t="str">
        <f>"3085"</f>
        <v>3085</v>
      </c>
      <c r="F151" t="str">
        <f>"0000"</f>
        <v>0000</v>
      </c>
    </row>
    <row r="152" spans="1:6">
      <c r="A152" t="str">
        <f>"E691-1"</f>
        <v>E691-1</v>
      </c>
      <c r="B152" t="str">
        <f>"VIA CAGLIARI  1-"</f>
        <v>VIA CAGLIARI  1-</v>
      </c>
      <c r="C152" t="str">
        <f t="shared" si="14"/>
        <v>GED</v>
      </c>
      <c r="D152">
        <v>43</v>
      </c>
      <c r="E152" t="str">
        <f>"894"</f>
        <v>894</v>
      </c>
      <c r="F152" t="str">
        <f>"1"</f>
        <v>1</v>
      </c>
    </row>
    <row r="153" spans="1:6">
      <c r="A153" t="str">
        <f>"E691-2"</f>
        <v>E691-2</v>
      </c>
      <c r="B153" t="str">
        <f>"VIA CAGLIARI  1-"</f>
        <v>VIA CAGLIARI  1-</v>
      </c>
      <c r="C153" t="str">
        <f t="shared" si="14"/>
        <v>GED</v>
      </c>
      <c r="D153">
        <v>43</v>
      </c>
      <c r="E153" t="str">
        <f>"894"</f>
        <v>894</v>
      </c>
      <c r="F153" t="str">
        <f>"2"</f>
        <v>2</v>
      </c>
    </row>
    <row r="154" spans="1:6">
      <c r="A154" t="str">
        <f>"E692-1"</f>
        <v>E692-1</v>
      </c>
      <c r="B154" t="str">
        <f>"VIA GINESTRATO  11-"</f>
        <v>VIA GINESTRATO  11-</v>
      </c>
      <c r="C154" t="str">
        <f t="shared" si="14"/>
        <v>GED</v>
      </c>
      <c r="D154">
        <v>35</v>
      </c>
      <c r="E154" t="str">
        <f>"1825"</f>
        <v>1825</v>
      </c>
      <c r="F154" t="str">
        <f>"1"</f>
        <v>1</v>
      </c>
    </row>
    <row r="155" spans="1:6">
      <c r="A155" t="str">
        <f>"E692-2"</f>
        <v>E692-2</v>
      </c>
      <c r="B155" t="str">
        <f>"VIA GINESTRATO  13-"</f>
        <v>VIA GINESTRATO  13-</v>
      </c>
      <c r="C155" t="str">
        <f t="shared" si="14"/>
        <v>GED</v>
      </c>
      <c r="D155">
        <v>35</v>
      </c>
      <c r="E155" t="str">
        <f>"1825"</f>
        <v>1825</v>
      </c>
      <c r="F155" t="str">
        <f>"2"</f>
        <v>2</v>
      </c>
    </row>
    <row r="156" spans="1:6">
      <c r="A156" t="str">
        <f>"E693-1"</f>
        <v>E693-1</v>
      </c>
      <c r="B156" t="str">
        <f>"PIAZZA ROSMINI VICINO AL 1-"</f>
        <v>PIAZZA ROSMINI VICINO AL 1-</v>
      </c>
      <c r="C156" t="str">
        <f t="shared" si="14"/>
        <v>GED</v>
      </c>
      <c r="D156">
        <v>37</v>
      </c>
      <c r="E156" t="str">
        <f>"A"</f>
        <v>A</v>
      </c>
      <c r="F156" t="str">
        <f>"0000"</f>
        <v>0000</v>
      </c>
    </row>
    <row r="157" spans="1:6">
      <c r="A157" t="str">
        <f>"E694-1"</f>
        <v>E694-1</v>
      </c>
      <c r="B157" t="str">
        <f>"PIAZZA ROSMINI  1-"</f>
        <v>PIAZZA ROSMINI  1-</v>
      </c>
      <c r="C157" t="str">
        <f t="shared" si="14"/>
        <v>GED</v>
      </c>
      <c r="D157">
        <v>37</v>
      </c>
      <c r="E157" t="str">
        <f>"68"</f>
        <v>68</v>
      </c>
      <c r="F157" t="str">
        <f>"0000"</f>
        <v>0000</v>
      </c>
    </row>
    <row r="158" spans="1:6">
      <c r="A158" t="str">
        <f>"E696-1"</f>
        <v>E696-1</v>
      </c>
      <c r="B158" t="str">
        <f>"VIA MONTELLO  23A-"</f>
        <v>VIA MONTELLO  23A-</v>
      </c>
      <c r="C158" t="str">
        <f>"GEC"</f>
        <v>GEC</v>
      </c>
      <c r="D158">
        <v>41</v>
      </c>
      <c r="E158" t="str">
        <f>"396"</f>
        <v>396</v>
      </c>
      <c r="F158" t="str">
        <f>"57"</f>
        <v>57</v>
      </c>
    </row>
    <row r="159" spans="1:6">
      <c r="A159" t="str">
        <f>"E697-1"</f>
        <v>E697-1</v>
      </c>
      <c r="B159" t="str">
        <f>"VIA DEL CASTORO  1A-"</f>
        <v>VIA DEL CASTORO  1A-</v>
      </c>
      <c r="C159" t="str">
        <f>"GEC"</f>
        <v>GEC</v>
      </c>
      <c r="D159">
        <v>41</v>
      </c>
      <c r="E159" t="str">
        <f>"223"</f>
        <v>223</v>
      </c>
      <c r="F159" t="str">
        <f>"1"</f>
        <v>1</v>
      </c>
    </row>
    <row r="160" spans="1:6">
      <c r="A160" t="str">
        <f>"E697-2"</f>
        <v>E697-2</v>
      </c>
      <c r="B160" t="str">
        <f>"VIA DEL CASTORO  1A-"</f>
        <v>VIA DEL CASTORO  1A-</v>
      </c>
      <c r="C160" t="str">
        <f>"GEC"</f>
        <v>GEC</v>
      </c>
      <c r="D160">
        <v>41</v>
      </c>
      <c r="E160" t="str">
        <f>"223"</f>
        <v>223</v>
      </c>
      <c r="F160" t="str">
        <f>"2"</f>
        <v>2</v>
      </c>
    </row>
    <row r="161" spans="1:6">
      <c r="A161" t="str">
        <f>"E697-3"</f>
        <v>E697-3</v>
      </c>
      <c r="B161" t="str">
        <f>"VIA DEL CASTORO  1A-"</f>
        <v>VIA DEL CASTORO  1A-</v>
      </c>
      <c r="C161" t="str">
        <f>"GEC"</f>
        <v>GEC</v>
      </c>
      <c r="D161">
        <v>41</v>
      </c>
      <c r="E161" t="str">
        <f>"223"</f>
        <v>223</v>
      </c>
      <c r="F161" t="str">
        <f>"3"</f>
        <v>3</v>
      </c>
    </row>
    <row r="162" spans="1:6">
      <c r="A162" t="str">
        <f>"E697-4"</f>
        <v>E697-4</v>
      </c>
      <c r="B162" t="str">
        <f>"VIA GIACOMO MORESCO  3-"</f>
        <v>VIA GIACOMO MORESCO  3-</v>
      </c>
      <c r="C162" t="str">
        <f>"GEC"</f>
        <v>GEC</v>
      </c>
      <c r="D162">
        <v>41</v>
      </c>
      <c r="E162" t="str">
        <f>"223"</f>
        <v>223</v>
      </c>
      <c r="F162" t="str">
        <f>"4"</f>
        <v>4</v>
      </c>
    </row>
    <row r="163" spans="1:6">
      <c r="A163" t="str">
        <f>"E698-1"</f>
        <v>E698-1</v>
      </c>
      <c r="B163" t="str">
        <f>"VIA AURELIO ROBINO  96-"</f>
        <v>VIA AURELIO ROBINO  96-</v>
      </c>
      <c r="C163" t="str">
        <f>"GED"</f>
        <v>GED</v>
      </c>
      <c r="D163">
        <v>34</v>
      </c>
      <c r="E163" t="str">
        <f>"980"</f>
        <v>980</v>
      </c>
      <c r="F163" t="str">
        <f>"100"</f>
        <v>100</v>
      </c>
    </row>
    <row r="164" spans="1:6">
      <c r="A164" t="str">
        <f>"E698-2"</f>
        <v>E698-2</v>
      </c>
      <c r="B164" t="str">
        <f>"VIA AURELIO ROBINO  96-"</f>
        <v>VIA AURELIO ROBINO  96-</v>
      </c>
      <c r="C164" t="str">
        <f>"GED"</f>
        <v>GED</v>
      </c>
      <c r="D164">
        <v>34</v>
      </c>
      <c r="E164" t="str">
        <f>"980"</f>
        <v>980</v>
      </c>
      <c r="F164" t="str">
        <f>"101"</f>
        <v>101</v>
      </c>
    </row>
    <row r="165" spans="1:6">
      <c r="A165" t="str">
        <f>"E699-1"</f>
        <v>E699-1</v>
      </c>
      <c r="B165" t="str">
        <f>"VIA PIERO PINETTI VICINO AL 110R-"</f>
        <v>VIA PIERO PINETTI VICINO AL 110R-</v>
      </c>
      <c r="C165" t="str">
        <f>"GED"</f>
        <v>GED</v>
      </c>
      <c r="D165">
        <v>35</v>
      </c>
      <c r="E165" t="str">
        <f>"278"</f>
        <v>278</v>
      </c>
      <c r="F165" t="str">
        <f>"0000"</f>
        <v>0000</v>
      </c>
    </row>
    <row r="166" spans="1:6">
      <c r="A166" t="str">
        <f>"E700-1"</f>
        <v>E700-1</v>
      </c>
      <c r="B166" t="str">
        <f>"VIA MARASSI  6-"</f>
        <v>VIA MARASSI  6-</v>
      </c>
      <c r="C166" t="str">
        <f>"1"</f>
        <v>1</v>
      </c>
      <c r="D166">
        <v>39</v>
      </c>
      <c r="E166" t="str">
        <f>"218"</f>
        <v>218</v>
      </c>
      <c r="F166" t="str">
        <f>"0000"</f>
        <v>0000</v>
      </c>
    </row>
    <row r="167" spans="1:6">
      <c r="C167" t="str">
        <f>"1"</f>
        <v>1</v>
      </c>
      <c r="D167">
        <v>39</v>
      </c>
      <c r="E167" t="str">
        <f>"80"</f>
        <v>80</v>
      </c>
      <c r="F167" t="str">
        <f>"0000"</f>
        <v>0000</v>
      </c>
    </row>
    <row r="168" spans="1:6">
      <c r="A168" t="str">
        <f>"E702-4"</f>
        <v>E702-4</v>
      </c>
      <c r="B168" t="str">
        <f>"VIALE CENTURIONE BRACELLI  245R-"</f>
        <v>VIALE CENTURIONE BRACELLI  245R-</v>
      </c>
      <c r="C168" t="str">
        <f t="shared" ref="C168:C192" si="15">"GED"</f>
        <v>GED</v>
      </c>
      <c r="D168">
        <v>34</v>
      </c>
      <c r="E168" t="str">
        <f>"742"</f>
        <v>742</v>
      </c>
      <c r="F168" t="str">
        <f>"55"</f>
        <v>55</v>
      </c>
    </row>
    <row r="169" spans="1:6">
      <c r="A169" t="str">
        <f>"E702-5"</f>
        <v>E702-5</v>
      </c>
      <c r="B169" t="str">
        <f>"VIALE CENTURIONE BRACELLI  253R-"</f>
        <v>VIALE CENTURIONE BRACELLI  253R-</v>
      </c>
      <c r="C169" t="str">
        <f t="shared" si="15"/>
        <v>GED</v>
      </c>
      <c r="D169">
        <v>34</v>
      </c>
      <c r="E169" t="str">
        <f>"742"</f>
        <v>742</v>
      </c>
      <c r="F169" t="str">
        <f>"56"</f>
        <v>56</v>
      </c>
    </row>
    <row r="170" spans="1:6">
      <c r="C170" t="str">
        <f t="shared" si="15"/>
        <v>GED</v>
      </c>
      <c r="D170">
        <v>34</v>
      </c>
      <c r="E170" t="str">
        <f>"734"</f>
        <v>734</v>
      </c>
      <c r="F170" t="str">
        <f>"2"</f>
        <v>2</v>
      </c>
    </row>
    <row r="171" spans="1:6">
      <c r="A171" t="str">
        <f>"E707-3"</f>
        <v>E707-3</v>
      </c>
      <c r="B171" t="str">
        <f>"VIA ALESSANDRO SACHERI  9-"</f>
        <v>VIA ALESSANDRO SACHERI  9-</v>
      </c>
      <c r="C171" t="str">
        <f t="shared" si="15"/>
        <v>GED</v>
      </c>
      <c r="D171">
        <v>34</v>
      </c>
      <c r="E171" t="str">
        <f>"744"</f>
        <v>744</v>
      </c>
      <c r="F171" t="str">
        <f>"38"</f>
        <v>38</v>
      </c>
    </row>
    <row r="172" spans="1:6">
      <c r="C172" t="str">
        <f t="shared" si="15"/>
        <v>GED</v>
      </c>
      <c r="D172">
        <v>34</v>
      </c>
      <c r="E172" t="str">
        <f>"749"</f>
        <v>749</v>
      </c>
      <c r="F172" t="str">
        <f>"3"</f>
        <v>3</v>
      </c>
    </row>
    <row r="173" spans="1:6">
      <c r="C173" t="str">
        <f t="shared" si="15"/>
        <v>GED</v>
      </c>
      <c r="D173">
        <v>34</v>
      </c>
      <c r="E173" t="str">
        <f>"752"</f>
        <v>752</v>
      </c>
      <c r="F173" t="str">
        <f>"0000"</f>
        <v>0000</v>
      </c>
    </row>
    <row r="174" spans="1:6">
      <c r="C174" t="str">
        <f t="shared" si="15"/>
        <v>GED</v>
      </c>
      <c r="D174">
        <v>34</v>
      </c>
      <c r="E174" t="str">
        <f>"750"</f>
        <v>750</v>
      </c>
      <c r="F174" t="str">
        <f>"7"</f>
        <v>7</v>
      </c>
    </row>
    <row r="175" spans="1:6">
      <c r="A175" t="str">
        <f>"E707-4"</f>
        <v>E707-4</v>
      </c>
      <c r="B175" t="str">
        <f>"VIA ALESSANDRO SACHERI  7-"</f>
        <v>VIA ALESSANDRO SACHERI  7-</v>
      </c>
      <c r="C175" t="str">
        <f t="shared" si="15"/>
        <v>GED</v>
      </c>
      <c r="D175">
        <v>34</v>
      </c>
      <c r="E175" t="str">
        <f>"744"</f>
        <v>744</v>
      </c>
      <c r="F175" t="str">
        <f>"21"</f>
        <v>21</v>
      </c>
    </row>
    <row r="176" spans="1:6">
      <c r="A176" t="str">
        <f>"E711-2"</f>
        <v>E711-2</v>
      </c>
      <c r="B176" t="str">
        <f>"VIALE CENTURIONE BRACELLI  140R-"</f>
        <v>VIALE CENTURIONE BRACELLI  140R-</v>
      </c>
      <c r="C176" t="str">
        <f t="shared" si="15"/>
        <v>GED</v>
      </c>
      <c r="D176">
        <v>34</v>
      </c>
      <c r="E176" t="str">
        <f>"743"</f>
        <v>743</v>
      </c>
      <c r="F176" t="str">
        <f>"2"</f>
        <v>2</v>
      </c>
    </row>
    <row r="177" spans="1:6">
      <c r="A177" t="str">
        <f>"E711-3"</f>
        <v>E711-3</v>
      </c>
      <c r="B177" t="str">
        <f>"VIALE CENTURIONE BRACELLI  144R-"</f>
        <v>VIALE CENTURIONE BRACELLI  144R-</v>
      </c>
      <c r="C177" t="str">
        <f t="shared" si="15"/>
        <v>GED</v>
      </c>
      <c r="D177">
        <v>34</v>
      </c>
      <c r="E177" t="str">
        <f>"743"</f>
        <v>743</v>
      </c>
      <c r="F177" t="str">
        <f>"3"</f>
        <v>3</v>
      </c>
    </row>
    <row r="178" spans="1:6">
      <c r="A178" t="str">
        <f>"E711-4"</f>
        <v>E711-4</v>
      </c>
      <c r="B178" t="str">
        <f>"VIALE CENTURIONE BRACELLI  148R-"</f>
        <v>VIALE CENTURIONE BRACELLI  148R-</v>
      </c>
      <c r="C178" t="str">
        <f t="shared" si="15"/>
        <v>GED</v>
      </c>
      <c r="D178">
        <v>34</v>
      </c>
      <c r="E178" t="str">
        <f>"744"</f>
        <v>744</v>
      </c>
      <c r="F178" t="str">
        <f>"1"</f>
        <v>1</v>
      </c>
    </row>
    <row r="179" spans="1:6">
      <c r="A179" t="str">
        <f>"E711-5"</f>
        <v>E711-5</v>
      </c>
      <c r="B179" t="str">
        <f>"VIALE CENTURIONE BRACELLI  152R-"</f>
        <v>VIALE CENTURIONE BRACELLI  152R-</v>
      </c>
      <c r="C179" t="str">
        <f t="shared" si="15"/>
        <v>GED</v>
      </c>
      <c r="D179">
        <v>34</v>
      </c>
      <c r="E179" t="str">
        <f>"744"</f>
        <v>744</v>
      </c>
      <c r="F179" t="str">
        <f>"2"</f>
        <v>2</v>
      </c>
    </row>
    <row r="180" spans="1:6">
      <c r="A180" t="str">
        <f>"E711-6"</f>
        <v>E711-6</v>
      </c>
      <c r="B180" t="str">
        <f>"VIALE CENTURIONE BRACELLI  156R-"</f>
        <v>VIALE CENTURIONE BRACELLI  156R-</v>
      </c>
      <c r="C180" t="str">
        <f t="shared" si="15"/>
        <v>GED</v>
      </c>
      <c r="D180">
        <v>34</v>
      </c>
      <c r="E180" t="str">
        <f>"744"</f>
        <v>744</v>
      </c>
      <c r="F180" t="str">
        <f>"3"</f>
        <v>3</v>
      </c>
    </row>
    <row r="181" spans="1:6">
      <c r="A181" t="str">
        <f>"E711-7"</f>
        <v>E711-7</v>
      </c>
      <c r="B181" t="str">
        <f>"VIALE CENTURIONE BRACELLI  190R-"</f>
        <v>VIALE CENTURIONE BRACELLI  190R-</v>
      </c>
      <c r="C181" t="str">
        <f t="shared" si="15"/>
        <v>GED</v>
      </c>
      <c r="D181">
        <v>34</v>
      </c>
      <c r="E181" t="str">
        <f>"746"</f>
        <v>746</v>
      </c>
      <c r="F181" t="str">
        <f>"3"</f>
        <v>3</v>
      </c>
    </row>
    <row r="182" spans="1:6">
      <c r="A182" t="str">
        <f>"E716-1"</f>
        <v>E716-1</v>
      </c>
      <c r="B182" t="str">
        <f>"VIALE CENTURIONE BRACELLI  22-"</f>
        <v>VIALE CENTURIONE BRACELLI  22-</v>
      </c>
      <c r="C182" t="str">
        <f t="shared" si="15"/>
        <v>GED</v>
      </c>
      <c r="D182">
        <v>34</v>
      </c>
      <c r="E182" t="str">
        <f>"738"</f>
        <v>738</v>
      </c>
      <c r="F182" t="str">
        <f>"45"</f>
        <v>45</v>
      </c>
    </row>
    <row r="183" spans="1:6">
      <c r="A183" t="str">
        <f>"E716-2"</f>
        <v>E716-2</v>
      </c>
      <c r="B183" t="str">
        <f>"VIALE CENTURIONE BRACELLI  24-"</f>
        <v>VIALE CENTURIONE BRACELLI  24-</v>
      </c>
      <c r="C183" t="str">
        <f t="shared" si="15"/>
        <v>GED</v>
      </c>
      <c r="D183">
        <v>34</v>
      </c>
      <c r="E183" t="str">
        <f>"738"</f>
        <v>738</v>
      </c>
      <c r="F183" t="str">
        <f>"46"</f>
        <v>46</v>
      </c>
    </row>
    <row r="184" spans="1:6">
      <c r="C184" t="str">
        <f t="shared" si="15"/>
        <v>GED</v>
      </c>
      <c r="D184">
        <v>34</v>
      </c>
      <c r="E184" t="str">
        <f>"740"</f>
        <v>740</v>
      </c>
      <c r="F184" t="str">
        <f>"0000"</f>
        <v>0000</v>
      </c>
    </row>
    <row r="185" spans="1:6">
      <c r="A185" t="str">
        <f>"E913-1"</f>
        <v>E913-1</v>
      </c>
      <c r="B185" t="str">
        <f>"VIA PIERO PINETTI VICINO AL 66R-"</f>
        <v>VIA PIERO PINETTI VICINO AL 66R-</v>
      </c>
      <c r="C185" t="str">
        <f t="shared" si="15"/>
        <v>GED</v>
      </c>
      <c r="D185">
        <v>35</v>
      </c>
      <c r="E185" t="str">
        <f>"391"</f>
        <v>391</v>
      </c>
      <c r="F185" t="str">
        <f>"0000"</f>
        <v>0000</v>
      </c>
    </row>
    <row r="186" spans="1:6">
      <c r="A186" t="str">
        <f>"E914-2"</f>
        <v>E914-2</v>
      </c>
      <c r="B186" t="str">
        <f>"VIA TARCISO DONATI  5-"</f>
        <v>VIA TARCISO DONATI  5-</v>
      </c>
      <c r="C186" t="str">
        <f t="shared" si="15"/>
        <v>GED</v>
      </c>
      <c r="D186">
        <v>35</v>
      </c>
      <c r="E186" t="str">
        <f>"1348"</f>
        <v>1348</v>
      </c>
      <c r="F186" t="str">
        <f>"0000"</f>
        <v>0000</v>
      </c>
    </row>
    <row r="187" spans="1:6">
      <c r="C187" t="str">
        <f t="shared" si="15"/>
        <v>GED</v>
      </c>
      <c r="D187">
        <v>35</v>
      </c>
      <c r="E187" t="str">
        <f>"2234"</f>
        <v>2234</v>
      </c>
      <c r="F187" t="str">
        <f>"1"</f>
        <v>1</v>
      </c>
    </row>
    <row r="188" spans="1:6">
      <c r="C188" t="str">
        <f t="shared" si="15"/>
        <v>GED</v>
      </c>
      <c r="D188">
        <v>35</v>
      </c>
      <c r="E188" t="str">
        <f>"2213"</f>
        <v>2213</v>
      </c>
      <c r="F188" t="str">
        <f>"2"</f>
        <v>2</v>
      </c>
    </row>
    <row r="189" spans="1:6">
      <c r="C189" t="str">
        <f t="shared" si="15"/>
        <v>GED</v>
      </c>
      <c r="D189">
        <v>35</v>
      </c>
      <c r="E189" t="str">
        <f>"2212"</f>
        <v>2212</v>
      </c>
      <c r="F189" t="str">
        <f>"0000"</f>
        <v>0000</v>
      </c>
    </row>
    <row r="190" spans="1:6">
      <c r="C190" t="str">
        <f t="shared" si="15"/>
        <v>GED</v>
      </c>
      <c r="D190">
        <v>35</v>
      </c>
      <c r="E190" t="str">
        <f>"2073"</f>
        <v>2073</v>
      </c>
      <c r="F190" t="str">
        <f>"0000"</f>
        <v>0000</v>
      </c>
    </row>
    <row r="191" spans="1:6">
      <c r="C191" t="str">
        <f t="shared" si="15"/>
        <v>GED</v>
      </c>
      <c r="D191">
        <v>35</v>
      </c>
      <c r="E191" t="str">
        <f>"1351"</f>
        <v>1351</v>
      </c>
      <c r="F191" t="str">
        <f>"0000"</f>
        <v>0000</v>
      </c>
    </row>
    <row r="192" spans="1:6">
      <c r="A192" t="str">
        <f>"E915-1"</f>
        <v>E915-1</v>
      </c>
      <c r="B192" t="str">
        <f>"CORSO ALES DE STEFANIS  8-"</f>
        <v>CORSO ALES DE STEFANIS  8-</v>
      </c>
      <c r="C192" t="str">
        <f t="shared" si="15"/>
        <v>GED</v>
      </c>
      <c r="D192">
        <v>37</v>
      </c>
      <c r="E192" t="str">
        <f>"37"</f>
        <v>37</v>
      </c>
      <c r="F192" t="str">
        <f>"0000"</f>
        <v>0000</v>
      </c>
    </row>
    <row r="193" spans="1:6">
      <c r="A193" t="str">
        <f>"E1814-1"</f>
        <v>E1814-1</v>
      </c>
      <c r="B193" t="str">
        <f>"VIA CARROZZINO  6-"</f>
        <v>VIA CARROZZINO  6-</v>
      </c>
      <c r="C193" t="str">
        <f>"GEC"</f>
        <v>GEC</v>
      </c>
      <c r="D193">
        <v>49</v>
      </c>
      <c r="E193" t="str">
        <f>"153"</f>
        <v>153</v>
      </c>
      <c r="F193" t="str">
        <f>"4"</f>
        <v>4</v>
      </c>
    </row>
    <row r="194" spans="1:6">
      <c r="A194" t="str">
        <f>"E1892-1"</f>
        <v>E1892-1</v>
      </c>
      <c r="B194" t="str">
        <f>"VIA PASQUALE BERGHINI A CATASTO 92BR-"</f>
        <v>VIA PASQUALE BERGHINI A CATASTO 92BR-</v>
      </c>
      <c r="C194" t="str">
        <f>"GED"</f>
        <v>GED</v>
      </c>
      <c r="D194">
        <v>45</v>
      </c>
      <c r="E194" t="str">
        <f>"597"</f>
        <v>597</v>
      </c>
      <c r="F194" t="str">
        <f>"3"</f>
        <v>3</v>
      </c>
    </row>
    <row r="195" spans="1:6">
      <c r="A195" t="str">
        <f>"E1919-1"</f>
        <v>E1919-1</v>
      </c>
      <c r="B195" t="str">
        <f t="shared" ref="B195:B201" si="16">"VIA PIERO PINETTI VICINO AL 66B-"</f>
        <v>VIA PIERO PINETTI VICINO AL 66B-</v>
      </c>
      <c r="C195" t="str">
        <f>"GED"</f>
        <v>GED</v>
      </c>
      <c r="D195">
        <v>35</v>
      </c>
      <c r="E195" t="str">
        <f>"2146"</f>
        <v>2146</v>
      </c>
      <c r="F195" t="str">
        <f>"1"</f>
        <v>1</v>
      </c>
    </row>
    <row r="196" spans="1:6">
      <c r="A196" t="str">
        <f>"E1919-2"</f>
        <v>E1919-2</v>
      </c>
      <c r="B196" t="str">
        <f t="shared" si="16"/>
        <v>VIA PIERO PINETTI VICINO AL 66B-</v>
      </c>
      <c r="C196" t="str">
        <f>"GED"</f>
        <v>GED</v>
      </c>
      <c r="D196">
        <v>35</v>
      </c>
      <c r="E196" t="str">
        <f>"2146"</f>
        <v>2146</v>
      </c>
      <c r="F196" t="str">
        <f>"2"</f>
        <v>2</v>
      </c>
    </row>
    <row r="197" spans="1:6">
      <c r="A197" t="str">
        <f>"E1919-3"</f>
        <v>E1919-3</v>
      </c>
      <c r="B197" t="str">
        <f t="shared" si="16"/>
        <v>VIA PIERO PINETTI VICINO AL 66B-</v>
      </c>
      <c r="C197" t="str">
        <f>"GED"</f>
        <v>GED</v>
      </c>
      <c r="D197">
        <v>35</v>
      </c>
      <c r="E197" t="str">
        <f>"2146"</f>
        <v>2146</v>
      </c>
      <c r="F197" t="str">
        <f>"3"</f>
        <v>3</v>
      </c>
    </row>
    <row r="198" spans="1:6">
      <c r="A198" t="str">
        <f>"E1919-4"</f>
        <v>E1919-4</v>
      </c>
      <c r="B198" t="str">
        <f t="shared" si="16"/>
        <v>VIA PIERO PINETTI VICINO AL 66B-</v>
      </c>
      <c r="C198" t="str">
        <f t="shared" ref="C198:C203" si="17">"1"</f>
        <v>1</v>
      </c>
      <c r="D198">
        <v>25</v>
      </c>
      <c r="E198" t="str">
        <f>"1416"</f>
        <v>1416</v>
      </c>
      <c r="F198" t="str">
        <f t="shared" ref="F198:F203" si="18">"0000"</f>
        <v>0000</v>
      </c>
    </row>
    <row r="199" spans="1:6">
      <c r="C199" t="str">
        <f t="shared" si="17"/>
        <v>1</v>
      </c>
      <c r="D199">
        <v>25</v>
      </c>
      <c r="E199" t="str">
        <f>"1418"</f>
        <v>1418</v>
      </c>
      <c r="F199" t="str">
        <f t="shared" si="18"/>
        <v>0000</v>
      </c>
    </row>
    <row r="200" spans="1:6">
      <c r="C200" t="str">
        <f t="shared" si="17"/>
        <v>1</v>
      </c>
      <c r="D200">
        <v>25</v>
      </c>
      <c r="E200" t="str">
        <f>"2146"</f>
        <v>2146</v>
      </c>
      <c r="F200" t="str">
        <f t="shared" si="18"/>
        <v>0000</v>
      </c>
    </row>
    <row r="201" spans="1:6">
      <c r="A201" t="str">
        <f>"E1919-5"</f>
        <v>E1919-5</v>
      </c>
      <c r="B201" t="str">
        <f t="shared" si="16"/>
        <v>VIA PIERO PINETTI VICINO AL 66B-</v>
      </c>
      <c r="C201" t="str">
        <f t="shared" si="17"/>
        <v>1</v>
      </c>
      <c r="D201">
        <v>25</v>
      </c>
      <c r="E201" t="str">
        <f>"1416"</f>
        <v>1416</v>
      </c>
      <c r="F201" t="str">
        <f t="shared" si="18"/>
        <v>0000</v>
      </c>
    </row>
    <row r="202" spans="1:6">
      <c r="C202" t="str">
        <f t="shared" si="17"/>
        <v>1</v>
      </c>
      <c r="D202">
        <v>25</v>
      </c>
      <c r="E202" t="str">
        <f>"2146"</f>
        <v>2146</v>
      </c>
      <c r="F202" t="str">
        <f t="shared" si="18"/>
        <v>0000</v>
      </c>
    </row>
    <row r="203" spans="1:6">
      <c r="C203" t="str">
        <f t="shared" si="17"/>
        <v>1</v>
      </c>
      <c r="D203">
        <v>25</v>
      </c>
      <c r="E203" t="str">
        <f>"1418"</f>
        <v>1418</v>
      </c>
      <c r="F203" t="str">
        <f t="shared" si="18"/>
        <v>0000</v>
      </c>
    </row>
    <row r="204" spans="1:6">
      <c r="A204" t="str">
        <f>"E1924-1"</f>
        <v>E1924-1</v>
      </c>
      <c r="B204" t="str">
        <f>"VIA FILIPPO CASONI  37R-"</f>
        <v>VIA FILIPPO CASONI  37R-</v>
      </c>
      <c r="C204" t="str">
        <f t="shared" ref="C204:C231" si="19">"GED"</f>
        <v>GED</v>
      </c>
      <c r="D204">
        <v>51</v>
      </c>
      <c r="E204" t="str">
        <f>"107"</f>
        <v>107</v>
      </c>
      <c r="F204" t="str">
        <f>"4"</f>
        <v>4</v>
      </c>
    </row>
    <row r="205" spans="1:6">
      <c r="A205" t="str">
        <f>"E1924-2"</f>
        <v>E1924-2</v>
      </c>
      <c r="B205" t="str">
        <f>"VIA FILIPPO CASONI  37R-"</f>
        <v>VIA FILIPPO CASONI  37R-</v>
      </c>
      <c r="C205" t="str">
        <f t="shared" si="19"/>
        <v>GED</v>
      </c>
      <c r="D205">
        <v>51</v>
      </c>
      <c r="E205" t="str">
        <f>"107"</f>
        <v>107</v>
      </c>
      <c r="F205" t="str">
        <f>"3"</f>
        <v>3</v>
      </c>
    </row>
    <row r="206" spans="1:6">
      <c r="A206" t="str">
        <f>"E1930-1"</f>
        <v>E1930-1</v>
      </c>
      <c r="B206" t="str">
        <f>"SALITA GINESTRATO VICINO AL 26-"</f>
        <v>SALITA GINESTRATO VICINO AL 26-</v>
      </c>
      <c r="C206" t="str">
        <f t="shared" si="19"/>
        <v>GED</v>
      </c>
      <c r="D206">
        <v>35</v>
      </c>
      <c r="E206" t="str">
        <f>"1350"</f>
        <v>1350</v>
      </c>
      <c r="F206" t="str">
        <f>"0000"</f>
        <v>0000</v>
      </c>
    </row>
    <row r="207" spans="1:6">
      <c r="A207" t="str">
        <f>"E1950-1"</f>
        <v>E1950-1</v>
      </c>
      <c r="B207" t="str">
        <f>"VIALE CENTURIONE BRACELLI  1A-"</f>
        <v>VIALE CENTURIONE BRACELLI  1A-</v>
      </c>
      <c r="C207" t="str">
        <f t="shared" si="19"/>
        <v>GED</v>
      </c>
      <c r="D207">
        <v>38</v>
      </c>
      <c r="E207" t="str">
        <f>"1478"</f>
        <v>1478</v>
      </c>
      <c r="F207" t="str">
        <f>"6"</f>
        <v>6</v>
      </c>
    </row>
    <row r="208" spans="1:6">
      <c r="C208" t="str">
        <f t="shared" si="19"/>
        <v>GED</v>
      </c>
      <c r="D208">
        <v>38</v>
      </c>
      <c r="E208" t="str">
        <f>"1478"</f>
        <v>1478</v>
      </c>
      <c r="F208" t="str">
        <f>"7"</f>
        <v>7</v>
      </c>
    </row>
    <row r="209" spans="1:6">
      <c r="A209" t="str">
        <f>"E1950-2"</f>
        <v>E1950-2</v>
      </c>
      <c r="B209" t="str">
        <f>"VIALE CENTURIONE BRACELLI  1-"</f>
        <v>VIALE CENTURIONE BRACELLI  1-</v>
      </c>
      <c r="C209" t="str">
        <f t="shared" si="19"/>
        <v>GED</v>
      </c>
      <c r="D209">
        <v>38</v>
      </c>
      <c r="E209" t="str">
        <f>"1478"</f>
        <v>1478</v>
      </c>
      <c r="F209" t="str">
        <f>"8"</f>
        <v>8</v>
      </c>
    </row>
    <row r="210" spans="1:6">
      <c r="A210" t="str">
        <f>"E1950-3"</f>
        <v>E1950-3</v>
      </c>
      <c r="B210" t="str">
        <f>"VIALE CENTURIONE BRACELLI  1-"</f>
        <v>VIALE CENTURIONE BRACELLI  1-</v>
      </c>
      <c r="C210" t="str">
        <f t="shared" si="19"/>
        <v>GED</v>
      </c>
      <c r="D210">
        <v>38</v>
      </c>
      <c r="E210" t="str">
        <f>"1478"</f>
        <v>1478</v>
      </c>
      <c r="F210" t="str">
        <f>"9"</f>
        <v>9</v>
      </c>
    </row>
    <row r="211" spans="1:6">
      <c r="A211" t="str">
        <f>"E1957-1"</f>
        <v>E1957-1</v>
      </c>
      <c r="B211" t="str">
        <f>"VIA DONGHI  68LR-"</f>
        <v>VIA DONGHI  68LR-</v>
      </c>
      <c r="C211" t="str">
        <f t="shared" si="19"/>
        <v>GED</v>
      </c>
      <c r="D211">
        <v>44</v>
      </c>
      <c r="E211" t="str">
        <f>"896"</f>
        <v>896</v>
      </c>
      <c r="F211" t="str">
        <f>"200"</f>
        <v>200</v>
      </c>
    </row>
    <row r="212" spans="1:6">
      <c r="A212" t="str">
        <f>"E1957-2"</f>
        <v>E1957-2</v>
      </c>
      <c r="B212" t="str">
        <f>"VIA DONGHI SITO NEL 22-"</f>
        <v>VIA DONGHI SITO NEL 22-</v>
      </c>
      <c r="C212" t="str">
        <f t="shared" si="19"/>
        <v>GED</v>
      </c>
      <c r="D212">
        <v>44</v>
      </c>
      <c r="E212" t="str">
        <f>"896"</f>
        <v>896</v>
      </c>
      <c r="F212" t="str">
        <f>"145"</f>
        <v>145</v>
      </c>
    </row>
    <row r="213" spans="1:6">
      <c r="A213" t="str">
        <f>"E1957-3"</f>
        <v>E1957-3</v>
      </c>
      <c r="B213" t="str">
        <f>"VIA DONGHI SITO NEL 22-"</f>
        <v>VIA DONGHI SITO NEL 22-</v>
      </c>
      <c r="C213" t="str">
        <f t="shared" si="19"/>
        <v>GED</v>
      </c>
      <c r="D213">
        <v>44</v>
      </c>
      <c r="E213" t="str">
        <f>"896"</f>
        <v>896</v>
      </c>
      <c r="F213" t="str">
        <f>"149"</f>
        <v>149</v>
      </c>
    </row>
    <row r="214" spans="1:6">
      <c r="A214" t="str">
        <f>"E1957-4"</f>
        <v>E1957-4</v>
      </c>
      <c r="B214" t="str">
        <f>"VIA DONGHI SITO NEL 22-"</f>
        <v>VIA DONGHI SITO NEL 22-</v>
      </c>
      <c r="C214" t="str">
        <f t="shared" si="19"/>
        <v>GED</v>
      </c>
      <c r="D214">
        <v>44</v>
      </c>
      <c r="E214" t="str">
        <f>"898"</f>
        <v>898</v>
      </c>
      <c r="F214" t="str">
        <f>"0000"</f>
        <v>0000</v>
      </c>
    </row>
    <row r="215" spans="1:6">
      <c r="A215" t="str">
        <f>"E1957-5"</f>
        <v>E1957-5</v>
      </c>
      <c r="B215" t="str">
        <f>"VIA DONGHI SITO NEL 22-"</f>
        <v>VIA DONGHI SITO NEL 22-</v>
      </c>
      <c r="C215" t="str">
        <f t="shared" si="19"/>
        <v>GED</v>
      </c>
      <c r="D215">
        <v>44</v>
      </c>
      <c r="E215" t="str">
        <f>"902"</f>
        <v>902</v>
      </c>
      <c r="F215" t="str">
        <f>"0000"</f>
        <v>0000</v>
      </c>
    </row>
    <row r="216" spans="1:6">
      <c r="A216" t="str">
        <f>"E1960-1"</f>
        <v>E1960-1</v>
      </c>
      <c r="B216" t="str">
        <f>"CORSO ALES DE STEFANIS  74CR-"</f>
        <v>CORSO ALES DE STEFANIS  74CR-</v>
      </c>
      <c r="C216" t="str">
        <f t="shared" si="19"/>
        <v>GED</v>
      </c>
      <c r="D216">
        <v>37</v>
      </c>
      <c r="E216" t="str">
        <f t="shared" ref="E216:E227" si="20">"289"</f>
        <v>289</v>
      </c>
      <c r="F216" t="str">
        <f>"21"</f>
        <v>21</v>
      </c>
    </row>
    <row r="217" spans="1:6">
      <c r="A217" t="str">
        <f>"E1960-2"</f>
        <v>E1960-2</v>
      </c>
      <c r="B217" t="str">
        <f>"VIA GIOVANNI DE PRA  18-"</f>
        <v>VIA GIOVANNI DE PRA  18-</v>
      </c>
      <c r="C217" t="str">
        <f t="shared" si="19"/>
        <v>GED</v>
      </c>
      <c r="D217">
        <v>37</v>
      </c>
      <c r="E217" t="str">
        <f t="shared" si="20"/>
        <v>289</v>
      </c>
      <c r="F217" t="str">
        <f>"4"</f>
        <v>4</v>
      </c>
    </row>
    <row r="218" spans="1:6">
      <c r="A218" t="str">
        <f>"E1960-3"</f>
        <v>E1960-3</v>
      </c>
      <c r="B218" t="str">
        <f>"VIA GIOVANNI DE PRA  26-"</f>
        <v>VIA GIOVANNI DE PRA  26-</v>
      </c>
      <c r="C218" t="str">
        <f t="shared" si="19"/>
        <v>GED</v>
      </c>
      <c r="D218">
        <v>37</v>
      </c>
      <c r="E218" t="str">
        <f t="shared" si="20"/>
        <v>289</v>
      </c>
      <c r="F218" t="str">
        <f>"5"</f>
        <v>5</v>
      </c>
    </row>
    <row r="219" spans="1:6">
      <c r="A219" t="str">
        <f>"E1960-4"</f>
        <v>E1960-4</v>
      </c>
      <c r="B219" t="str">
        <f>"VIA GIOVANNI DE PRA  40-"</f>
        <v>VIA GIOVANNI DE PRA  40-</v>
      </c>
      <c r="C219" t="str">
        <f t="shared" si="19"/>
        <v>GED</v>
      </c>
      <c r="D219">
        <v>37</v>
      </c>
      <c r="E219" t="str">
        <f t="shared" si="20"/>
        <v>289</v>
      </c>
      <c r="F219" t="str">
        <f>"6"</f>
        <v>6</v>
      </c>
    </row>
    <row r="220" spans="1:6">
      <c r="A220" t="str">
        <f>"E1960-5"</f>
        <v>E1960-5</v>
      </c>
      <c r="B220" t="str">
        <f>"VIA CLAVAREZZA  16-"</f>
        <v>VIA CLAVAREZZA  16-</v>
      </c>
      <c r="C220" t="str">
        <f t="shared" si="19"/>
        <v>GED</v>
      </c>
      <c r="D220">
        <v>37</v>
      </c>
      <c r="E220" t="str">
        <f t="shared" si="20"/>
        <v>289</v>
      </c>
      <c r="F220" t="str">
        <f>"9"</f>
        <v>9</v>
      </c>
    </row>
    <row r="221" spans="1:6">
      <c r="A221" t="str">
        <f>"E1960-6"</f>
        <v>E1960-6</v>
      </c>
      <c r="B221" t="str">
        <f>"VIA CLAVAREZZA  20-"</f>
        <v>VIA CLAVAREZZA  20-</v>
      </c>
      <c r="C221" t="str">
        <f t="shared" si="19"/>
        <v>GED</v>
      </c>
      <c r="D221">
        <v>37</v>
      </c>
      <c r="E221" t="str">
        <f t="shared" si="20"/>
        <v>289</v>
      </c>
      <c r="F221" t="str">
        <f>"10"</f>
        <v>10</v>
      </c>
    </row>
    <row r="222" spans="1:6">
      <c r="A222" t="str">
        <f>"E1960-7"</f>
        <v>E1960-7</v>
      </c>
      <c r="B222" t="str">
        <f>"VIA CLAVAREZZA  25-"</f>
        <v>VIA CLAVAREZZA  25-</v>
      </c>
      <c r="C222" t="str">
        <f t="shared" si="19"/>
        <v>GED</v>
      </c>
      <c r="D222">
        <v>37</v>
      </c>
      <c r="E222" t="str">
        <f t="shared" si="20"/>
        <v>289</v>
      </c>
      <c r="F222" t="str">
        <f>"11"</f>
        <v>11</v>
      </c>
    </row>
    <row r="223" spans="1:6">
      <c r="A223" t="str">
        <f>"E1960-8"</f>
        <v>E1960-8</v>
      </c>
      <c r="B223" t="str">
        <f>"VIA CLAVAREZZA  28-"</f>
        <v>VIA CLAVAREZZA  28-</v>
      </c>
      <c r="C223" t="str">
        <f t="shared" si="19"/>
        <v>GED</v>
      </c>
      <c r="D223">
        <v>37</v>
      </c>
      <c r="E223" t="str">
        <f t="shared" si="20"/>
        <v>289</v>
      </c>
      <c r="F223" t="str">
        <f>"12"</f>
        <v>12</v>
      </c>
    </row>
    <row r="224" spans="1:6">
      <c r="A224" t="str">
        <f>"E1960-9"</f>
        <v>E1960-9</v>
      </c>
      <c r="B224" t="str">
        <f>"VIA CASATA CENTURIONA  10R-"</f>
        <v>VIA CASATA CENTURIONA  10R-</v>
      </c>
      <c r="C224" t="str">
        <f t="shared" si="19"/>
        <v>GED</v>
      </c>
      <c r="D224">
        <v>37</v>
      </c>
      <c r="E224" t="str">
        <f t="shared" si="20"/>
        <v>289</v>
      </c>
      <c r="F224" t="str">
        <f>"13"</f>
        <v>13</v>
      </c>
    </row>
    <row r="225" spans="1:6">
      <c r="A225" t="str">
        <f>"E1960-10"</f>
        <v>E1960-10</v>
      </c>
      <c r="B225" t="str">
        <f>"VIA CASATA CENTURIONA  14R-"</f>
        <v>VIA CASATA CENTURIONA  14R-</v>
      </c>
      <c r="C225" t="str">
        <f t="shared" si="19"/>
        <v>GED</v>
      </c>
      <c r="D225">
        <v>37</v>
      </c>
      <c r="E225" t="str">
        <f t="shared" si="20"/>
        <v>289</v>
      </c>
      <c r="F225" t="str">
        <f>"14"</f>
        <v>14</v>
      </c>
    </row>
    <row r="226" spans="1:6">
      <c r="A226" t="str">
        <f>"E1960-11"</f>
        <v>E1960-11</v>
      </c>
      <c r="B226" t="str">
        <f>"VIA CASATA CENTURIONA  18R-"</f>
        <v>VIA CASATA CENTURIONA  18R-</v>
      </c>
      <c r="C226" t="str">
        <f t="shared" si="19"/>
        <v>GED</v>
      </c>
      <c r="D226">
        <v>37</v>
      </c>
      <c r="E226" t="str">
        <f t="shared" si="20"/>
        <v>289</v>
      </c>
      <c r="F226" t="str">
        <f>"15"</f>
        <v>15</v>
      </c>
    </row>
    <row r="227" spans="1:6">
      <c r="A227" t="str">
        <f>"E1960-12"</f>
        <v>E1960-12</v>
      </c>
      <c r="B227" t="str">
        <f>"VIA CASATA CENTURIONA  24R-"</f>
        <v>VIA CASATA CENTURIONA  24R-</v>
      </c>
      <c r="C227" t="str">
        <f t="shared" si="19"/>
        <v>GED</v>
      </c>
      <c r="D227">
        <v>37</v>
      </c>
      <c r="E227" t="str">
        <f t="shared" si="20"/>
        <v>289</v>
      </c>
      <c r="F227" t="str">
        <f>"16"</f>
        <v>16</v>
      </c>
    </row>
    <row r="228" spans="1:6">
      <c r="A228" t="str">
        <f>"E1960-13"</f>
        <v>E1960-13</v>
      </c>
      <c r="B228" t="str">
        <f>"VIA GIOVANNI DE PRA  56-"</f>
        <v>VIA GIOVANNI DE PRA  56-</v>
      </c>
      <c r="C228" t="str">
        <f t="shared" si="19"/>
        <v>GED</v>
      </c>
      <c r="D228">
        <v>37</v>
      </c>
      <c r="E228" t="str">
        <f>"287"</f>
        <v>287</v>
      </c>
      <c r="F228" t="str">
        <f>"17"</f>
        <v>17</v>
      </c>
    </row>
    <row r="229" spans="1:6">
      <c r="A229" t="str">
        <f>"E1960-14"</f>
        <v>E1960-14</v>
      </c>
      <c r="B229" t="str">
        <f>"VIA GIOVANNI DE PRA  14-"</f>
        <v>VIA GIOVANNI DE PRA  14-</v>
      </c>
      <c r="C229" t="str">
        <f t="shared" si="19"/>
        <v>GED</v>
      </c>
      <c r="D229">
        <v>37</v>
      </c>
      <c r="E229" t="str">
        <f>"289"</f>
        <v>289</v>
      </c>
      <c r="F229" t="str">
        <f>"18"</f>
        <v>18</v>
      </c>
    </row>
    <row r="230" spans="1:6">
      <c r="A230" t="str">
        <f>"E1960-15"</f>
        <v>E1960-15</v>
      </c>
      <c r="B230" t="str">
        <f>"VIA GIOVANNI DE PRA  52-"</f>
        <v>VIA GIOVANNI DE PRA  52-</v>
      </c>
      <c r="C230" t="str">
        <f t="shared" si="19"/>
        <v>GED</v>
      </c>
      <c r="D230">
        <v>37</v>
      </c>
      <c r="E230" t="str">
        <f>"289"</f>
        <v>289</v>
      </c>
      <c r="F230" t="str">
        <f>"19"</f>
        <v>19</v>
      </c>
    </row>
    <row r="231" spans="1:6">
      <c r="A231" t="str">
        <f>"E1960-16"</f>
        <v>E1960-16</v>
      </c>
      <c r="B231" t="str">
        <f>"VIA GIOVANNI DE PRA  48-"</f>
        <v>VIA GIOVANNI DE PRA  48-</v>
      </c>
      <c r="C231" t="str">
        <f t="shared" si="19"/>
        <v>GED</v>
      </c>
      <c r="D231">
        <v>37</v>
      </c>
      <c r="E231" t="str">
        <f>"289"</f>
        <v>289</v>
      </c>
      <c r="F231" t="str">
        <f>"20"</f>
        <v>20</v>
      </c>
    </row>
    <row r="232" spans="1:6">
      <c r="A232" t="str">
        <f>"E1965-1"</f>
        <v>E1965-1</v>
      </c>
      <c r="B232" t="str">
        <f>"V BORGO DEGLI INCROCIATI  30-"</f>
        <v>V BORGO DEGLI INCROCIATI  30-</v>
      </c>
      <c r="C232" t="str">
        <f>"GEC"</f>
        <v>GEC</v>
      </c>
      <c r="D232">
        <v>49</v>
      </c>
      <c r="E232" t="str">
        <f>"98"</f>
        <v>98</v>
      </c>
      <c r="F232" t="str">
        <f>"10"</f>
        <v>10</v>
      </c>
    </row>
    <row r="233" spans="1:6">
      <c r="A233" t="str">
        <f>"E1966-1"</f>
        <v>E1966-1</v>
      </c>
      <c r="B233" t="str">
        <f>"VIA GIOVANNI TORTI  4R-"</f>
        <v>VIA GIOVANNI TORTI  4R-</v>
      </c>
      <c r="C233" t="str">
        <f>"GED"</f>
        <v>GED</v>
      </c>
      <c r="D233">
        <v>43</v>
      </c>
      <c r="E233" t="str">
        <f>"415"</f>
        <v>415</v>
      </c>
      <c r="F233" t="str">
        <f>"4"</f>
        <v>4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10"/>
  <sheetViews>
    <sheetView workbookViewId="0"/>
  </sheetViews>
  <sheetFormatPr defaultRowHeight="12.75"/>
  <cols>
    <col min="1" max="1" width="19.5703125" bestFit="1" customWidth="1"/>
    <col min="2" max="2" width="39.57031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"E59-2"</f>
        <v>E59-2</v>
      </c>
      <c r="B2" t="str">
        <f>"SALITA DI PINO SOTTANO  2-"</f>
        <v>SALITA DI PINO SOTTANO  2-</v>
      </c>
      <c r="C2" t="str">
        <f>"MOL"</f>
        <v>MOL</v>
      </c>
      <c r="D2">
        <v>5</v>
      </c>
      <c r="E2" t="str">
        <f>"609"</f>
        <v>609</v>
      </c>
      <c r="F2" t="str">
        <f>"7"</f>
        <v>7</v>
      </c>
    </row>
    <row r="3" spans="1:6">
      <c r="A3" t="str">
        <f>"E59-21"</f>
        <v>E59-21</v>
      </c>
      <c r="B3" t="str">
        <f>"SALITA DI PINO SOTTANO  3-"</f>
        <v>SALITA DI PINO SOTTANO  3-</v>
      </c>
      <c r="C3" t="str">
        <f>"MOL"</f>
        <v>MOL</v>
      </c>
      <c r="D3">
        <v>5</v>
      </c>
      <c r="E3" t="str">
        <f>"609"</f>
        <v>609</v>
      </c>
      <c r="F3" t="str">
        <f>"45"</f>
        <v>45</v>
      </c>
    </row>
    <row r="4" spans="1:6">
      <c r="A4" t="str">
        <f>"E75-1"</f>
        <v>E75-1</v>
      </c>
      <c r="B4" t="str">
        <f>"SALITA DELLA CHIAPPA VICINO AL 6-"</f>
        <v>SALITA DELLA CHIAPPA VICINO AL 6-</v>
      </c>
      <c r="C4" t="str">
        <f>"1"</f>
        <v>1</v>
      </c>
      <c r="D4">
        <v>5</v>
      </c>
      <c r="E4" t="str">
        <f>"186"</f>
        <v>186</v>
      </c>
      <c r="F4" t="str">
        <f>"0000"</f>
        <v>0000</v>
      </c>
    </row>
    <row r="5" spans="1:6">
      <c r="A5" t="str">
        <f>"E96-1"</f>
        <v>E96-1</v>
      </c>
      <c r="B5" t="str">
        <f>"VIA INFER. RIO MAGGIORE  1B-"</f>
        <v>VIA INFER. RIO MAGGIORE  1B-</v>
      </c>
      <c r="C5" t="str">
        <f>"MOL"</f>
        <v>MOL</v>
      </c>
      <c r="D5">
        <v>5</v>
      </c>
      <c r="E5" t="str">
        <f>"599"</f>
        <v>599</v>
      </c>
      <c r="F5" t="str">
        <f>"0000"</f>
        <v>0000</v>
      </c>
    </row>
    <row r="6" spans="1:6">
      <c r="A6" t="str">
        <f>"E97-1"</f>
        <v>E97-1</v>
      </c>
      <c r="B6" t="str">
        <f>"VIA MOLASSANA  64-"</f>
        <v>VIA MOLASSANA  64-</v>
      </c>
      <c r="C6" t="str">
        <f>"MOL"</f>
        <v>MOL</v>
      </c>
      <c r="D6">
        <v>9</v>
      </c>
      <c r="E6" t="str">
        <f>"376"</f>
        <v>376</v>
      </c>
      <c r="F6" t="str">
        <f>"4"</f>
        <v>4</v>
      </c>
    </row>
    <row r="7" spans="1:6">
      <c r="A7" t="str">
        <f>"E109-1"</f>
        <v>E109-1</v>
      </c>
      <c r="B7" t="str">
        <f>"VIA CA DE MUSSI VICINO AL 5-"</f>
        <v>VIA CA DE MUSSI VICINO AL 5-</v>
      </c>
      <c r="C7" t="str">
        <f>"1"</f>
        <v>1</v>
      </c>
      <c r="D7">
        <v>8</v>
      </c>
      <c r="E7" t="str">
        <f>"99999"</f>
        <v>99999</v>
      </c>
      <c r="F7" t="str">
        <f>"0000"</f>
        <v>0000</v>
      </c>
    </row>
    <row r="8" spans="1:6">
      <c r="A8" t="str">
        <f>"E113-1"</f>
        <v>E113-1</v>
      </c>
      <c r="B8" t="str">
        <f>"VIA DI SAN PANTALEO  4A-"</f>
        <v>VIA DI SAN PANTALEO  4A-</v>
      </c>
      <c r="C8" t="str">
        <f>"GEC"</f>
        <v>GEC</v>
      </c>
      <c r="D8">
        <v>36</v>
      </c>
      <c r="E8" t="str">
        <f>"86"</f>
        <v>86</v>
      </c>
      <c r="F8" t="str">
        <f>"0000"</f>
        <v>0000</v>
      </c>
    </row>
    <row r="9" spans="1:6">
      <c r="A9" t="str">
        <f>"E200-1"</f>
        <v>E200-1</v>
      </c>
      <c r="B9" t="str">
        <f>"VIA DELLE BANCHELLE VICINO AL 2-"</f>
        <v>VIA DELLE BANCHELLE VICINO AL 2-</v>
      </c>
      <c r="C9" t="str">
        <f>"STA"</f>
        <v>STA</v>
      </c>
      <c r="D9">
        <v>25</v>
      </c>
      <c r="E9" t="str">
        <f>"253"</f>
        <v>253</v>
      </c>
      <c r="F9" t="str">
        <f>"0000"</f>
        <v>0000</v>
      </c>
    </row>
    <row r="10" spans="1:6">
      <c r="A10" t="str">
        <f>"E275-1"</f>
        <v>E275-1</v>
      </c>
      <c r="B10" t="str">
        <f>"VIA GIOVANNI DA VERAZZANO  204-"</f>
        <v>VIA GIOVANNI DA VERAZZANO  204-</v>
      </c>
      <c r="C10" t="str">
        <f>"BAV"</f>
        <v>BAV</v>
      </c>
      <c r="D10">
        <v>44</v>
      </c>
      <c r="E10" t="str">
        <f>"1277"</f>
        <v>1277</v>
      </c>
      <c r="F10" t="str">
        <f>"1"</f>
        <v>1</v>
      </c>
    </row>
    <row r="11" spans="1:6">
      <c r="A11" t="str">
        <f>"E294-1"</f>
        <v>E294-1</v>
      </c>
      <c r="B11" t="str">
        <f>"VIA DI PINO VICINO AL 167-"</f>
        <v>VIA DI PINO VICINO AL 167-</v>
      </c>
      <c r="C11" t="str">
        <f>"MOL"</f>
        <v>MOL</v>
      </c>
      <c r="D11">
        <v>1</v>
      </c>
      <c r="E11" t="str">
        <f>"692"</f>
        <v>692</v>
      </c>
      <c r="F11" t="str">
        <f>"0000"</f>
        <v>0000</v>
      </c>
    </row>
    <row r="12" spans="1:6">
      <c r="A12" t="str">
        <f>"E301-1"</f>
        <v>E301-1</v>
      </c>
      <c r="B12" t="str">
        <f>"VIA GIULIA DE VINCENZI  28-"</f>
        <v>VIA GIULIA DE VINCENZI  28-</v>
      </c>
      <c r="C12" t="str">
        <f>"STA"</f>
        <v>STA</v>
      </c>
      <c r="D12">
        <v>21</v>
      </c>
      <c r="E12" t="str">
        <f>"1620"</f>
        <v>1620</v>
      </c>
      <c r="F12" t="str">
        <f>"1"</f>
        <v>1</v>
      </c>
    </row>
    <row r="13" spans="1:6">
      <c r="A13" t="str">
        <f>"E301-2"</f>
        <v>E301-2</v>
      </c>
      <c r="B13" t="str">
        <f>"VIA GIULIA DE VINCENZI  32-"</f>
        <v>VIA GIULIA DE VINCENZI  32-</v>
      </c>
      <c r="C13" t="str">
        <f>"STA"</f>
        <v>STA</v>
      </c>
      <c r="D13">
        <v>21</v>
      </c>
      <c r="E13" t="str">
        <f>"1620"</f>
        <v>1620</v>
      </c>
      <c r="F13" t="str">
        <f>"3"</f>
        <v>3</v>
      </c>
    </row>
    <row r="14" spans="1:6">
      <c r="A14" t="str">
        <f>"E302-1"</f>
        <v>E302-1</v>
      </c>
      <c r="B14" t="str">
        <f>"VIA GIULIA DE VINCENZI  26-"</f>
        <v>VIA GIULIA DE VINCENZI  26-</v>
      </c>
      <c r="C14" t="str">
        <f>"STA"</f>
        <v>STA</v>
      </c>
      <c r="D14">
        <v>21</v>
      </c>
      <c r="E14" t="str">
        <f>"1620"</f>
        <v>1620</v>
      </c>
      <c r="F14" t="str">
        <f>"2"</f>
        <v>2</v>
      </c>
    </row>
    <row r="15" spans="1:6">
      <c r="A15" t="str">
        <f>"E303-1"</f>
        <v>E303-1</v>
      </c>
      <c r="B15" t="str">
        <f>"VIALE A PINO SOTTANO  20-"</f>
        <v>VIALE A PINO SOTTANO  20-</v>
      </c>
      <c r="C15" t="str">
        <f>"5"</f>
        <v>5</v>
      </c>
      <c r="D15">
        <v>8</v>
      </c>
      <c r="E15" t="str">
        <f>"372"</f>
        <v>372</v>
      </c>
      <c r="F15" t="str">
        <f>"0000"</f>
        <v>0000</v>
      </c>
    </row>
    <row r="16" spans="1:6">
      <c r="A16" t="str">
        <f>"E305-1"</f>
        <v>E305-1</v>
      </c>
      <c r="B16" t="str">
        <f>"VIA SAN FELICE  19-"</f>
        <v>VIA SAN FELICE  19-</v>
      </c>
      <c r="C16" t="str">
        <f>"5"</f>
        <v>5</v>
      </c>
      <c r="D16">
        <v>9</v>
      </c>
      <c r="E16" t="str">
        <f>"1636"</f>
        <v>1636</v>
      </c>
      <c r="F16" t="str">
        <f>"0000"</f>
        <v>0000</v>
      </c>
    </row>
    <row r="17" spans="1:6">
      <c r="A17" t="str">
        <f>"E305-2"</f>
        <v>E305-2</v>
      </c>
      <c r="B17" t="str">
        <f>"VIA SAN FELICE  19-"</f>
        <v>VIA SAN FELICE  19-</v>
      </c>
      <c r="C17" t="str">
        <f>"5"</f>
        <v>5</v>
      </c>
      <c r="D17">
        <v>9</v>
      </c>
      <c r="E17" t="str">
        <f>"1636"</f>
        <v>1636</v>
      </c>
      <c r="F17" t="str">
        <f>"0000"</f>
        <v>0000</v>
      </c>
    </row>
    <row r="18" spans="1:6">
      <c r="A18" t="str">
        <f>"E343-1"</f>
        <v>E343-1</v>
      </c>
      <c r="B18" t="str">
        <f>"VIA DI PINO VICINO AL 147-"</f>
        <v>VIA DI PINO VICINO AL 147-</v>
      </c>
      <c r="C18" t="str">
        <f>"5"</f>
        <v>5</v>
      </c>
      <c r="D18">
        <v>1</v>
      </c>
      <c r="E18" t="str">
        <f>"99999"</f>
        <v>99999</v>
      </c>
      <c r="F18" t="str">
        <f>"0000"</f>
        <v>0000</v>
      </c>
    </row>
    <row r="19" spans="1:6">
      <c r="A19" t="str">
        <f>"E388-1"</f>
        <v>E388-1</v>
      </c>
      <c r="B19" t="str">
        <f>"VIA SUPERIORE DEL VEILINO  32-"</f>
        <v>VIA SUPERIORE DEL VEILINO  32-</v>
      </c>
      <c r="C19" t="str">
        <f>"1"</f>
        <v>1</v>
      </c>
      <c r="D19">
        <v>8</v>
      </c>
      <c r="E19" t="str">
        <f>"448"</f>
        <v>448</v>
      </c>
      <c r="F19" t="str">
        <f>"0000"</f>
        <v>0000</v>
      </c>
    </row>
    <row r="20" spans="1:6">
      <c r="A20" t="str">
        <f>"E403-1"</f>
        <v>E403-1</v>
      </c>
      <c r="B20" t="str">
        <f t="shared" ref="B20:B36" si="0">"PIAZZA ADRIATICO  3-"</f>
        <v>PIAZZA ADRIATICO  3-</v>
      </c>
      <c r="C20" t="str">
        <f t="shared" ref="C20:C51" si="1">"STA"</f>
        <v>STA</v>
      </c>
      <c r="D20">
        <v>28</v>
      </c>
      <c r="E20" t="str">
        <f t="shared" ref="E20:E55" si="2">"286"</f>
        <v>286</v>
      </c>
      <c r="F20" t="str">
        <f>"1"</f>
        <v>1</v>
      </c>
    </row>
    <row r="21" spans="1:6">
      <c r="A21" t="str">
        <f>"E403-2"</f>
        <v>E403-2</v>
      </c>
      <c r="B21" t="str">
        <f t="shared" si="0"/>
        <v>PIAZZA ADRIATICO  3-</v>
      </c>
      <c r="C21" t="str">
        <f t="shared" si="1"/>
        <v>STA</v>
      </c>
      <c r="D21">
        <v>28</v>
      </c>
      <c r="E21" t="str">
        <f t="shared" si="2"/>
        <v>286</v>
      </c>
      <c r="F21" t="str">
        <f>"2"</f>
        <v>2</v>
      </c>
    </row>
    <row r="22" spans="1:6">
      <c r="A22" t="str">
        <f>"E403-3"</f>
        <v>E403-3</v>
      </c>
      <c r="B22" t="str">
        <f t="shared" si="0"/>
        <v>PIAZZA ADRIATICO  3-</v>
      </c>
      <c r="C22" t="str">
        <f t="shared" si="1"/>
        <v>STA</v>
      </c>
      <c r="D22">
        <v>28</v>
      </c>
      <c r="E22" t="str">
        <f t="shared" si="2"/>
        <v>286</v>
      </c>
      <c r="F22" t="str">
        <f>"3"</f>
        <v>3</v>
      </c>
    </row>
    <row r="23" spans="1:6">
      <c r="A23" t="str">
        <f>"E403-4"</f>
        <v>E403-4</v>
      </c>
      <c r="B23" t="str">
        <f t="shared" si="0"/>
        <v>PIAZZA ADRIATICO  3-</v>
      </c>
      <c r="C23" t="str">
        <f t="shared" si="1"/>
        <v>STA</v>
      </c>
      <c r="D23">
        <v>28</v>
      </c>
      <c r="E23" t="str">
        <f t="shared" si="2"/>
        <v>286</v>
      </c>
      <c r="F23" t="str">
        <f>"4"</f>
        <v>4</v>
      </c>
    </row>
    <row r="24" spans="1:6">
      <c r="A24" t="str">
        <f>"E403-5"</f>
        <v>E403-5</v>
      </c>
      <c r="B24" t="str">
        <f t="shared" si="0"/>
        <v>PIAZZA ADRIATICO  3-</v>
      </c>
      <c r="C24" t="str">
        <f t="shared" si="1"/>
        <v>STA</v>
      </c>
      <c r="D24">
        <v>28</v>
      </c>
      <c r="E24" t="str">
        <f t="shared" si="2"/>
        <v>286</v>
      </c>
      <c r="F24" t="str">
        <f>"5"</f>
        <v>5</v>
      </c>
    </row>
    <row r="25" spans="1:6">
      <c r="A25" t="str">
        <f>"E403-6"</f>
        <v>E403-6</v>
      </c>
      <c r="B25" t="str">
        <f t="shared" si="0"/>
        <v>PIAZZA ADRIATICO  3-</v>
      </c>
      <c r="C25" t="str">
        <f t="shared" si="1"/>
        <v>STA</v>
      </c>
      <c r="D25">
        <v>28</v>
      </c>
      <c r="E25" t="str">
        <f t="shared" si="2"/>
        <v>286</v>
      </c>
      <c r="F25" t="str">
        <f>"6"</f>
        <v>6</v>
      </c>
    </row>
    <row r="26" spans="1:6">
      <c r="A26" t="str">
        <f>"E403-7"</f>
        <v>E403-7</v>
      </c>
      <c r="B26" t="str">
        <f t="shared" si="0"/>
        <v>PIAZZA ADRIATICO  3-</v>
      </c>
      <c r="C26" t="str">
        <f t="shared" si="1"/>
        <v>STA</v>
      </c>
      <c r="D26">
        <v>28</v>
      </c>
      <c r="E26" t="str">
        <f t="shared" si="2"/>
        <v>286</v>
      </c>
      <c r="F26" t="str">
        <f>"7"</f>
        <v>7</v>
      </c>
    </row>
    <row r="27" spans="1:6">
      <c r="A27" t="str">
        <f>"E403-8"</f>
        <v>E403-8</v>
      </c>
      <c r="B27" t="str">
        <f t="shared" si="0"/>
        <v>PIAZZA ADRIATICO  3-</v>
      </c>
      <c r="C27" t="str">
        <f t="shared" si="1"/>
        <v>STA</v>
      </c>
      <c r="D27">
        <v>28</v>
      </c>
      <c r="E27" t="str">
        <f t="shared" si="2"/>
        <v>286</v>
      </c>
      <c r="F27" t="str">
        <f>"8"</f>
        <v>8</v>
      </c>
    </row>
    <row r="28" spans="1:6">
      <c r="A28" t="str">
        <f>"E403-9"</f>
        <v>E403-9</v>
      </c>
      <c r="B28" t="str">
        <f t="shared" si="0"/>
        <v>PIAZZA ADRIATICO  3-</v>
      </c>
      <c r="C28" t="str">
        <f t="shared" si="1"/>
        <v>STA</v>
      </c>
      <c r="D28">
        <v>28</v>
      </c>
      <c r="E28" t="str">
        <f t="shared" si="2"/>
        <v>286</v>
      </c>
      <c r="F28" t="str">
        <f>"9"</f>
        <v>9</v>
      </c>
    </row>
    <row r="29" spans="1:6">
      <c r="A29" t="str">
        <f>"E403-10"</f>
        <v>E403-10</v>
      </c>
      <c r="B29" t="str">
        <f t="shared" si="0"/>
        <v>PIAZZA ADRIATICO  3-</v>
      </c>
      <c r="C29" t="str">
        <f t="shared" si="1"/>
        <v>STA</v>
      </c>
      <c r="D29">
        <v>28</v>
      </c>
      <c r="E29" t="str">
        <f t="shared" si="2"/>
        <v>286</v>
      </c>
      <c r="F29" t="str">
        <f>"10"</f>
        <v>10</v>
      </c>
    </row>
    <row r="30" spans="1:6">
      <c r="A30" t="str">
        <f>"E403-11"</f>
        <v>E403-11</v>
      </c>
      <c r="B30" t="str">
        <f t="shared" si="0"/>
        <v>PIAZZA ADRIATICO  3-</v>
      </c>
      <c r="C30" t="str">
        <f t="shared" si="1"/>
        <v>STA</v>
      </c>
      <c r="D30">
        <v>28</v>
      </c>
      <c r="E30" t="str">
        <f t="shared" si="2"/>
        <v>286</v>
      </c>
      <c r="F30" t="str">
        <f>"11"</f>
        <v>11</v>
      </c>
    </row>
    <row r="31" spans="1:6">
      <c r="A31" t="str">
        <f>"E403-12"</f>
        <v>E403-12</v>
      </c>
      <c r="B31" t="str">
        <f t="shared" si="0"/>
        <v>PIAZZA ADRIATICO  3-</v>
      </c>
      <c r="C31" t="str">
        <f t="shared" si="1"/>
        <v>STA</v>
      </c>
      <c r="D31">
        <v>28</v>
      </c>
      <c r="E31" t="str">
        <f t="shared" si="2"/>
        <v>286</v>
      </c>
      <c r="F31" t="str">
        <f>"12"</f>
        <v>12</v>
      </c>
    </row>
    <row r="32" spans="1:6">
      <c r="A32" t="str">
        <f>"E403-13"</f>
        <v>E403-13</v>
      </c>
      <c r="B32" t="str">
        <f t="shared" si="0"/>
        <v>PIAZZA ADRIATICO  3-</v>
      </c>
      <c r="C32" t="str">
        <f t="shared" si="1"/>
        <v>STA</v>
      </c>
      <c r="D32">
        <v>28</v>
      </c>
      <c r="E32" t="str">
        <f t="shared" si="2"/>
        <v>286</v>
      </c>
      <c r="F32" t="str">
        <f>"13"</f>
        <v>13</v>
      </c>
    </row>
    <row r="33" spans="1:6">
      <c r="A33" t="str">
        <f>"E403-14"</f>
        <v>E403-14</v>
      </c>
      <c r="B33" t="str">
        <f t="shared" si="0"/>
        <v>PIAZZA ADRIATICO  3-</v>
      </c>
      <c r="C33" t="str">
        <f t="shared" si="1"/>
        <v>STA</v>
      </c>
      <c r="D33">
        <v>28</v>
      </c>
      <c r="E33" t="str">
        <f t="shared" si="2"/>
        <v>286</v>
      </c>
      <c r="F33" t="str">
        <f>"14"</f>
        <v>14</v>
      </c>
    </row>
    <row r="34" spans="1:6">
      <c r="A34" t="str">
        <f>"E403-15"</f>
        <v>E403-15</v>
      </c>
      <c r="B34" t="str">
        <f t="shared" si="0"/>
        <v>PIAZZA ADRIATICO  3-</v>
      </c>
      <c r="C34" t="str">
        <f t="shared" si="1"/>
        <v>STA</v>
      </c>
      <c r="D34">
        <v>28</v>
      </c>
      <c r="E34" t="str">
        <f t="shared" si="2"/>
        <v>286</v>
      </c>
      <c r="F34" t="str">
        <f>"15"</f>
        <v>15</v>
      </c>
    </row>
    <row r="35" spans="1:6">
      <c r="A35" t="str">
        <f>"E403-17"</f>
        <v>E403-17</v>
      </c>
      <c r="B35" t="str">
        <f t="shared" si="0"/>
        <v>PIAZZA ADRIATICO  3-</v>
      </c>
      <c r="C35" t="str">
        <f t="shared" si="1"/>
        <v>STA</v>
      </c>
      <c r="D35">
        <v>28</v>
      </c>
      <c r="E35" t="str">
        <f t="shared" si="2"/>
        <v>286</v>
      </c>
      <c r="F35" t="str">
        <f>"17"</f>
        <v>17</v>
      </c>
    </row>
    <row r="36" spans="1:6">
      <c r="A36" t="str">
        <f>"E403-18"</f>
        <v>E403-18</v>
      </c>
      <c r="B36" t="str">
        <f t="shared" si="0"/>
        <v>PIAZZA ADRIATICO  3-</v>
      </c>
      <c r="C36" t="str">
        <f t="shared" si="1"/>
        <v>STA</v>
      </c>
      <c r="D36">
        <v>28</v>
      </c>
      <c r="E36" t="str">
        <f t="shared" si="2"/>
        <v>286</v>
      </c>
      <c r="F36" t="str">
        <f>"18"</f>
        <v>18</v>
      </c>
    </row>
    <row r="37" spans="1:6">
      <c r="A37" t="str">
        <f>"E403-19"</f>
        <v>E403-19</v>
      </c>
      <c r="B37" t="str">
        <f t="shared" ref="B37:B54" si="3">"PIAZZA ADRIATICO  4-"</f>
        <v>PIAZZA ADRIATICO  4-</v>
      </c>
      <c r="C37" t="str">
        <f t="shared" si="1"/>
        <v>STA</v>
      </c>
      <c r="D37">
        <v>28</v>
      </c>
      <c r="E37" t="str">
        <f t="shared" si="2"/>
        <v>286</v>
      </c>
      <c r="F37" t="str">
        <f>"19"</f>
        <v>19</v>
      </c>
    </row>
    <row r="38" spans="1:6">
      <c r="A38" t="str">
        <f>"E403-20"</f>
        <v>E403-20</v>
      </c>
      <c r="B38" t="str">
        <f t="shared" si="3"/>
        <v>PIAZZA ADRIATICO  4-</v>
      </c>
      <c r="C38" t="str">
        <f t="shared" si="1"/>
        <v>STA</v>
      </c>
      <c r="D38">
        <v>28</v>
      </c>
      <c r="E38" t="str">
        <f t="shared" si="2"/>
        <v>286</v>
      </c>
      <c r="F38" t="str">
        <f>"20"</f>
        <v>20</v>
      </c>
    </row>
    <row r="39" spans="1:6">
      <c r="A39" t="str">
        <f>"E403-21"</f>
        <v>E403-21</v>
      </c>
      <c r="B39" t="str">
        <f t="shared" si="3"/>
        <v>PIAZZA ADRIATICO  4-</v>
      </c>
      <c r="C39" t="str">
        <f t="shared" si="1"/>
        <v>STA</v>
      </c>
      <c r="D39">
        <v>28</v>
      </c>
      <c r="E39" t="str">
        <f t="shared" si="2"/>
        <v>286</v>
      </c>
      <c r="F39" t="str">
        <f>"21"</f>
        <v>21</v>
      </c>
    </row>
    <row r="40" spans="1:6">
      <c r="A40" t="str">
        <f>"E403-22"</f>
        <v>E403-22</v>
      </c>
      <c r="B40" t="str">
        <f t="shared" si="3"/>
        <v>PIAZZA ADRIATICO  4-</v>
      </c>
      <c r="C40" t="str">
        <f t="shared" si="1"/>
        <v>STA</v>
      </c>
      <c r="D40">
        <v>28</v>
      </c>
      <c r="E40" t="str">
        <f t="shared" si="2"/>
        <v>286</v>
      </c>
      <c r="F40" t="str">
        <f>"22"</f>
        <v>22</v>
      </c>
    </row>
    <row r="41" spans="1:6">
      <c r="A41" t="str">
        <f>"E403-23"</f>
        <v>E403-23</v>
      </c>
      <c r="B41" t="str">
        <f t="shared" si="3"/>
        <v>PIAZZA ADRIATICO  4-</v>
      </c>
      <c r="C41" t="str">
        <f t="shared" si="1"/>
        <v>STA</v>
      </c>
      <c r="D41">
        <v>28</v>
      </c>
      <c r="E41" t="str">
        <f t="shared" si="2"/>
        <v>286</v>
      </c>
      <c r="F41" t="str">
        <f>"23"</f>
        <v>23</v>
      </c>
    </row>
    <row r="42" spans="1:6">
      <c r="A42" t="str">
        <f>"E403-24"</f>
        <v>E403-24</v>
      </c>
      <c r="B42" t="str">
        <f t="shared" si="3"/>
        <v>PIAZZA ADRIATICO  4-</v>
      </c>
      <c r="C42" t="str">
        <f t="shared" si="1"/>
        <v>STA</v>
      </c>
      <c r="D42">
        <v>28</v>
      </c>
      <c r="E42" t="str">
        <f t="shared" si="2"/>
        <v>286</v>
      </c>
      <c r="F42" t="str">
        <f>"24"</f>
        <v>24</v>
      </c>
    </row>
    <row r="43" spans="1:6">
      <c r="A43" t="str">
        <f>"E403-25"</f>
        <v>E403-25</v>
      </c>
      <c r="B43" t="str">
        <f t="shared" si="3"/>
        <v>PIAZZA ADRIATICO  4-</v>
      </c>
      <c r="C43" t="str">
        <f t="shared" si="1"/>
        <v>STA</v>
      </c>
      <c r="D43">
        <v>28</v>
      </c>
      <c r="E43" t="str">
        <f t="shared" si="2"/>
        <v>286</v>
      </c>
      <c r="F43" t="str">
        <f>"25"</f>
        <v>25</v>
      </c>
    </row>
    <row r="44" spans="1:6">
      <c r="A44" t="str">
        <f>"E403-26"</f>
        <v>E403-26</v>
      </c>
      <c r="B44" t="str">
        <f t="shared" si="3"/>
        <v>PIAZZA ADRIATICO  4-</v>
      </c>
      <c r="C44" t="str">
        <f t="shared" si="1"/>
        <v>STA</v>
      </c>
      <c r="D44">
        <v>28</v>
      </c>
      <c r="E44" t="str">
        <f t="shared" si="2"/>
        <v>286</v>
      </c>
      <c r="F44" t="str">
        <f>"26"</f>
        <v>26</v>
      </c>
    </row>
    <row r="45" spans="1:6">
      <c r="A45" t="str">
        <f>"E403-27"</f>
        <v>E403-27</v>
      </c>
      <c r="B45" t="str">
        <f t="shared" si="3"/>
        <v>PIAZZA ADRIATICO  4-</v>
      </c>
      <c r="C45" t="str">
        <f t="shared" si="1"/>
        <v>STA</v>
      </c>
      <c r="D45">
        <v>28</v>
      </c>
      <c r="E45" t="str">
        <f t="shared" si="2"/>
        <v>286</v>
      </c>
      <c r="F45" t="str">
        <f>"27"</f>
        <v>27</v>
      </c>
    </row>
    <row r="46" spans="1:6">
      <c r="A46" t="str">
        <f>"E403-28"</f>
        <v>E403-28</v>
      </c>
      <c r="B46" t="str">
        <f t="shared" si="3"/>
        <v>PIAZZA ADRIATICO  4-</v>
      </c>
      <c r="C46" t="str">
        <f t="shared" si="1"/>
        <v>STA</v>
      </c>
      <c r="D46">
        <v>28</v>
      </c>
      <c r="E46" t="str">
        <f t="shared" si="2"/>
        <v>286</v>
      </c>
      <c r="F46" t="str">
        <f>"28"</f>
        <v>28</v>
      </c>
    </row>
    <row r="47" spans="1:6">
      <c r="A47" t="str">
        <f>"E403-29"</f>
        <v>E403-29</v>
      </c>
      <c r="B47" t="str">
        <f t="shared" si="3"/>
        <v>PIAZZA ADRIATICO  4-</v>
      </c>
      <c r="C47" t="str">
        <f t="shared" si="1"/>
        <v>STA</v>
      </c>
      <c r="D47">
        <v>28</v>
      </c>
      <c r="E47" t="str">
        <f t="shared" si="2"/>
        <v>286</v>
      </c>
      <c r="F47" t="str">
        <f>"29"</f>
        <v>29</v>
      </c>
    </row>
    <row r="48" spans="1:6">
      <c r="A48" t="str">
        <f>"E403-30"</f>
        <v>E403-30</v>
      </c>
      <c r="B48" t="str">
        <f t="shared" si="3"/>
        <v>PIAZZA ADRIATICO  4-</v>
      </c>
      <c r="C48" t="str">
        <f t="shared" si="1"/>
        <v>STA</v>
      </c>
      <c r="D48">
        <v>28</v>
      </c>
      <c r="E48" t="str">
        <f t="shared" si="2"/>
        <v>286</v>
      </c>
      <c r="F48" t="str">
        <f>"30"</f>
        <v>30</v>
      </c>
    </row>
    <row r="49" spans="1:6">
      <c r="A49" t="str">
        <f>"E403-31"</f>
        <v>E403-31</v>
      </c>
      <c r="B49" t="str">
        <f t="shared" si="3"/>
        <v>PIAZZA ADRIATICO  4-</v>
      </c>
      <c r="C49" t="str">
        <f t="shared" si="1"/>
        <v>STA</v>
      </c>
      <c r="D49">
        <v>28</v>
      </c>
      <c r="E49" t="str">
        <f t="shared" si="2"/>
        <v>286</v>
      </c>
      <c r="F49" t="str">
        <f>"31"</f>
        <v>31</v>
      </c>
    </row>
    <row r="50" spans="1:6">
      <c r="A50" t="str">
        <f>"E403-32"</f>
        <v>E403-32</v>
      </c>
      <c r="B50" t="str">
        <f t="shared" si="3"/>
        <v>PIAZZA ADRIATICO  4-</v>
      </c>
      <c r="C50" t="str">
        <f t="shared" si="1"/>
        <v>STA</v>
      </c>
      <c r="D50">
        <v>28</v>
      </c>
      <c r="E50" t="str">
        <f t="shared" si="2"/>
        <v>286</v>
      </c>
      <c r="F50" t="str">
        <f>"32"</f>
        <v>32</v>
      </c>
    </row>
    <row r="51" spans="1:6">
      <c r="A51" t="str">
        <f>"E403-33"</f>
        <v>E403-33</v>
      </c>
      <c r="B51" t="str">
        <f t="shared" si="3"/>
        <v>PIAZZA ADRIATICO  4-</v>
      </c>
      <c r="C51" t="str">
        <f t="shared" si="1"/>
        <v>STA</v>
      </c>
      <c r="D51">
        <v>28</v>
      </c>
      <c r="E51" t="str">
        <f t="shared" si="2"/>
        <v>286</v>
      </c>
      <c r="F51" t="str">
        <f>"33"</f>
        <v>33</v>
      </c>
    </row>
    <row r="52" spans="1:6">
      <c r="A52" t="str">
        <f>"E403-34"</f>
        <v>E403-34</v>
      </c>
      <c r="B52" t="str">
        <f t="shared" si="3"/>
        <v>PIAZZA ADRIATICO  4-</v>
      </c>
      <c r="C52" t="str">
        <f t="shared" ref="C52:C83" si="4">"STA"</f>
        <v>STA</v>
      </c>
      <c r="D52">
        <v>28</v>
      </c>
      <c r="E52" t="str">
        <f t="shared" si="2"/>
        <v>286</v>
      </c>
      <c r="F52" t="str">
        <f>"34"</f>
        <v>34</v>
      </c>
    </row>
    <row r="53" spans="1:6">
      <c r="A53" t="str">
        <f>"E403-35"</f>
        <v>E403-35</v>
      </c>
      <c r="B53" t="str">
        <f t="shared" si="3"/>
        <v>PIAZZA ADRIATICO  4-</v>
      </c>
      <c r="C53" t="str">
        <f t="shared" si="4"/>
        <v>STA</v>
      </c>
      <c r="D53">
        <v>28</v>
      </c>
      <c r="E53" t="str">
        <f t="shared" si="2"/>
        <v>286</v>
      </c>
      <c r="F53" t="str">
        <f>"35"</f>
        <v>35</v>
      </c>
    </row>
    <row r="54" spans="1:6">
      <c r="A54" t="str">
        <f>"E403-36"</f>
        <v>E403-36</v>
      </c>
      <c r="B54" t="str">
        <f t="shared" si="3"/>
        <v>PIAZZA ADRIATICO  4-</v>
      </c>
      <c r="C54" t="str">
        <f t="shared" si="4"/>
        <v>STA</v>
      </c>
      <c r="D54">
        <v>28</v>
      </c>
      <c r="E54" t="str">
        <f t="shared" si="2"/>
        <v>286</v>
      </c>
      <c r="F54" t="str">
        <f>"36"</f>
        <v>36</v>
      </c>
    </row>
    <row r="55" spans="1:6">
      <c r="A55" t="str">
        <f>"E403-37"</f>
        <v>E403-37</v>
      </c>
      <c r="B55" t="str">
        <f>"PIAZZA ADRIATICO  3-"</f>
        <v>PIAZZA ADRIATICO  3-</v>
      </c>
      <c r="C55" t="str">
        <f t="shared" si="4"/>
        <v>STA</v>
      </c>
      <c r="D55">
        <v>28</v>
      </c>
      <c r="E55" t="str">
        <f t="shared" si="2"/>
        <v>286</v>
      </c>
      <c r="F55" t="str">
        <f>"16"</f>
        <v>16</v>
      </c>
    </row>
    <row r="56" spans="1:6">
      <c r="A56" t="str">
        <f>"E404-1"</f>
        <v>E404-1</v>
      </c>
      <c r="B56" t="str">
        <f t="shared" ref="B56:B79" si="5">"PIAZZA ADRIATICO  5-"</f>
        <v>PIAZZA ADRIATICO  5-</v>
      </c>
      <c r="C56" t="str">
        <f t="shared" si="4"/>
        <v>STA</v>
      </c>
      <c r="D56">
        <v>28</v>
      </c>
      <c r="E56" t="str">
        <f t="shared" ref="E56:E103" si="6">"281"</f>
        <v>281</v>
      </c>
      <c r="F56" t="str">
        <f>"1"</f>
        <v>1</v>
      </c>
    </row>
    <row r="57" spans="1:6">
      <c r="A57" t="str">
        <f>"E404-2"</f>
        <v>E404-2</v>
      </c>
      <c r="B57" t="str">
        <f t="shared" si="5"/>
        <v>PIAZZA ADRIATICO  5-</v>
      </c>
      <c r="C57" t="str">
        <f t="shared" si="4"/>
        <v>STA</v>
      </c>
      <c r="D57">
        <v>28</v>
      </c>
      <c r="E57" t="str">
        <f t="shared" si="6"/>
        <v>281</v>
      </c>
      <c r="F57" t="str">
        <f>"2"</f>
        <v>2</v>
      </c>
    </row>
    <row r="58" spans="1:6">
      <c r="A58" t="str">
        <f>"E404-3"</f>
        <v>E404-3</v>
      </c>
      <c r="B58" t="str">
        <f t="shared" si="5"/>
        <v>PIAZZA ADRIATICO  5-</v>
      </c>
      <c r="C58" t="str">
        <f t="shared" si="4"/>
        <v>STA</v>
      </c>
      <c r="D58">
        <v>28</v>
      </c>
      <c r="E58" t="str">
        <f t="shared" si="6"/>
        <v>281</v>
      </c>
      <c r="F58" t="str">
        <f>"3"</f>
        <v>3</v>
      </c>
    </row>
    <row r="59" spans="1:6">
      <c r="A59" t="str">
        <f>"E404-4"</f>
        <v>E404-4</v>
      </c>
      <c r="B59" t="str">
        <f t="shared" si="5"/>
        <v>PIAZZA ADRIATICO  5-</v>
      </c>
      <c r="C59" t="str">
        <f t="shared" si="4"/>
        <v>STA</v>
      </c>
      <c r="D59">
        <v>28</v>
      </c>
      <c r="E59" t="str">
        <f t="shared" si="6"/>
        <v>281</v>
      </c>
      <c r="F59" t="str">
        <f>"4"</f>
        <v>4</v>
      </c>
    </row>
    <row r="60" spans="1:6">
      <c r="A60" t="str">
        <f>"E404-5"</f>
        <v>E404-5</v>
      </c>
      <c r="B60" t="str">
        <f t="shared" si="5"/>
        <v>PIAZZA ADRIATICO  5-</v>
      </c>
      <c r="C60" t="str">
        <f t="shared" si="4"/>
        <v>STA</v>
      </c>
      <c r="D60">
        <v>28</v>
      </c>
      <c r="E60" t="str">
        <f t="shared" si="6"/>
        <v>281</v>
      </c>
      <c r="F60" t="str">
        <f>"5"</f>
        <v>5</v>
      </c>
    </row>
    <row r="61" spans="1:6">
      <c r="A61" t="str">
        <f>"E404-6"</f>
        <v>E404-6</v>
      </c>
      <c r="B61" t="str">
        <f t="shared" si="5"/>
        <v>PIAZZA ADRIATICO  5-</v>
      </c>
      <c r="C61" t="str">
        <f t="shared" si="4"/>
        <v>STA</v>
      </c>
      <c r="D61">
        <v>28</v>
      </c>
      <c r="E61" t="str">
        <f t="shared" si="6"/>
        <v>281</v>
      </c>
      <c r="F61" t="str">
        <f>"6"</f>
        <v>6</v>
      </c>
    </row>
    <row r="62" spans="1:6">
      <c r="A62" t="str">
        <f>"E404-7"</f>
        <v>E404-7</v>
      </c>
      <c r="B62" t="str">
        <f t="shared" si="5"/>
        <v>PIAZZA ADRIATICO  5-</v>
      </c>
      <c r="C62" t="str">
        <f t="shared" si="4"/>
        <v>STA</v>
      </c>
      <c r="D62">
        <v>28</v>
      </c>
      <c r="E62" t="str">
        <f t="shared" si="6"/>
        <v>281</v>
      </c>
      <c r="F62" t="str">
        <f>"7"</f>
        <v>7</v>
      </c>
    </row>
    <row r="63" spans="1:6">
      <c r="A63" t="str">
        <f>"E404-8"</f>
        <v>E404-8</v>
      </c>
      <c r="B63" t="str">
        <f t="shared" si="5"/>
        <v>PIAZZA ADRIATICO  5-</v>
      </c>
      <c r="C63" t="str">
        <f t="shared" si="4"/>
        <v>STA</v>
      </c>
      <c r="D63">
        <v>28</v>
      </c>
      <c r="E63" t="str">
        <f t="shared" si="6"/>
        <v>281</v>
      </c>
      <c r="F63" t="str">
        <f>"8"</f>
        <v>8</v>
      </c>
    </row>
    <row r="64" spans="1:6">
      <c r="A64" t="str">
        <f>"E404-9"</f>
        <v>E404-9</v>
      </c>
      <c r="B64" t="str">
        <f t="shared" si="5"/>
        <v>PIAZZA ADRIATICO  5-</v>
      </c>
      <c r="C64" t="str">
        <f t="shared" si="4"/>
        <v>STA</v>
      </c>
      <c r="D64">
        <v>28</v>
      </c>
      <c r="E64" t="str">
        <f t="shared" si="6"/>
        <v>281</v>
      </c>
      <c r="F64" t="str">
        <f>"9"</f>
        <v>9</v>
      </c>
    </row>
    <row r="65" spans="1:6">
      <c r="A65" t="str">
        <f>"E404-10"</f>
        <v>E404-10</v>
      </c>
      <c r="B65" t="str">
        <f t="shared" si="5"/>
        <v>PIAZZA ADRIATICO  5-</v>
      </c>
      <c r="C65" t="str">
        <f t="shared" si="4"/>
        <v>STA</v>
      </c>
      <c r="D65">
        <v>28</v>
      </c>
      <c r="E65" t="str">
        <f t="shared" si="6"/>
        <v>281</v>
      </c>
      <c r="F65" t="str">
        <f>"10"</f>
        <v>10</v>
      </c>
    </row>
    <row r="66" spans="1:6">
      <c r="A66" t="str">
        <f>"E404-11"</f>
        <v>E404-11</v>
      </c>
      <c r="B66" t="str">
        <f t="shared" si="5"/>
        <v>PIAZZA ADRIATICO  5-</v>
      </c>
      <c r="C66" t="str">
        <f t="shared" si="4"/>
        <v>STA</v>
      </c>
      <c r="D66">
        <v>28</v>
      </c>
      <c r="E66" t="str">
        <f t="shared" si="6"/>
        <v>281</v>
      </c>
      <c r="F66" t="str">
        <f>"11"</f>
        <v>11</v>
      </c>
    </row>
    <row r="67" spans="1:6">
      <c r="A67" t="str">
        <f>"E404-12"</f>
        <v>E404-12</v>
      </c>
      <c r="B67" t="str">
        <f t="shared" si="5"/>
        <v>PIAZZA ADRIATICO  5-</v>
      </c>
      <c r="C67" t="str">
        <f t="shared" si="4"/>
        <v>STA</v>
      </c>
      <c r="D67">
        <v>28</v>
      </c>
      <c r="E67" t="str">
        <f t="shared" si="6"/>
        <v>281</v>
      </c>
      <c r="F67" t="str">
        <f>"12"</f>
        <v>12</v>
      </c>
    </row>
    <row r="68" spans="1:6">
      <c r="A68" t="str">
        <f>"E404-13"</f>
        <v>E404-13</v>
      </c>
      <c r="B68" t="str">
        <f t="shared" si="5"/>
        <v>PIAZZA ADRIATICO  5-</v>
      </c>
      <c r="C68" t="str">
        <f t="shared" si="4"/>
        <v>STA</v>
      </c>
      <c r="D68">
        <v>28</v>
      </c>
      <c r="E68" t="str">
        <f t="shared" si="6"/>
        <v>281</v>
      </c>
      <c r="F68" t="str">
        <f>"13"</f>
        <v>13</v>
      </c>
    </row>
    <row r="69" spans="1:6">
      <c r="A69" t="str">
        <f>"E404-14"</f>
        <v>E404-14</v>
      </c>
      <c r="B69" t="str">
        <f t="shared" si="5"/>
        <v>PIAZZA ADRIATICO  5-</v>
      </c>
      <c r="C69" t="str">
        <f t="shared" si="4"/>
        <v>STA</v>
      </c>
      <c r="D69">
        <v>28</v>
      </c>
      <c r="E69" t="str">
        <f t="shared" si="6"/>
        <v>281</v>
      </c>
      <c r="F69" t="str">
        <f>"14"</f>
        <v>14</v>
      </c>
    </row>
    <row r="70" spans="1:6">
      <c r="A70" t="str">
        <f>"E404-15"</f>
        <v>E404-15</v>
      </c>
      <c r="B70" t="str">
        <f t="shared" si="5"/>
        <v>PIAZZA ADRIATICO  5-</v>
      </c>
      <c r="C70" t="str">
        <f t="shared" si="4"/>
        <v>STA</v>
      </c>
      <c r="D70">
        <v>28</v>
      </c>
      <c r="E70" t="str">
        <f t="shared" si="6"/>
        <v>281</v>
      </c>
      <c r="F70" t="str">
        <f>"15"</f>
        <v>15</v>
      </c>
    </row>
    <row r="71" spans="1:6">
      <c r="A71" t="str">
        <f>"E404-16"</f>
        <v>E404-16</v>
      </c>
      <c r="B71" t="str">
        <f t="shared" si="5"/>
        <v>PIAZZA ADRIATICO  5-</v>
      </c>
      <c r="C71" t="str">
        <f t="shared" si="4"/>
        <v>STA</v>
      </c>
      <c r="D71">
        <v>28</v>
      </c>
      <c r="E71" t="str">
        <f t="shared" si="6"/>
        <v>281</v>
      </c>
      <c r="F71" t="str">
        <f>"16"</f>
        <v>16</v>
      </c>
    </row>
    <row r="72" spans="1:6">
      <c r="A72" t="str">
        <f>"E404-17"</f>
        <v>E404-17</v>
      </c>
      <c r="B72" t="str">
        <f t="shared" si="5"/>
        <v>PIAZZA ADRIATICO  5-</v>
      </c>
      <c r="C72" t="str">
        <f t="shared" si="4"/>
        <v>STA</v>
      </c>
      <c r="D72">
        <v>28</v>
      </c>
      <c r="E72" t="str">
        <f t="shared" si="6"/>
        <v>281</v>
      </c>
      <c r="F72" t="str">
        <f>"17"</f>
        <v>17</v>
      </c>
    </row>
    <row r="73" spans="1:6">
      <c r="A73" t="str">
        <f>"E404-18"</f>
        <v>E404-18</v>
      </c>
      <c r="B73" t="str">
        <f t="shared" si="5"/>
        <v>PIAZZA ADRIATICO  5-</v>
      </c>
      <c r="C73" t="str">
        <f t="shared" si="4"/>
        <v>STA</v>
      </c>
      <c r="D73">
        <v>28</v>
      </c>
      <c r="E73" t="str">
        <f t="shared" si="6"/>
        <v>281</v>
      </c>
      <c r="F73" t="str">
        <f>"18"</f>
        <v>18</v>
      </c>
    </row>
    <row r="74" spans="1:6">
      <c r="A74" t="str">
        <f>"E404-19"</f>
        <v>E404-19</v>
      </c>
      <c r="B74" t="str">
        <f t="shared" si="5"/>
        <v>PIAZZA ADRIATICO  5-</v>
      </c>
      <c r="C74" t="str">
        <f t="shared" si="4"/>
        <v>STA</v>
      </c>
      <c r="D74">
        <v>28</v>
      </c>
      <c r="E74" t="str">
        <f t="shared" si="6"/>
        <v>281</v>
      </c>
      <c r="F74" t="str">
        <f>"19"</f>
        <v>19</v>
      </c>
    </row>
    <row r="75" spans="1:6">
      <c r="A75" t="str">
        <f>"E404-20"</f>
        <v>E404-20</v>
      </c>
      <c r="B75" t="str">
        <f t="shared" si="5"/>
        <v>PIAZZA ADRIATICO  5-</v>
      </c>
      <c r="C75" t="str">
        <f t="shared" si="4"/>
        <v>STA</v>
      </c>
      <c r="D75">
        <v>28</v>
      </c>
      <c r="E75" t="str">
        <f t="shared" si="6"/>
        <v>281</v>
      </c>
      <c r="F75" t="str">
        <f>"20"</f>
        <v>20</v>
      </c>
    </row>
    <row r="76" spans="1:6">
      <c r="A76" t="str">
        <f>"E404-21"</f>
        <v>E404-21</v>
      </c>
      <c r="B76" t="str">
        <f t="shared" si="5"/>
        <v>PIAZZA ADRIATICO  5-</v>
      </c>
      <c r="C76" t="str">
        <f t="shared" si="4"/>
        <v>STA</v>
      </c>
      <c r="D76">
        <v>28</v>
      </c>
      <c r="E76" t="str">
        <f t="shared" si="6"/>
        <v>281</v>
      </c>
      <c r="F76" t="str">
        <f>"21"</f>
        <v>21</v>
      </c>
    </row>
    <row r="77" spans="1:6">
      <c r="A77" t="str">
        <f>"E404-22"</f>
        <v>E404-22</v>
      </c>
      <c r="B77" t="str">
        <f t="shared" si="5"/>
        <v>PIAZZA ADRIATICO  5-</v>
      </c>
      <c r="C77" t="str">
        <f t="shared" si="4"/>
        <v>STA</v>
      </c>
      <c r="D77">
        <v>28</v>
      </c>
      <c r="E77" t="str">
        <f t="shared" si="6"/>
        <v>281</v>
      </c>
      <c r="F77" t="str">
        <f>"22"</f>
        <v>22</v>
      </c>
    </row>
    <row r="78" spans="1:6">
      <c r="A78" t="str">
        <f>"E404-23"</f>
        <v>E404-23</v>
      </c>
      <c r="B78" t="str">
        <f t="shared" si="5"/>
        <v>PIAZZA ADRIATICO  5-</v>
      </c>
      <c r="C78" t="str">
        <f t="shared" si="4"/>
        <v>STA</v>
      </c>
      <c r="D78">
        <v>28</v>
      </c>
      <c r="E78" t="str">
        <f t="shared" si="6"/>
        <v>281</v>
      </c>
      <c r="F78" t="str">
        <f>"23"</f>
        <v>23</v>
      </c>
    </row>
    <row r="79" spans="1:6">
      <c r="A79" t="str">
        <f>"E404-24"</f>
        <v>E404-24</v>
      </c>
      <c r="B79" t="str">
        <f t="shared" si="5"/>
        <v>PIAZZA ADRIATICO  5-</v>
      </c>
      <c r="C79" t="str">
        <f t="shared" si="4"/>
        <v>STA</v>
      </c>
      <c r="D79">
        <v>28</v>
      </c>
      <c r="E79" t="str">
        <f t="shared" si="6"/>
        <v>281</v>
      </c>
      <c r="F79" t="str">
        <f>"24"</f>
        <v>24</v>
      </c>
    </row>
    <row r="80" spans="1:6">
      <c r="A80" t="str">
        <f>"E404-25"</f>
        <v>E404-25</v>
      </c>
      <c r="B80" t="str">
        <f t="shared" ref="B80:B103" si="7">"PIAZZA ADRIATICO  6-"</f>
        <v>PIAZZA ADRIATICO  6-</v>
      </c>
      <c r="C80" t="str">
        <f t="shared" si="4"/>
        <v>STA</v>
      </c>
      <c r="D80">
        <v>28</v>
      </c>
      <c r="E80" t="str">
        <f t="shared" si="6"/>
        <v>281</v>
      </c>
      <c r="F80" t="str">
        <f>"25"</f>
        <v>25</v>
      </c>
    </row>
    <row r="81" spans="1:6">
      <c r="A81" t="str">
        <f>"E404-27"</f>
        <v>E404-27</v>
      </c>
      <c r="B81" t="str">
        <f t="shared" si="7"/>
        <v>PIAZZA ADRIATICO  6-</v>
      </c>
      <c r="C81" t="str">
        <f t="shared" si="4"/>
        <v>STA</v>
      </c>
      <c r="D81">
        <v>28</v>
      </c>
      <c r="E81" t="str">
        <f t="shared" si="6"/>
        <v>281</v>
      </c>
      <c r="F81" t="str">
        <f>"27"</f>
        <v>27</v>
      </c>
    </row>
    <row r="82" spans="1:6">
      <c r="A82" t="str">
        <f>"E404-28"</f>
        <v>E404-28</v>
      </c>
      <c r="B82" t="str">
        <f t="shared" si="7"/>
        <v>PIAZZA ADRIATICO  6-</v>
      </c>
      <c r="C82" t="str">
        <f t="shared" si="4"/>
        <v>STA</v>
      </c>
      <c r="D82">
        <v>28</v>
      </c>
      <c r="E82" t="str">
        <f t="shared" si="6"/>
        <v>281</v>
      </c>
      <c r="F82" t="str">
        <f>"28"</f>
        <v>28</v>
      </c>
    </row>
    <row r="83" spans="1:6">
      <c r="A83" t="str">
        <f>"E404-29"</f>
        <v>E404-29</v>
      </c>
      <c r="B83" t="str">
        <f t="shared" si="7"/>
        <v>PIAZZA ADRIATICO  6-</v>
      </c>
      <c r="C83" t="str">
        <f t="shared" si="4"/>
        <v>STA</v>
      </c>
      <c r="D83">
        <v>28</v>
      </c>
      <c r="E83" t="str">
        <f t="shared" si="6"/>
        <v>281</v>
      </c>
      <c r="F83" t="str">
        <f>"29"</f>
        <v>29</v>
      </c>
    </row>
    <row r="84" spans="1:6">
      <c r="A84" t="str">
        <f>"E404-30"</f>
        <v>E404-30</v>
      </c>
      <c r="B84" t="str">
        <f t="shared" si="7"/>
        <v>PIAZZA ADRIATICO  6-</v>
      </c>
      <c r="C84" t="str">
        <f t="shared" ref="C84:C115" si="8">"STA"</f>
        <v>STA</v>
      </c>
      <c r="D84">
        <v>28</v>
      </c>
      <c r="E84" t="str">
        <f t="shared" si="6"/>
        <v>281</v>
      </c>
      <c r="F84" t="str">
        <f>"30"</f>
        <v>30</v>
      </c>
    </row>
    <row r="85" spans="1:6">
      <c r="A85" t="str">
        <f>"E404-31"</f>
        <v>E404-31</v>
      </c>
      <c r="B85" t="str">
        <f t="shared" si="7"/>
        <v>PIAZZA ADRIATICO  6-</v>
      </c>
      <c r="C85" t="str">
        <f t="shared" si="8"/>
        <v>STA</v>
      </c>
      <c r="D85">
        <v>28</v>
      </c>
      <c r="E85" t="str">
        <f t="shared" si="6"/>
        <v>281</v>
      </c>
      <c r="F85" t="str">
        <f>"31"</f>
        <v>31</v>
      </c>
    </row>
    <row r="86" spans="1:6">
      <c r="A86" t="str">
        <f>"E404-32"</f>
        <v>E404-32</v>
      </c>
      <c r="B86" t="str">
        <f t="shared" si="7"/>
        <v>PIAZZA ADRIATICO  6-</v>
      </c>
      <c r="C86" t="str">
        <f t="shared" si="8"/>
        <v>STA</v>
      </c>
      <c r="D86">
        <v>28</v>
      </c>
      <c r="E86" t="str">
        <f t="shared" si="6"/>
        <v>281</v>
      </c>
      <c r="F86" t="str">
        <f>"32"</f>
        <v>32</v>
      </c>
    </row>
    <row r="87" spans="1:6">
      <c r="A87" t="str">
        <f>"E404-33"</f>
        <v>E404-33</v>
      </c>
      <c r="B87" t="str">
        <f t="shared" si="7"/>
        <v>PIAZZA ADRIATICO  6-</v>
      </c>
      <c r="C87" t="str">
        <f t="shared" si="8"/>
        <v>STA</v>
      </c>
      <c r="D87">
        <v>28</v>
      </c>
      <c r="E87" t="str">
        <f t="shared" si="6"/>
        <v>281</v>
      </c>
      <c r="F87" t="str">
        <f>"33"</f>
        <v>33</v>
      </c>
    </row>
    <row r="88" spans="1:6">
      <c r="A88" t="str">
        <f>"E404-34"</f>
        <v>E404-34</v>
      </c>
      <c r="B88" t="str">
        <f t="shared" si="7"/>
        <v>PIAZZA ADRIATICO  6-</v>
      </c>
      <c r="C88" t="str">
        <f t="shared" si="8"/>
        <v>STA</v>
      </c>
      <c r="D88">
        <v>28</v>
      </c>
      <c r="E88" t="str">
        <f t="shared" si="6"/>
        <v>281</v>
      </c>
      <c r="F88" t="str">
        <f>"34"</f>
        <v>34</v>
      </c>
    </row>
    <row r="89" spans="1:6">
      <c r="A89" t="str">
        <f>"E404-35"</f>
        <v>E404-35</v>
      </c>
      <c r="B89" t="str">
        <f t="shared" si="7"/>
        <v>PIAZZA ADRIATICO  6-</v>
      </c>
      <c r="C89" t="str">
        <f t="shared" si="8"/>
        <v>STA</v>
      </c>
      <c r="D89">
        <v>28</v>
      </c>
      <c r="E89" t="str">
        <f t="shared" si="6"/>
        <v>281</v>
      </c>
      <c r="F89" t="str">
        <f>"35"</f>
        <v>35</v>
      </c>
    </row>
    <row r="90" spans="1:6">
      <c r="A90" t="str">
        <f>"E404-36"</f>
        <v>E404-36</v>
      </c>
      <c r="B90" t="str">
        <f t="shared" si="7"/>
        <v>PIAZZA ADRIATICO  6-</v>
      </c>
      <c r="C90" t="str">
        <f t="shared" si="8"/>
        <v>STA</v>
      </c>
      <c r="D90">
        <v>28</v>
      </c>
      <c r="E90" t="str">
        <f t="shared" si="6"/>
        <v>281</v>
      </c>
      <c r="F90" t="str">
        <f>"36"</f>
        <v>36</v>
      </c>
    </row>
    <row r="91" spans="1:6">
      <c r="A91" t="str">
        <f>"E404-37"</f>
        <v>E404-37</v>
      </c>
      <c r="B91" t="str">
        <f t="shared" si="7"/>
        <v>PIAZZA ADRIATICO  6-</v>
      </c>
      <c r="C91" t="str">
        <f t="shared" si="8"/>
        <v>STA</v>
      </c>
      <c r="D91">
        <v>28</v>
      </c>
      <c r="E91" t="str">
        <f t="shared" si="6"/>
        <v>281</v>
      </c>
      <c r="F91" t="str">
        <f>"37"</f>
        <v>37</v>
      </c>
    </row>
    <row r="92" spans="1:6">
      <c r="A92" t="str">
        <f>"E404-38"</f>
        <v>E404-38</v>
      </c>
      <c r="B92" t="str">
        <f t="shared" si="7"/>
        <v>PIAZZA ADRIATICO  6-</v>
      </c>
      <c r="C92" t="str">
        <f t="shared" si="8"/>
        <v>STA</v>
      </c>
      <c r="D92">
        <v>28</v>
      </c>
      <c r="E92" t="str">
        <f t="shared" si="6"/>
        <v>281</v>
      </c>
      <c r="F92" t="str">
        <f>"38"</f>
        <v>38</v>
      </c>
    </row>
    <row r="93" spans="1:6">
      <c r="A93" t="str">
        <f>"E404-39"</f>
        <v>E404-39</v>
      </c>
      <c r="B93" t="str">
        <f t="shared" si="7"/>
        <v>PIAZZA ADRIATICO  6-</v>
      </c>
      <c r="C93" t="str">
        <f t="shared" si="8"/>
        <v>STA</v>
      </c>
      <c r="D93">
        <v>28</v>
      </c>
      <c r="E93" t="str">
        <f t="shared" si="6"/>
        <v>281</v>
      </c>
      <c r="F93" t="str">
        <f>"39"</f>
        <v>39</v>
      </c>
    </row>
    <row r="94" spans="1:6">
      <c r="A94" t="str">
        <f>"E404-40"</f>
        <v>E404-40</v>
      </c>
      <c r="B94" t="str">
        <f t="shared" si="7"/>
        <v>PIAZZA ADRIATICO  6-</v>
      </c>
      <c r="C94" t="str">
        <f t="shared" si="8"/>
        <v>STA</v>
      </c>
      <c r="D94">
        <v>28</v>
      </c>
      <c r="E94" t="str">
        <f t="shared" si="6"/>
        <v>281</v>
      </c>
      <c r="F94" t="str">
        <f>"40"</f>
        <v>40</v>
      </c>
    </row>
    <row r="95" spans="1:6">
      <c r="A95" t="str">
        <f>"E404-41"</f>
        <v>E404-41</v>
      </c>
      <c r="B95" t="str">
        <f t="shared" si="7"/>
        <v>PIAZZA ADRIATICO  6-</v>
      </c>
      <c r="C95" t="str">
        <f t="shared" si="8"/>
        <v>STA</v>
      </c>
      <c r="D95">
        <v>28</v>
      </c>
      <c r="E95" t="str">
        <f t="shared" si="6"/>
        <v>281</v>
      </c>
      <c r="F95" t="str">
        <f>"41"</f>
        <v>41</v>
      </c>
    </row>
    <row r="96" spans="1:6">
      <c r="A96" t="str">
        <f>"E404-42"</f>
        <v>E404-42</v>
      </c>
      <c r="B96" t="str">
        <f t="shared" si="7"/>
        <v>PIAZZA ADRIATICO  6-</v>
      </c>
      <c r="C96" t="str">
        <f t="shared" si="8"/>
        <v>STA</v>
      </c>
      <c r="D96">
        <v>28</v>
      </c>
      <c r="E96" t="str">
        <f t="shared" si="6"/>
        <v>281</v>
      </c>
      <c r="F96" t="str">
        <f>"42"</f>
        <v>42</v>
      </c>
    </row>
    <row r="97" spans="1:6">
      <c r="A97" t="str">
        <f>"E404-43"</f>
        <v>E404-43</v>
      </c>
      <c r="B97" t="str">
        <f t="shared" si="7"/>
        <v>PIAZZA ADRIATICO  6-</v>
      </c>
      <c r="C97" t="str">
        <f t="shared" si="8"/>
        <v>STA</v>
      </c>
      <c r="D97">
        <v>28</v>
      </c>
      <c r="E97" t="str">
        <f t="shared" si="6"/>
        <v>281</v>
      </c>
      <c r="F97" t="str">
        <f>"43"</f>
        <v>43</v>
      </c>
    </row>
    <row r="98" spans="1:6">
      <c r="A98" t="str">
        <f>"E404-44"</f>
        <v>E404-44</v>
      </c>
      <c r="B98" t="str">
        <f t="shared" si="7"/>
        <v>PIAZZA ADRIATICO  6-</v>
      </c>
      <c r="C98" t="str">
        <f t="shared" si="8"/>
        <v>STA</v>
      </c>
      <c r="D98">
        <v>28</v>
      </c>
      <c r="E98" t="str">
        <f t="shared" si="6"/>
        <v>281</v>
      </c>
      <c r="F98" t="str">
        <f>"44"</f>
        <v>44</v>
      </c>
    </row>
    <row r="99" spans="1:6">
      <c r="A99" t="str">
        <f>"E404-45"</f>
        <v>E404-45</v>
      </c>
      <c r="B99" t="str">
        <f t="shared" si="7"/>
        <v>PIAZZA ADRIATICO  6-</v>
      </c>
      <c r="C99" t="str">
        <f t="shared" si="8"/>
        <v>STA</v>
      </c>
      <c r="D99">
        <v>28</v>
      </c>
      <c r="E99" t="str">
        <f t="shared" si="6"/>
        <v>281</v>
      </c>
      <c r="F99" t="str">
        <f>"45"</f>
        <v>45</v>
      </c>
    </row>
    <row r="100" spans="1:6">
      <c r="A100" t="str">
        <f>"E404-46"</f>
        <v>E404-46</v>
      </c>
      <c r="B100" t="str">
        <f t="shared" si="7"/>
        <v>PIAZZA ADRIATICO  6-</v>
      </c>
      <c r="C100" t="str">
        <f t="shared" si="8"/>
        <v>STA</v>
      </c>
      <c r="D100">
        <v>28</v>
      </c>
      <c r="E100" t="str">
        <f t="shared" si="6"/>
        <v>281</v>
      </c>
      <c r="F100" t="str">
        <f>"46"</f>
        <v>46</v>
      </c>
    </row>
    <row r="101" spans="1:6">
      <c r="A101" t="str">
        <f>"E404-47"</f>
        <v>E404-47</v>
      </c>
      <c r="B101" t="str">
        <f t="shared" si="7"/>
        <v>PIAZZA ADRIATICO  6-</v>
      </c>
      <c r="C101" t="str">
        <f t="shared" si="8"/>
        <v>STA</v>
      </c>
      <c r="D101">
        <v>28</v>
      </c>
      <c r="E101" t="str">
        <f t="shared" si="6"/>
        <v>281</v>
      </c>
      <c r="F101" t="str">
        <f>"47"</f>
        <v>47</v>
      </c>
    </row>
    <row r="102" spans="1:6">
      <c r="A102" t="str">
        <f>"E404-48"</f>
        <v>E404-48</v>
      </c>
      <c r="B102" t="str">
        <f t="shared" si="7"/>
        <v>PIAZZA ADRIATICO  6-</v>
      </c>
      <c r="C102" t="str">
        <f t="shared" si="8"/>
        <v>STA</v>
      </c>
      <c r="D102">
        <v>28</v>
      </c>
      <c r="E102" t="str">
        <f t="shared" si="6"/>
        <v>281</v>
      </c>
      <c r="F102" t="str">
        <f>"48"</f>
        <v>48</v>
      </c>
    </row>
    <row r="103" spans="1:6">
      <c r="A103" t="str">
        <f>"E404-49"</f>
        <v>E404-49</v>
      </c>
      <c r="B103" t="str">
        <f t="shared" si="7"/>
        <v>PIAZZA ADRIATICO  6-</v>
      </c>
      <c r="C103" t="str">
        <f t="shared" si="8"/>
        <v>STA</v>
      </c>
      <c r="D103">
        <v>28</v>
      </c>
      <c r="E103" t="str">
        <f t="shared" si="6"/>
        <v>281</v>
      </c>
      <c r="F103" t="str">
        <f>"26"</f>
        <v>26</v>
      </c>
    </row>
    <row r="104" spans="1:6">
      <c r="A104" t="str">
        <f>"E407-9"</f>
        <v>E407-9</v>
      </c>
      <c r="B104" t="str">
        <f>"PIAZZA ADRIATICO  17-"</f>
        <v>PIAZZA ADRIATICO  17-</v>
      </c>
      <c r="C104" t="str">
        <f t="shared" si="8"/>
        <v>STA</v>
      </c>
      <c r="D104">
        <v>28</v>
      </c>
      <c r="E104" t="str">
        <f>"284"</f>
        <v>284</v>
      </c>
      <c r="F104" t="str">
        <f>"2"</f>
        <v>2</v>
      </c>
    </row>
    <row r="105" spans="1:6">
      <c r="A105" t="str">
        <f>"E408-1"</f>
        <v>E408-1</v>
      </c>
      <c r="B105" t="str">
        <f>"PIAZZA ADRIATICO  18-"</f>
        <v>PIAZZA ADRIATICO  18-</v>
      </c>
      <c r="C105" t="str">
        <f t="shared" si="8"/>
        <v>STA</v>
      </c>
      <c r="D105">
        <v>28</v>
      </c>
      <c r="E105" t="str">
        <f>"283"</f>
        <v>283</v>
      </c>
      <c r="F105" t="str">
        <f>"1"</f>
        <v>1</v>
      </c>
    </row>
    <row r="106" spans="1:6">
      <c r="A106" t="str">
        <f>"E408-2"</f>
        <v>E408-2</v>
      </c>
      <c r="B106" t="str">
        <f>"PIAZZA ADRIATICO  18-"</f>
        <v>PIAZZA ADRIATICO  18-</v>
      </c>
      <c r="C106" t="str">
        <f t="shared" si="8"/>
        <v>STA</v>
      </c>
      <c r="D106">
        <v>28</v>
      </c>
      <c r="E106" t="str">
        <f>"283"</f>
        <v>283</v>
      </c>
      <c r="F106" t="str">
        <f>"2"</f>
        <v>2</v>
      </c>
    </row>
    <row r="107" spans="1:6">
      <c r="A107" t="str">
        <f>"E409-1"</f>
        <v>E409-1</v>
      </c>
      <c r="B107" t="str">
        <f>"PIAZZA ADRIATICO  19-"</f>
        <v>PIAZZA ADRIATICO  19-</v>
      </c>
      <c r="C107" t="str">
        <f t="shared" si="8"/>
        <v>STA</v>
      </c>
      <c r="D107">
        <v>28</v>
      </c>
      <c r="E107" t="str">
        <f>"285"</f>
        <v>285</v>
      </c>
      <c r="F107" t="str">
        <f>"1"</f>
        <v>1</v>
      </c>
    </row>
    <row r="108" spans="1:6">
      <c r="A108" t="str">
        <f>"E409-2"</f>
        <v>E409-2</v>
      </c>
      <c r="B108" t="str">
        <f>"PIAZZA ADRIATICO  19-"</f>
        <v>PIAZZA ADRIATICO  19-</v>
      </c>
      <c r="C108" t="str">
        <f t="shared" si="8"/>
        <v>STA</v>
      </c>
      <c r="D108">
        <v>28</v>
      </c>
      <c r="E108" t="str">
        <f>"285"</f>
        <v>285</v>
      </c>
      <c r="F108" t="str">
        <f>"2"</f>
        <v>2</v>
      </c>
    </row>
    <row r="109" spans="1:6">
      <c r="A109" t="str">
        <f>"E410-1"</f>
        <v>E410-1</v>
      </c>
      <c r="B109" t="str">
        <f t="shared" ref="B109:B115" si="9">"PIAZZA ADRIATICO  20-"</f>
        <v>PIAZZA ADRIATICO  20-</v>
      </c>
      <c r="C109" t="str">
        <f t="shared" si="8"/>
        <v>STA</v>
      </c>
      <c r="D109">
        <v>28</v>
      </c>
      <c r="E109" t="str">
        <f t="shared" ref="E109:E115" si="10">"287"</f>
        <v>287</v>
      </c>
      <c r="F109" t="str">
        <f>"1"</f>
        <v>1</v>
      </c>
    </row>
    <row r="110" spans="1:6">
      <c r="A110" t="str">
        <f>"E410-3"</f>
        <v>E410-3</v>
      </c>
      <c r="B110" t="str">
        <f t="shared" si="9"/>
        <v>PIAZZA ADRIATICO  20-</v>
      </c>
      <c r="C110" t="str">
        <f t="shared" si="8"/>
        <v>STA</v>
      </c>
      <c r="D110">
        <v>28</v>
      </c>
      <c r="E110" t="str">
        <f t="shared" si="10"/>
        <v>287</v>
      </c>
      <c r="F110" t="str">
        <f>"3"</f>
        <v>3</v>
      </c>
    </row>
    <row r="111" spans="1:6">
      <c r="A111" t="str">
        <f>"E410-4"</f>
        <v>E410-4</v>
      </c>
      <c r="B111" t="str">
        <f t="shared" si="9"/>
        <v>PIAZZA ADRIATICO  20-</v>
      </c>
      <c r="C111" t="str">
        <f t="shared" si="8"/>
        <v>STA</v>
      </c>
      <c r="D111">
        <v>28</v>
      </c>
      <c r="E111" t="str">
        <f t="shared" si="10"/>
        <v>287</v>
      </c>
      <c r="F111" t="str">
        <f>"4"</f>
        <v>4</v>
      </c>
    </row>
    <row r="112" spans="1:6">
      <c r="A112" t="str">
        <f>"E410-5"</f>
        <v>E410-5</v>
      </c>
      <c r="B112" t="str">
        <f t="shared" si="9"/>
        <v>PIAZZA ADRIATICO  20-</v>
      </c>
      <c r="C112" t="str">
        <f t="shared" si="8"/>
        <v>STA</v>
      </c>
      <c r="D112">
        <v>28</v>
      </c>
      <c r="E112" t="str">
        <f t="shared" si="10"/>
        <v>287</v>
      </c>
      <c r="F112" t="str">
        <f>"5"</f>
        <v>5</v>
      </c>
    </row>
    <row r="113" spans="1:6">
      <c r="A113" t="str">
        <f>"E410-6"</f>
        <v>E410-6</v>
      </c>
      <c r="B113" t="str">
        <f t="shared" si="9"/>
        <v>PIAZZA ADRIATICO  20-</v>
      </c>
      <c r="C113" t="str">
        <f t="shared" si="8"/>
        <v>STA</v>
      </c>
      <c r="D113">
        <v>28</v>
      </c>
      <c r="E113" t="str">
        <f t="shared" si="10"/>
        <v>287</v>
      </c>
      <c r="F113" t="str">
        <f>"6"</f>
        <v>6</v>
      </c>
    </row>
    <row r="114" spans="1:6">
      <c r="A114" t="str">
        <f>"E410-7"</f>
        <v>E410-7</v>
      </c>
      <c r="B114" t="str">
        <f t="shared" si="9"/>
        <v>PIAZZA ADRIATICO  20-</v>
      </c>
      <c r="C114" t="str">
        <f t="shared" si="8"/>
        <v>STA</v>
      </c>
      <c r="D114">
        <v>28</v>
      </c>
      <c r="E114" t="str">
        <f t="shared" si="10"/>
        <v>287</v>
      </c>
      <c r="F114" t="str">
        <f>"7"</f>
        <v>7</v>
      </c>
    </row>
    <row r="115" spans="1:6">
      <c r="A115" t="str">
        <f>"E410-8"</f>
        <v>E410-8</v>
      </c>
      <c r="B115" t="str">
        <f t="shared" si="9"/>
        <v>PIAZZA ADRIATICO  20-</v>
      </c>
      <c r="C115" t="str">
        <f t="shared" si="8"/>
        <v>STA</v>
      </c>
      <c r="D115">
        <v>28</v>
      </c>
      <c r="E115" t="str">
        <f t="shared" si="10"/>
        <v>287</v>
      </c>
      <c r="F115" t="str">
        <f>"8"</f>
        <v>8</v>
      </c>
    </row>
    <row r="116" spans="1:6">
      <c r="A116" t="str">
        <f>"E412-1"</f>
        <v>E412-1</v>
      </c>
      <c r="B116" t="str">
        <f t="shared" ref="B116:B123" si="11">"LUNGOBISAGNO DALMAZIA  51-"</f>
        <v>LUNGOBISAGNO DALMAZIA  51-</v>
      </c>
      <c r="C116" t="str">
        <f t="shared" ref="C116:C123" si="12">"STA"</f>
        <v>STA</v>
      </c>
      <c r="D116">
        <v>28</v>
      </c>
      <c r="E116" t="str">
        <f t="shared" ref="E116:E123" si="13">"293"</f>
        <v>293</v>
      </c>
      <c r="F116" t="str">
        <f>"1"</f>
        <v>1</v>
      </c>
    </row>
    <row r="117" spans="1:6">
      <c r="A117" t="str">
        <f>"E412-2"</f>
        <v>E412-2</v>
      </c>
      <c r="B117" t="str">
        <f t="shared" si="11"/>
        <v>LUNGOBISAGNO DALMAZIA  51-</v>
      </c>
      <c r="C117" t="str">
        <f t="shared" si="12"/>
        <v>STA</v>
      </c>
      <c r="D117">
        <v>28</v>
      </c>
      <c r="E117" t="str">
        <f t="shared" si="13"/>
        <v>293</v>
      </c>
      <c r="F117" t="str">
        <f>"2"</f>
        <v>2</v>
      </c>
    </row>
    <row r="118" spans="1:6">
      <c r="A118" t="str">
        <f>"E412-3"</f>
        <v>E412-3</v>
      </c>
      <c r="B118" t="str">
        <f t="shared" si="11"/>
        <v>LUNGOBISAGNO DALMAZIA  51-</v>
      </c>
      <c r="C118" t="str">
        <f t="shared" si="12"/>
        <v>STA</v>
      </c>
      <c r="D118">
        <v>28</v>
      </c>
      <c r="E118" t="str">
        <f t="shared" si="13"/>
        <v>293</v>
      </c>
      <c r="F118" t="str">
        <f>"3"</f>
        <v>3</v>
      </c>
    </row>
    <row r="119" spans="1:6">
      <c r="A119" t="str">
        <f>"E412-4"</f>
        <v>E412-4</v>
      </c>
      <c r="B119" t="str">
        <f t="shared" si="11"/>
        <v>LUNGOBISAGNO DALMAZIA  51-</v>
      </c>
      <c r="C119" t="str">
        <f t="shared" si="12"/>
        <v>STA</v>
      </c>
      <c r="D119">
        <v>28</v>
      </c>
      <c r="E119" t="str">
        <f t="shared" si="13"/>
        <v>293</v>
      </c>
      <c r="F119" t="str">
        <f>"4"</f>
        <v>4</v>
      </c>
    </row>
    <row r="120" spans="1:6">
      <c r="A120" t="str">
        <f>"E412-5"</f>
        <v>E412-5</v>
      </c>
      <c r="B120" t="str">
        <f t="shared" si="11"/>
        <v>LUNGOBISAGNO DALMAZIA  51-</v>
      </c>
      <c r="C120" t="str">
        <f t="shared" si="12"/>
        <v>STA</v>
      </c>
      <c r="D120">
        <v>28</v>
      </c>
      <c r="E120" t="str">
        <f t="shared" si="13"/>
        <v>293</v>
      </c>
      <c r="F120" t="str">
        <f>"5"</f>
        <v>5</v>
      </c>
    </row>
    <row r="121" spans="1:6">
      <c r="A121" t="str">
        <f>"E412-6"</f>
        <v>E412-6</v>
      </c>
      <c r="B121" t="str">
        <f t="shared" si="11"/>
        <v>LUNGOBISAGNO DALMAZIA  51-</v>
      </c>
      <c r="C121" t="str">
        <f t="shared" si="12"/>
        <v>STA</v>
      </c>
      <c r="D121">
        <v>28</v>
      </c>
      <c r="E121" t="str">
        <f t="shared" si="13"/>
        <v>293</v>
      </c>
      <c r="F121" t="str">
        <f>"6"</f>
        <v>6</v>
      </c>
    </row>
    <row r="122" spans="1:6">
      <c r="A122" t="str">
        <f>"E412-7"</f>
        <v>E412-7</v>
      </c>
      <c r="B122" t="str">
        <f t="shared" si="11"/>
        <v>LUNGOBISAGNO DALMAZIA  51-</v>
      </c>
      <c r="C122" t="str">
        <f t="shared" si="12"/>
        <v>STA</v>
      </c>
      <c r="D122">
        <v>28</v>
      </c>
      <c r="E122" t="str">
        <f t="shared" si="13"/>
        <v>293</v>
      </c>
      <c r="F122" t="str">
        <f>"7"</f>
        <v>7</v>
      </c>
    </row>
    <row r="123" spans="1:6">
      <c r="A123" t="str">
        <f>"E412-8"</f>
        <v>E412-8</v>
      </c>
      <c r="B123" t="str">
        <f t="shared" si="11"/>
        <v>LUNGOBISAGNO DALMAZIA  51-</v>
      </c>
      <c r="C123" t="str">
        <f t="shared" si="12"/>
        <v>STA</v>
      </c>
      <c r="D123">
        <v>28</v>
      </c>
      <c r="E123" t="str">
        <f t="shared" si="13"/>
        <v>293</v>
      </c>
      <c r="F123" t="str">
        <f>"8"</f>
        <v>8</v>
      </c>
    </row>
    <row r="124" spans="1:6">
      <c r="A124" t="str">
        <f>"E412-9"</f>
        <v>E412-9</v>
      </c>
      <c r="B124" t="str">
        <f>"PIAZZA ADRIATICO  1R-"</f>
        <v>PIAZZA ADRIATICO  1R-</v>
      </c>
      <c r="C124" t="str">
        <f>"1"</f>
        <v>1</v>
      </c>
      <c r="D124">
        <v>10</v>
      </c>
      <c r="E124" t="str">
        <f>"780"</f>
        <v>780</v>
      </c>
      <c r="F124" t="str">
        <f>"0000"</f>
        <v>0000</v>
      </c>
    </row>
    <row r="125" spans="1:6">
      <c r="A125" t="str">
        <f>"E412-10"</f>
        <v>E412-10</v>
      </c>
      <c r="B125" t="str">
        <f>"PIAZZA ADRIATICO VICINO AL 1R-"</f>
        <v>PIAZZA ADRIATICO VICINO AL 1R-</v>
      </c>
      <c r="C125" t="str">
        <f t="shared" ref="C125:C135" si="14">"STA"</f>
        <v>STA</v>
      </c>
      <c r="D125">
        <v>28</v>
      </c>
      <c r="E125" t="str">
        <f>"293"</f>
        <v>293</v>
      </c>
      <c r="F125" t="str">
        <f>"9"</f>
        <v>9</v>
      </c>
    </row>
    <row r="126" spans="1:6">
      <c r="A126" t="str">
        <f>"E413-1"</f>
        <v>E413-1</v>
      </c>
      <c r="B126" t="str">
        <f t="shared" ref="B126:B133" si="15">"LUNGOBISAGNO DALMAZIA  53-"</f>
        <v>LUNGOBISAGNO DALMAZIA  53-</v>
      </c>
      <c r="C126" t="str">
        <f t="shared" si="14"/>
        <v>STA</v>
      </c>
      <c r="D126">
        <v>28</v>
      </c>
      <c r="E126" t="str">
        <f t="shared" ref="E126:E135" si="16">"292"</f>
        <v>292</v>
      </c>
      <c r="F126" t="str">
        <f>"1"</f>
        <v>1</v>
      </c>
    </row>
    <row r="127" spans="1:6">
      <c r="A127" t="str">
        <f>"E413-2"</f>
        <v>E413-2</v>
      </c>
      <c r="B127" t="str">
        <f t="shared" si="15"/>
        <v>LUNGOBISAGNO DALMAZIA  53-</v>
      </c>
      <c r="C127" t="str">
        <f t="shared" si="14"/>
        <v>STA</v>
      </c>
      <c r="D127">
        <v>28</v>
      </c>
      <c r="E127" t="str">
        <f t="shared" si="16"/>
        <v>292</v>
      </c>
      <c r="F127" t="str">
        <f>"2"</f>
        <v>2</v>
      </c>
    </row>
    <row r="128" spans="1:6">
      <c r="A128" t="str">
        <f>"E413-3"</f>
        <v>E413-3</v>
      </c>
      <c r="B128" t="str">
        <f t="shared" si="15"/>
        <v>LUNGOBISAGNO DALMAZIA  53-</v>
      </c>
      <c r="C128" t="str">
        <f t="shared" si="14"/>
        <v>STA</v>
      </c>
      <c r="D128">
        <v>28</v>
      </c>
      <c r="E128" t="str">
        <f t="shared" si="16"/>
        <v>292</v>
      </c>
      <c r="F128" t="str">
        <f>"3"</f>
        <v>3</v>
      </c>
    </row>
    <row r="129" spans="1:6">
      <c r="A129" t="str">
        <f>"E413-4"</f>
        <v>E413-4</v>
      </c>
      <c r="B129" t="str">
        <f t="shared" si="15"/>
        <v>LUNGOBISAGNO DALMAZIA  53-</v>
      </c>
      <c r="C129" t="str">
        <f t="shared" si="14"/>
        <v>STA</v>
      </c>
      <c r="D129">
        <v>28</v>
      </c>
      <c r="E129" t="str">
        <f t="shared" si="16"/>
        <v>292</v>
      </c>
      <c r="F129" t="str">
        <f>"4"</f>
        <v>4</v>
      </c>
    </row>
    <row r="130" spans="1:6">
      <c r="A130" t="str">
        <f>"E413-5"</f>
        <v>E413-5</v>
      </c>
      <c r="B130" t="str">
        <f t="shared" si="15"/>
        <v>LUNGOBISAGNO DALMAZIA  53-</v>
      </c>
      <c r="C130" t="str">
        <f t="shared" si="14"/>
        <v>STA</v>
      </c>
      <c r="D130">
        <v>28</v>
      </c>
      <c r="E130" t="str">
        <f t="shared" si="16"/>
        <v>292</v>
      </c>
      <c r="F130" t="str">
        <f>"5"</f>
        <v>5</v>
      </c>
    </row>
    <row r="131" spans="1:6">
      <c r="A131" t="str">
        <f>"E413-6"</f>
        <v>E413-6</v>
      </c>
      <c r="B131" t="str">
        <f t="shared" si="15"/>
        <v>LUNGOBISAGNO DALMAZIA  53-</v>
      </c>
      <c r="C131" t="str">
        <f t="shared" si="14"/>
        <v>STA</v>
      </c>
      <c r="D131">
        <v>28</v>
      </c>
      <c r="E131" t="str">
        <f t="shared" si="16"/>
        <v>292</v>
      </c>
      <c r="F131" t="str">
        <f>"6"</f>
        <v>6</v>
      </c>
    </row>
    <row r="132" spans="1:6">
      <c r="A132" t="str">
        <f>"E413-7"</f>
        <v>E413-7</v>
      </c>
      <c r="B132" t="str">
        <f t="shared" si="15"/>
        <v>LUNGOBISAGNO DALMAZIA  53-</v>
      </c>
      <c r="C132" t="str">
        <f t="shared" si="14"/>
        <v>STA</v>
      </c>
      <c r="D132">
        <v>28</v>
      </c>
      <c r="E132" t="str">
        <f t="shared" si="16"/>
        <v>292</v>
      </c>
      <c r="F132" t="str">
        <f>"7"</f>
        <v>7</v>
      </c>
    </row>
    <row r="133" spans="1:6">
      <c r="A133" t="str">
        <f>"E413-8"</f>
        <v>E413-8</v>
      </c>
      <c r="B133" t="str">
        <f t="shared" si="15"/>
        <v>LUNGOBISAGNO DALMAZIA  53-</v>
      </c>
      <c r="C133" t="str">
        <f t="shared" si="14"/>
        <v>STA</v>
      </c>
      <c r="D133">
        <v>28</v>
      </c>
      <c r="E133" t="str">
        <f t="shared" si="16"/>
        <v>292</v>
      </c>
      <c r="F133" t="str">
        <f>"8"</f>
        <v>8</v>
      </c>
    </row>
    <row r="134" spans="1:6">
      <c r="A134" t="str">
        <f>"E413-9"</f>
        <v>E413-9</v>
      </c>
      <c r="B134" t="str">
        <f>"PIAZZA ADRIATICO  6-"</f>
        <v>PIAZZA ADRIATICO  6-</v>
      </c>
      <c r="C134" t="str">
        <f t="shared" si="14"/>
        <v>STA</v>
      </c>
      <c r="D134">
        <v>28</v>
      </c>
      <c r="E134" t="str">
        <f t="shared" si="16"/>
        <v>292</v>
      </c>
      <c r="F134" t="str">
        <f>"9"</f>
        <v>9</v>
      </c>
    </row>
    <row r="135" spans="1:6">
      <c r="A135" t="str">
        <f>"E413-10"</f>
        <v>E413-10</v>
      </c>
      <c r="B135" t="str">
        <f>"PIAZZA ADRIATICO  6R-"</f>
        <v>PIAZZA ADRIATICO  6R-</v>
      </c>
      <c r="C135" t="str">
        <f t="shared" si="14"/>
        <v>STA</v>
      </c>
      <c r="D135">
        <v>28</v>
      </c>
      <c r="E135" t="str">
        <f t="shared" si="16"/>
        <v>292</v>
      </c>
      <c r="F135" t="str">
        <f>"10"</f>
        <v>10</v>
      </c>
    </row>
    <row r="136" spans="1:6">
      <c r="A136" t="str">
        <f>"E413-11"</f>
        <v>E413-11</v>
      </c>
      <c r="B136" t="str">
        <f>"PIAZZA ADRIATICO VICINO AL 6R-"</f>
        <v>PIAZZA ADRIATICO VICINO AL 6R-</v>
      </c>
      <c r="C136" t="str">
        <f>"1"</f>
        <v>1</v>
      </c>
      <c r="D136">
        <v>10</v>
      </c>
      <c r="E136" t="str">
        <f>"357"</f>
        <v>357</v>
      </c>
      <c r="F136" t="str">
        <f>"0000"</f>
        <v>0000</v>
      </c>
    </row>
    <row r="137" spans="1:6">
      <c r="C137" t="str">
        <f>"1"</f>
        <v>1</v>
      </c>
      <c r="D137">
        <v>10</v>
      </c>
      <c r="E137" t="str">
        <f>"5"</f>
        <v>5</v>
      </c>
      <c r="F137" t="str">
        <f>"0000"</f>
        <v>0000</v>
      </c>
    </row>
    <row r="138" spans="1:6">
      <c r="A138" t="str">
        <f>"E414-1"</f>
        <v>E414-1</v>
      </c>
      <c r="B138" t="str">
        <f t="shared" ref="B138:B145" si="17">"LUNGOBISAGNO DALMAZIA  55-"</f>
        <v>LUNGOBISAGNO DALMAZIA  55-</v>
      </c>
      <c r="C138" t="str">
        <f t="shared" ref="C138:C146" si="18">"STA"</f>
        <v>STA</v>
      </c>
      <c r="D138">
        <v>28</v>
      </c>
      <c r="E138" t="str">
        <f t="shared" ref="E138:E146" si="19">"291"</f>
        <v>291</v>
      </c>
      <c r="F138" t="str">
        <f>"1"</f>
        <v>1</v>
      </c>
    </row>
    <row r="139" spans="1:6">
      <c r="A139" t="str">
        <f>"E414-2"</f>
        <v>E414-2</v>
      </c>
      <c r="B139" t="str">
        <f t="shared" si="17"/>
        <v>LUNGOBISAGNO DALMAZIA  55-</v>
      </c>
      <c r="C139" t="str">
        <f t="shared" si="18"/>
        <v>STA</v>
      </c>
      <c r="D139">
        <v>28</v>
      </c>
      <c r="E139" t="str">
        <f t="shared" si="19"/>
        <v>291</v>
      </c>
      <c r="F139" t="str">
        <f>"2"</f>
        <v>2</v>
      </c>
    </row>
    <row r="140" spans="1:6">
      <c r="A140" t="str">
        <f>"E414-3"</f>
        <v>E414-3</v>
      </c>
      <c r="B140" t="str">
        <f t="shared" si="17"/>
        <v>LUNGOBISAGNO DALMAZIA  55-</v>
      </c>
      <c r="C140" t="str">
        <f t="shared" si="18"/>
        <v>STA</v>
      </c>
      <c r="D140">
        <v>28</v>
      </c>
      <c r="E140" t="str">
        <f t="shared" si="19"/>
        <v>291</v>
      </c>
      <c r="F140" t="str">
        <f>"3"</f>
        <v>3</v>
      </c>
    </row>
    <row r="141" spans="1:6">
      <c r="A141" t="str">
        <f>"E414-4"</f>
        <v>E414-4</v>
      </c>
      <c r="B141" t="str">
        <f t="shared" si="17"/>
        <v>LUNGOBISAGNO DALMAZIA  55-</v>
      </c>
      <c r="C141" t="str">
        <f t="shared" si="18"/>
        <v>STA</v>
      </c>
      <c r="D141">
        <v>28</v>
      </c>
      <c r="E141" t="str">
        <f t="shared" si="19"/>
        <v>291</v>
      </c>
      <c r="F141" t="str">
        <f>"4"</f>
        <v>4</v>
      </c>
    </row>
    <row r="142" spans="1:6">
      <c r="A142" t="str">
        <f>"E414-5"</f>
        <v>E414-5</v>
      </c>
      <c r="B142" t="str">
        <f t="shared" si="17"/>
        <v>LUNGOBISAGNO DALMAZIA  55-</v>
      </c>
      <c r="C142" t="str">
        <f t="shared" si="18"/>
        <v>STA</v>
      </c>
      <c r="D142">
        <v>28</v>
      </c>
      <c r="E142" t="str">
        <f t="shared" si="19"/>
        <v>291</v>
      </c>
      <c r="F142" t="str">
        <f>"5"</f>
        <v>5</v>
      </c>
    </row>
    <row r="143" spans="1:6">
      <c r="A143" t="str">
        <f>"E414-6"</f>
        <v>E414-6</v>
      </c>
      <c r="B143" t="str">
        <f t="shared" si="17"/>
        <v>LUNGOBISAGNO DALMAZIA  55-</v>
      </c>
      <c r="C143" t="str">
        <f t="shared" si="18"/>
        <v>STA</v>
      </c>
      <c r="D143">
        <v>28</v>
      </c>
      <c r="E143" t="str">
        <f t="shared" si="19"/>
        <v>291</v>
      </c>
      <c r="F143" t="str">
        <f>"6"</f>
        <v>6</v>
      </c>
    </row>
    <row r="144" spans="1:6">
      <c r="A144" t="str">
        <f>"E414-7"</f>
        <v>E414-7</v>
      </c>
      <c r="B144" t="str">
        <f t="shared" si="17"/>
        <v>LUNGOBISAGNO DALMAZIA  55-</v>
      </c>
      <c r="C144" t="str">
        <f t="shared" si="18"/>
        <v>STA</v>
      </c>
      <c r="D144">
        <v>28</v>
      </c>
      <c r="E144" t="str">
        <f t="shared" si="19"/>
        <v>291</v>
      </c>
      <c r="F144" t="str">
        <f>"7"</f>
        <v>7</v>
      </c>
    </row>
    <row r="145" spans="1:6">
      <c r="A145" t="str">
        <f>"E414-8"</f>
        <v>E414-8</v>
      </c>
      <c r="B145" t="str">
        <f t="shared" si="17"/>
        <v>LUNGOBISAGNO DALMAZIA  55-</v>
      </c>
      <c r="C145" t="str">
        <f t="shared" si="18"/>
        <v>STA</v>
      </c>
      <c r="D145">
        <v>28</v>
      </c>
      <c r="E145" t="str">
        <f t="shared" si="19"/>
        <v>291</v>
      </c>
      <c r="F145" t="str">
        <f>"8"</f>
        <v>8</v>
      </c>
    </row>
    <row r="146" spans="1:6">
      <c r="A146" t="str">
        <f>"E414-9"</f>
        <v>E414-9</v>
      </c>
      <c r="B146" t="str">
        <f>"PIAZZA ADRIATICO  7R-"</f>
        <v>PIAZZA ADRIATICO  7R-</v>
      </c>
      <c r="C146" t="str">
        <f t="shared" si="18"/>
        <v>STA</v>
      </c>
      <c r="D146">
        <v>28</v>
      </c>
      <c r="E146" t="str">
        <f t="shared" si="19"/>
        <v>291</v>
      </c>
      <c r="F146" t="str">
        <f>"9"</f>
        <v>9</v>
      </c>
    </row>
    <row r="147" spans="1:6">
      <c r="A147" t="str">
        <f>"E414-10"</f>
        <v>E414-10</v>
      </c>
      <c r="B147" t="str">
        <f>"PIAZZA ADRIATICO VICINO AL 7R-"</f>
        <v>PIAZZA ADRIATICO VICINO AL 7R-</v>
      </c>
      <c r="C147" t="str">
        <f>"1"</f>
        <v>1</v>
      </c>
      <c r="D147">
        <v>10</v>
      </c>
      <c r="E147" t="str">
        <f>"356"</f>
        <v>356</v>
      </c>
      <c r="F147" t="str">
        <f>"0000"</f>
        <v>0000</v>
      </c>
    </row>
    <row r="149" spans="1:6">
      <c r="A149" t="str">
        <f>"E415-1"</f>
        <v>E415-1</v>
      </c>
      <c r="B149" t="str">
        <f t="shared" ref="B149:B156" si="20">"LUNGOBISAGNO DALMAZIA  57-"</f>
        <v>LUNGOBISAGNO DALMAZIA  57-</v>
      </c>
      <c r="C149" t="str">
        <f t="shared" ref="C149:C168" si="21">"STA"</f>
        <v>STA</v>
      </c>
      <c r="D149">
        <v>28</v>
      </c>
      <c r="E149" t="str">
        <f t="shared" ref="E149:E158" si="22">"290"</f>
        <v>290</v>
      </c>
      <c r="F149" t="str">
        <f>"1"</f>
        <v>1</v>
      </c>
    </row>
    <row r="150" spans="1:6">
      <c r="A150" t="str">
        <f>"E415-2"</f>
        <v>E415-2</v>
      </c>
      <c r="B150" t="str">
        <f t="shared" si="20"/>
        <v>LUNGOBISAGNO DALMAZIA  57-</v>
      </c>
      <c r="C150" t="str">
        <f t="shared" si="21"/>
        <v>STA</v>
      </c>
      <c r="D150">
        <v>28</v>
      </c>
      <c r="E150" t="str">
        <f t="shared" si="22"/>
        <v>290</v>
      </c>
      <c r="F150" t="str">
        <f>"2"</f>
        <v>2</v>
      </c>
    </row>
    <row r="151" spans="1:6">
      <c r="A151" t="str">
        <f>"E415-3"</f>
        <v>E415-3</v>
      </c>
      <c r="B151" t="str">
        <f t="shared" si="20"/>
        <v>LUNGOBISAGNO DALMAZIA  57-</v>
      </c>
      <c r="C151" t="str">
        <f t="shared" si="21"/>
        <v>STA</v>
      </c>
      <c r="D151">
        <v>28</v>
      </c>
      <c r="E151" t="str">
        <f t="shared" si="22"/>
        <v>290</v>
      </c>
      <c r="F151" t="str">
        <f>"3"</f>
        <v>3</v>
      </c>
    </row>
    <row r="152" spans="1:6">
      <c r="A152" t="str">
        <f>"E415-4"</f>
        <v>E415-4</v>
      </c>
      <c r="B152" t="str">
        <f t="shared" si="20"/>
        <v>LUNGOBISAGNO DALMAZIA  57-</v>
      </c>
      <c r="C152" t="str">
        <f t="shared" si="21"/>
        <v>STA</v>
      </c>
      <c r="D152">
        <v>28</v>
      </c>
      <c r="E152" t="str">
        <f t="shared" si="22"/>
        <v>290</v>
      </c>
      <c r="F152" t="str">
        <f>"4"</f>
        <v>4</v>
      </c>
    </row>
    <row r="153" spans="1:6">
      <c r="A153" t="str">
        <f>"E415-5"</f>
        <v>E415-5</v>
      </c>
      <c r="B153" t="str">
        <f t="shared" si="20"/>
        <v>LUNGOBISAGNO DALMAZIA  57-</v>
      </c>
      <c r="C153" t="str">
        <f t="shared" si="21"/>
        <v>STA</v>
      </c>
      <c r="D153">
        <v>28</v>
      </c>
      <c r="E153" t="str">
        <f t="shared" si="22"/>
        <v>290</v>
      </c>
      <c r="F153" t="str">
        <f>"5"</f>
        <v>5</v>
      </c>
    </row>
    <row r="154" spans="1:6">
      <c r="A154" t="str">
        <f>"E415-6"</f>
        <v>E415-6</v>
      </c>
      <c r="B154" t="str">
        <f t="shared" si="20"/>
        <v>LUNGOBISAGNO DALMAZIA  57-</v>
      </c>
      <c r="C154" t="str">
        <f t="shared" si="21"/>
        <v>STA</v>
      </c>
      <c r="D154">
        <v>28</v>
      </c>
      <c r="E154" t="str">
        <f t="shared" si="22"/>
        <v>290</v>
      </c>
      <c r="F154" t="str">
        <f>"6"</f>
        <v>6</v>
      </c>
    </row>
    <row r="155" spans="1:6">
      <c r="A155" t="str">
        <f>"E415-7"</f>
        <v>E415-7</v>
      </c>
      <c r="B155" t="str">
        <f t="shared" si="20"/>
        <v>LUNGOBISAGNO DALMAZIA  57-</v>
      </c>
      <c r="C155" t="str">
        <f t="shared" si="21"/>
        <v>STA</v>
      </c>
      <c r="D155">
        <v>28</v>
      </c>
      <c r="E155" t="str">
        <f t="shared" si="22"/>
        <v>290</v>
      </c>
      <c r="F155" t="str">
        <f>"7"</f>
        <v>7</v>
      </c>
    </row>
    <row r="156" spans="1:6">
      <c r="A156" t="str">
        <f>"E415-8"</f>
        <v>E415-8</v>
      </c>
      <c r="B156" t="str">
        <f t="shared" si="20"/>
        <v>LUNGOBISAGNO DALMAZIA  57-</v>
      </c>
      <c r="C156" t="str">
        <f t="shared" si="21"/>
        <v>STA</v>
      </c>
      <c r="D156">
        <v>28</v>
      </c>
      <c r="E156" t="str">
        <f t="shared" si="22"/>
        <v>290</v>
      </c>
      <c r="F156" t="str">
        <f>"8"</f>
        <v>8</v>
      </c>
    </row>
    <row r="157" spans="1:6">
      <c r="A157" t="str">
        <f>"E415-9"</f>
        <v>E415-9</v>
      </c>
      <c r="B157" t="str">
        <f>"PIAZZA ADRIATICO  9R-"</f>
        <v>PIAZZA ADRIATICO  9R-</v>
      </c>
      <c r="C157" t="str">
        <f t="shared" si="21"/>
        <v>STA</v>
      </c>
      <c r="D157">
        <v>28</v>
      </c>
      <c r="E157" t="str">
        <f t="shared" si="22"/>
        <v>290</v>
      </c>
      <c r="F157" t="str">
        <f>"10"</f>
        <v>10</v>
      </c>
    </row>
    <row r="158" spans="1:6">
      <c r="A158" t="str">
        <f>"E415-10"</f>
        <v>E415-10</v>
      </c>
      <c r="B158" t="str">
        <f>"PIAZZA ADRIATICO  11R-"</f>
        <v>PIAZZA ADRIATICO  11R-</v>
      </c>
      <c r="C158" t="str">
        <f t="shared" si="21"/>
        <v>STA</v>
      </c>
      <c r="D158">
        <v>28</v>
      </c>
      <c r="E158" t="str">
        <f t="shared" si="22"/>
        <v>290</v>
      </c>
      <c r="F158" t="str">
        <f>"9"</f>
        <v>9</v>
      </c>
    </row>
    <row r="159" spans="1:6">
      <c r="A159" t="str">
        <f>"E416-1"</f>
        <v>E416-1</v>
      </c>
      <c r="B159" t="str">
        <f t="shared" ref="B159:B166" si="23">"LUNGOBISAGNO DALMAZIA  59-"</f>
        <v>LUNGOBISAGNO DALMAZIA  59-</v>
      </c>
      <c r="C159" t="str">
        <f t="shared" si="21"/>
        <v>STA</v>
      </c>
      <c r="D159">
        <v>28</v>
      </c>
      <c r="E159" t="str">
        <f t="shared" ref="E159:E167" si="24">"289"</f>
        <v>289</v>
      </c>
      <c r="F159" t="str">
        <f>"1"</f>
        <v>1</v>
      </c>
    </row>
    <row r="160" spans="1:6">
      <c r="A160" t="str">
        <f>"E416-2"</f>
        <v>E416-2</v>
      </c>
      <c r="B160" t="str">
        <f t="shared" si="23"/>
        <v>LUNGOBISAGNO DALMAZIA  59-</v>
      </c>
      <c r="C160" t="str">
        <f t="shared" si="21"/>
        <v>STA</v>
      </c>
      <c r="D160">
        <v>28</v>
      </c>
      <c r="E160" t="str">
        <f t="shared" si="24"/>
        <v>289</v>
      </c>
      <c r="F160" t="str">
        <f>"2"</f>
        <v>2</v>
      </c>
    </row>
    <row r="161" spans="1:6">
      <c r="A161" t="str">
        <f>"E416-3"</f>
        <v>E416-3</v>
      </c>
      <c r="B161" t="str">
        <f t="shared" si="23"/>
        <v>LUNGOBISAGNO DALMAZIA  59-</v>
      </c>
      <c r="C161" t="str">
        <f t="shared" si="21"/>
        <v>STA</v>
      </c>
      <c r="D161">
        <v>28</v>
      </c>
      <c r="E161" t="str">
        <f t="shared" si="24"/>
        <v>289</v>
      </c>
      <c r="F161" t="str">
        <f>"3"</f>
        <v>3</v>
      </c>
    </row>
    <row r="162" spans="1:6">
      <c r="A162" t="str">
        <f>"E416-4"</f>
        <v>E416-4</v>
      </c>
      <c r="B162" t="str">
        <f t="shared" si="23"/>
        <v>LUNGOBISAGNO DALMAZIA  59-</v>
      </c>
      <c r="C162" t="str">
        <f t="shared" si="21"/>
        <v>STA</v>
      </c>
      <c r="D162">
        <v>28</v>
      </c>
      <c r="E162" t="str">
        <f t="shared" si="24"/>
        <v>289</v>
      </c>
      <c r="F162" t="str">
        <f>"4"</f>
        <v>4</v>
      </c>
    </row>
    <row r="163" spans="1:6">
      <c r="A163" t="str">
        <f>"E416-5"</f>
        <v>E416-5</v>
      </c>
      <c r="B163" t="str">
        <f t="shared" si="23"/>
        <v>LUNGOBISAGNO DALMAZIA  59-</v>
      </c>
      <c r="C163" t="str">
        <f t="shared" si="21"/>
        <v>STA</v>
      </c>
      <c r="D163">
        <v>28</v>
      </c>
      <c r="E163" t="str">
        <f t="shared" si="24"/>
        <v>289</v>
      </c>
      <c r="F163" t="str">
        <f>"5"</f>
        <v>5</v>
      </c>
    </row>
    <row r="164" spans="1:6">
      <c r="A164" t="str">
        <f>"E416-6"</f>
        <v>E416-6</v>
      </c>
      <c r="B164" t="str">
        <f t="shared" si="23"/>
        <v>LUNGOBISAGNO DALMAZIA  59-</v>
      </c>
      <c r="C164" t="str">
        <f t="shared" si="21"/>
        <v>STA</v>
      </c>
      <c r="D164">
        <v>28</v>
      </c>
      <c r="E164" t="str">
        <f t="shared" si="24"/>
        <v>289</v>
      </c>
      <c r="F164" t="str">
        <f>"6"</f>
        <v>6</v>
      </c>
    </row>
    <row r="165" spans="1:6">
      <c r="A165" t="str">
        <f>"E416-7"</f>
        <v>E416-7</v>
      </c>
      <c r="B165" t="str">
        <f t="shared" si="23"/>
        <v>LUNGOBISAGNO DALMAZIA  59-</v>
      </c>
      <c r="C165" t="str">
        <f t="shared" si="21"/>
        <v>STA</v>
      </c>
      <c r="D165">
        <v>28</v>
      </c>
      <c r="E165" t="str">
        <f t="shared" si="24"/>
        <v>289</v>
      </c>
      <c r="F165" t="str">
        <f>"7"</f>
        <v>7</v>
      </c>
    </row>
    <row r="166" spans="1:6">
      <c r="A166" t="str">
        <f>"E416-8"</f>
        <v>E416-8</v>
      </c>
      <c r="B166" t="str">
        <f t="shared" si="23"/>
        <v>LUNGOBISAGNO DALMAZIA  59-</v>
      </c>
      <c r="C166" t="str">
        <f t="shared" si="21"/>
        <v>STA</v>
      </c>
      <c r="D166">
        <v>28</v>
      </c>
      <c r="E166" t="str">
        <f t="shared" si="24"/>
        <v>289</v>
      </c>
      <c r="F166" t="str">
        <f>"8"</f>
        <v>8</v>
      </c>
    </row>
    <row r="167" spans="1:6">
      <c r="A167" t="str">
        <f>"E416-9"</f>
        <v>E416-9</v>
      </c>
      <c r="B167" t="str">
        <f>"PIAZZA ADRIATICO  12R-"</f>
        <v>PIAZZA ADRIATICO  12R-</v>
      </c>
      <c r="C167" t="str">
        <f t="shared" si="21"/>
        <v>STA</v>
      </c>
      <c r="D167">
        <v>28</v>
      </c>
      <c r="E167" t="str">
        <f t="shared" si="24"/>
        <v>289</v>
      </c>
      <c r="F167" t="str">
        <f>"9"</f>
        <v>9</v>
      </c>
    </row>
    <row r="168" spans="1:6">
      <c r="A168" t="str">
        <f>"E417-1"</f>
        <v>E417-1</v>
      </c>
      <c r="B168" t="str">
        <f>"PIAZZA ADRIATICO  10-"</f>
        <v>PIAZZA ADRIATICO  10-</v>
      </c>
      <c r="C168" t="str">
        <f t="shared" si="21"/>
        <v>STA</v>
      </c>
      <c r="D168">
        <v>28</v>
      </c>
      <c r="E168" t="str">
        <f>"288"</f>
        <v>288</v>
      </c>
      <c r="F168" t="str">
        <f>"22"</f>
        <v>22</v>
      </c>
    </row>
    <row r="169" spans="1:6">
      <c r="A169" t="str">
        <f>"E420-4"</f>
        <v>E420-4</v>
      </c>
      <c r="B169" t="str">
        <f>"VIA ANTONIO BURLANDO  8-"</f>
        <v>VIA ANTONIO BURLANDO  8-</v>
      </c>
      <c r="C169" t="str">
        <f t="shared" ref="C169:C179" si="25">"GEC"</f>
        <v>GEC</v>
      </c>
      <c r="D169">
        <v>36</v>
      </c>
      <c r="E169" t="str">
        <f>"218"</f>
        <v>218</v>
      </c>
      <c r="F169" t="str">
        <f>"1"</f>
        <v>1</v>
      </c>
    </row>
    <row r="170" spans="1:6">
      <c r="A170" t="str">
        <f>"E421-1"</f>
        <v>E421-1</v>
      </c>
      <c r="B170" t="str">
        <f>"VIA ANTONIO BURLANDO  8A-"</f>
        <v>VIA ANTONIO BURLANDO  8A-</v>
      </c>
      <c r="C170" t="str">
        <f t="shared" si="25"/>
        <v>GEC</v>
      </c>
      <c r="D170">
        <v>36</v>
      </c>
      <c r="E170" t="str">
        <f>"217"</f>
        <v>217</v>
      </c>
      <c r="F170" t="str">
        <f>"2"</f>
        <v>2</v>
      </c>
    </row>
    <row r="171" spans="1:6">
      <c r="A171" t="str">
        <f>"E424-5"</f>
        <v>E424-5</v>
      </c>
      <c r="B171" t="str">
        <f>"VIA ANTONIO BURLANDO  12-"</f>
        <v>VIA ANTONIO BURLANDO  12-</v>
      </c>
      <c r="C171" t="str">
        <f t="shared" si="25"/>
        <v>GEC</v>
      </c>
      <c r="D171">
        <v>36</v>
      </c>
      <c r="E171" t="str">
        <f>"117"</f>
        <v>117</v>
      </c>
      <c r="F171" t="str">
        <f>"8"</f>
        <v>8</v>
      </c>
    </row>
    <row r="172" spans="1:6">
      <c r="A172" t="str">
        <f>"E424-6"</f>
        <v>E424-6</v>
      </c>
      <c r="B172" t="str">
        <f>"VIA ANTONIO BURLANDO  12-"</f>
        <v>VIA ANTONIO BURLANDO  12-</v>
      </c>
      <c r="C172" t="str">
        <f t="shared" si="25"/>
        <v>GEC</v>
      </c>
      <c r="D172">
        <v>36</v>
      </c>
      <c r="E172" t="str">
        <f>"117"</f>
        <v>117</v>
      </c>
      <c r="F172" t="str">
        <f>"11"</f>
        <v>11</v>
      </c>
    </row>
    <row r="173" spans="1:6">
      <c r="A173" t="str">
        <f>"E428-6"</f>
        <v>E428-6</v>
      </c>
      <c r="B173" t="str">
        <f>"VIA ANTONIO BURLANDO  10B-"</f>
        <v>VIA ANTONIO BURLANDO  10B-</v>
      </c>
      <c r="C173" t="str">
        <f t="shared" si="25"/>
        <v>GEC</v>
      </c>
      <c r="D173">
        <v>36</v>
      </c>
      <c r="E173" t="str">
        <f>"207"</f>
        <v>207</v>
      </c>
      <c r="F173" t="str">
        <f>"6"</f>
        <v>6</v>
      </c>
    </row>
    <row r="174" spans="1:6">
      <c r="A174" t="str">
        <f>"E432-3"</f>
        <v>E432-3</v>
      </c>
      <c r="B174" t="str">
        <f>"VIA CARSO  6-"</f>
        <v>VIA CARSO  6-</v>
      </c>
      <c r="C174" t="str">
        <f t="shared" si="25"/>
        <v>GEC</v>
      </c>
      <c r="D174">
        <v>36</v>
      </c>
      <c r="E174" t="str">
        <f>"105"</f>
        <v>105</v>
      </c>
      <c r="F174" t="str">
        <f>"1"</f>
        <v>1</v>
      </c>
    </row>
    <row r="175" spans="1:6">
      <c r="A175" t="str">
        <f>"E432-9"</f>
        <v>E432-9</v>
      </c>
      <c r="B175" t="str">
        <f>"VIA CARSO  6-"</f>
        <v>VIA CARSO  6-</v>
      </c>
      <c r="C175" t="str">
        <f t="shared" si="25"/>
        <v>GEC</v>
      </c>
      <c r="D175">
        <v>36</v>
      </c>
      <c r="E175" t="str">
        <f>"105"</f>
        <v>105</v>
      </c>
      <c r="F175" t="str">
        <f>"9"</f>
        <v>9</v>
      </c>
    </row>
    <row r="176" spans="1:6">
      <c r="A176" t="str">
        <f>"E432-17"</f>
        <v>E432-17</v>
      </c>
      <c r="B176" t="str">
        <f>"VIA CARSO  18R-"</f>
        <v>VIA CARSO  18R-</v>
      </c>
      <c r="C176" t="str">
        <f t="shared" si="25"/>
        <v>GEC</v>
      </c>
      <c r="D176">
        <v>36</v>
      </c>
      <c r="E176" t="str">
        <f>"105"</f>
        <v>105</v>
      </c>
      <c r="F176" t="str">
        <f>"19"</f>
        <v>19</v>
      </c>
    </row>
    <row r="177" spans="1:6">
      <c r="C177" t="str">
        <f t="shared" si="25"/>
        <v>GEC</v>
      </c>
      <c r="D177">
        <v>36</v>
      </c>
      <c r="E177" t="str">
        <f>"107"</f>
        <v>107</v>
      </c>
      <c r="F177" t="str">
        <f>"3"</f>
        <v>3</v>
      </c>
    </row>
    <row r="178" spans="1:6">
      <c r="C178" t="str">
        <f t="shared" si="25"/>
        <v>GEC</v>
      </c>
      <c r="D178">
        <v>36</v>
      </c>
      <c r="E178" t="str">
        <f>"106"</f>
        <v>106</v>
      </c>
      <c r="F178" t="str">
        <f>"3"</f>
        <v>3</v>
      </c>
    </row>
    <row r="179" spans="1:6">
      <c r="A179" t="str">
        <f>"E435-1"</f>
        <v>E435-1</v>
      </c>
      <c r="B179" t="str">
        <f>"VIA CARSO  16-"</f>
        <v>VIA CARSO  16-</v>
      </c>
      <c r="C179" t="str">
        <f t="shared" si="25"/>
        <v>GEC</v>
      </c>
      <c r="D179">
        <v>36</v>
      </c>
      <c r="E179" t="str">
        <f>"84"</f>
        <v>84</v>
      </c>
      <c r="F179" t="str">
        <f>"1"</f>
        <v>1</v>
      </c>
    </row>
    <row r="180" spans="1:6">
      <c r="A180" t="str">
        <f>"E440-1"</f>
        <v>E440-1</v>
      </c>
      <c r="B180" t="str">
        <f>"VIA BOBBIO  68-"</f>
        <v>VIA BOBBIO  68-</v>
      </c>
      <c r="C180" t="str">
        <f>"STA"</f>
        <v>STA</v>
      </c>
      <c r="D180">
        <v>25</v>
      </c>
      <c r="E180" t="str">
        <f>"282"</f>
        <v>282</v>
      </c>
      <c r="F180" t="str">
        <f>"0000"</f>
        <v>0000</v>
      </c>
    </row>
    <row r="181" spans="1:6">
      <c r="A181" t="str">
        <f>"E441-1"</f>
        <v>E441-1</v>
      </c>
      <c r="B181" t="str">
        <f>"VIA BOBBIO  370R-"</f>
        <v>VIA BOBBIO  370R-</v>
      </c>
      <c r="C181" t="str">
        <f>"STA"</f>
        <v>STA</v>
      </c>
      <c r="D181">
        <v>25</v>
      </c>
      <c r="E181" t="str">
        <f>"293"</f>
        <v>293</v>
      </c>
      <c r="F181" t="str">
        <f>"0000"</f>
        <v>0000</v>
      </c>
    </row>
    <row r="182" spans="1:6">
      <c r="A182" t="str">
        <f>"E442-1"</f>
        <v>E442-1</v>
      </c>
      <c r="B182" t="str">
        <f>"SALITA DI SAN PANTALEO  8-"</f>
        <v>SALITA DI SAN PANTALEO  8-</v>
      </c>
      <c r="C182" t="str">
        <f>"STA"</f>
        <v>STA</v>
      </c>
      <c r="D182">
        <v>25</v>
      </c>
      <c r="E182" t="str">
        <f>"281"</f>
        <v>281</v>
      </c>
      <c r="F182" t="str">
        <f>"2"</f>
        <v>2</v>
      </c>
    </row>
    <row r="183" spans="1:6">
      <c r="A183" t="str">
        <f>"E442-6"</f>
        <v>E442-6</v>
      </c>
      <c r="B183" t="str">
        <f>"SALITA DI SAN PANTALEO  8-"</f>
        <v>SALITA DI SAN PANTALEO  8-</v>
      </c>
      <c r="C183" t="str">
        <f>"STA"</f>
        <v>STA</v>
      </c>
      <c r="D183">
        <v>25</v>
      </c>
      <c r="E183" t="str">
        <f>"281"</f>
        <v>281</v>
      </c>
      <c r="F183" t="str">
        <f>"16"</f>
        <v>16</v>
      </c>
    </row>
    <row r="184" spans="1:6">
      <c r="A184" t="str">
        <f>"E443-1"</f>
        <v>E443-1</v>
      </c>
      <c r="B184" t="str">
        <f>"SALITA DI SAN PANTALEO VICINO AL 2-"</f>
        <v>SALITA DI SAN PANTALEO VICINO AL 2-</v>
      </c>
      <c r="C184" t="str">
        <f>"STA"</f>
        <v>STA</v>
      </c>
      <c r="D184">
        <v>25</v>
      </c>
      <c r="E184" t="str">
        <f>"412"</f>
        <v>412</v>
      </c>
      <c r="F184" t="str">
        <f>"0000"</f>
        <v>0000</v>
      </c>
    </row>
    <row r="185" spans="1:6">
      <c r="A185" t="str">
        <f>"E446-1"</f>
        <v>E446-1</v>
      </c>
      <c r="B185" t="str">
        <f>"VIA ANTONIO BURLANDO  1-"</f>
        <v>VIA ANTONIO BURLANDO  1-</v>
      </c>
      <c r="C185" t="str">
        <f>"GEC"</f>
        <v>GEC</v>
      </c>
      <c r="D185">
        <v>36</v>
      </c>
      <c r="E185" t="str">
        <f>"680"</f>
        <v>680</v>
      </c>
      <c r="F185" t="str">
        <f>"1"</f>
        <v>1</v>
      </c>
    </row>
    <row r="186" spans="1:6">
      <c r="A186" t="str">
        <f>"E446-2"</f>
        <v>E446-2</v>
      </c>
      <c r="B186" t="str">
        <f>"VIA ANTONIO BURLANDO  1-"</f>
        <v>VIA ANTONIO BURLANDO  1-</v>
      </c>
      <c r="C186" t="str">
        <f>"GEC"</f>
        <v>GEC</v>
      </c>
      <c r="D186">
        <v>36</v>
      </c>
      <c r="E186" t="str">
        <f>"680"</f>
        <v>680</v>
      </c>
      <c r="F186" t="str">
        <f>"2"</f>
        <v>2</v>
      </c>
    </row>
    <row r="187" spans="1:6">
      <c r="A187" t="str">
        <f>"E468-1"</f>
        <v>E468-1</v>
      </c>
      <c r="B187" t="str">
        <f>"VIA LODI  4-"</f>
        <v>VIA LODI  4-</v>
      </c>
      <c r="C187" t="str">
        <f>"STA"</f>
        <v>STA</v>
      </c>
      <c r="D187">
        <v>24</v>
      </c>
      <c r="E187" t="str">
        <f>"189"</f>
        <v>189</v>
      </c>
      <c r="F187" t="str">
        <f>"1"</f>
        <v>1</v>
      </c>
    </row>
    <row r="188" spans="1:6">
      <c r="A188" t="str">
        <f>"E470-1"</f>
        <v>E470-1</v>
      </c>
      <c r="B188" t="str">
        <f>"VIA TERPI  50-"</f>
        <v>VIA TERPI  50-</v>
      </c>
      <c r="C188" t="str">
        <f t="shared" ref="C188:C193" si="26">"BAV"</f>
        <v>BAV</v>
      </c>
      <c r="D188">
        <v>41</v>
      </c>
      <c r="E188" t="str">
        <f>"1340"</f>
        <v>1340</v>
      </c>
      <c r="F188" t="str">
        <f>"0000"</f>
        <v>0000</v>
      </c>
    </row>
    <row r="189" spans="1:6">
      <c r="A189" t="str">
        <f>"E471-1"</f>
        <v>E471-1</v>
      </c>
      <c r="B189" t="str">
        <f>"VIA TERPI  24-"</f>
        <v>VIA TERPI  24-</v>
      </c>
      <c r="C189" t="str">
        <f t="shared" si="26"/>
        <v>BAV</v>
      </c>
      <c r="D189">
        <v>41</v>
      </c>
      <c r="E189" t="str">
        <f>"1470"</f>
        <v>1470</v>
      </c>
      <c r="F189" t="str">
        <f>"0000"</f>
        <v>0000</v>
      </c>
    </row>
    <row r="190" spans="1:6">
      <c r="A190" t="str">
        <f>"E472-1"</f>
        <v>E472-1</v>
      </c>
      <c r="B190" t="str">
        <f>"VIA VAL TREBBIA  301-"</f>
        <v>VIA VAL TREBBIA  301-</v>
      </c>
      <c r="C190" t="str">
        <f t="shared" si="26"/>
        <v>BAV</v>
      </c>
      <c r="D190">
        <v>42</v>
      </c>
      <c r="E190" t="str">
        <f>"1706"</f>
        <v>1706</v>
      </c>
      <c r="F190" t="str">
        <f>"3"</f>
        <v>3</v>
      </c>
    </row>
    <row r="191" spans="1:6">
      <c r="A191" t="str">
        <f>"E472-2"</f>
        <v>E472-2</v>
      </c>
      <c r="B191" t="str">
        <f>"VIA SUP ROCCHE DI BAVARI  48-"</f>
        <v>VIA SUP ROCCHE DI BAVARI  48-</v>
      </c>
      <c r="C191" t="str">
        <f t="shared" si="26"/>
        <v>BAV</v>
      </c>
      <c r="D191">
        <v>42</v>
      </c>
      <c r="E191" t="str">
        <f>"1706"</f>
        <v>1706</v>
      </c>
      <c r="F191" t="str">
        <f>"2"</f>
        <v>2</v>
      </c>
    </row>
    <row r="192" spans="1:6">
      <c r="A192" t="str">
        <f>"E479-1"</f>
        <v>E479-1</v>
      </c>
      <c r="B192" t="str">
        <f>"VIA GELASIO ADAMOLI  9-"</f>
        <v>VIA GELASIO ADAMOLI  9-</v>
      </c>
      <c r="C192" t="str">
        <f t="shared" si="26"/>
        <v>BAV</v>
      </c>
      <c r="D192">
        <v>41</v>
      </c>
      <c r="E192" t="str">
        <f>"1649"</f>
        <v>1649</v>
      </c>
      <c r="F192" t="str">
        <f>"1"</f>
        <v>1</v>
      </c>
    </row>
    <row r="193" spans="1:6">
      <c r="A193" t="str">
        <f>"E479-2"</f>
        <v>E479-2</v>
      </c>
      <c r="B193" t="str">
        <f>"VIA GELASIO ADAMOLI  9-"</f>
        <v>VIA GELASIO ADAMOLI  9-</v>
      </c>
      <c r="C193" t="str">
        <f t="shared" si="26"/>
        <v>BAV</v>
      </c>
      <c r="D193">
        <v>41</v>
      </c>
      <c r="E193" t="str">
        <f>"1649"</f>
        <v>1649</v>
      </c>
      <c r="F193" t="str">
        <f>"2"</f>
        <v>2</v>
      </c>
    </row>
    <row r="194" spans="1:6">
      <c r="A194" t="str">
        <f>"E480-1"</f>
        <v>E480-1</v>
      </c>
      <c r="B194" t="str">
        <f>"VIA MOGADISCIO  49-"</f>
        <v>VIA MOGADISCIO  49-</v>
      </c>
      <c r="C194" t="str">
        <f t="shared" ref="C194:C225" si="27">"5"</f>
        <v>5</v>
      </c>
      <c r="D194">
        <v>42</v>
      </c>
      <c r="E194" t="str">
        <f>"317"</f>
        <v>317</v>
      </c>
      <c r="F194" t="str">
        <f t="shared" ref="F194:F225" si="28">"0000"</f>
        <v>0000</v>
      </c>
    </row>
    <row r="195" spans="1:6">
      <c r="C195" t="str">
        <f t="shared" si="27"/>
        <v>5</v>
      </c>
      <c r="D195">
        <v>42</v>
      </c>
      <c r="E195" t="str">
        <f>"319"</f>
        <v>319</v>
      </c>
      <c r="F195" t="str">
        <f t="shared" si="28"/>
        <v>0000</v>
      </c>
    </row>
    <row r="196" spans="1:6">
      <c r="C196" t="str">
        <f t="shared" si="27"/>
        <v>5</v>
      </c>
      <c r="D196">
        <v>42</v>
      </c>
      <c r="E196" t="str">
        <f>"325"</f>
        <v>325</v>
      </c>
      <c r="F196" t="str">
        <f t="shared" si="28"/>
        <v>0000</v>
      </c>
    </row>
    <row r="197" spans="1:6">
      <c r="C197" t="str">
        <f t="shared" si="27"/>
        <v>5</v>
      </c>
      <c r="D197">
        <v>42</v>
      </c>
      <c r="E197" t="str">
        <f>"321"</f>
        <v>321</v>
      </c>
      <c r="F197" t="str">
        <f t="shared" si="28"/>
        <v>0000</v>
      </c>
    </row>
    <row r="198" spans="1:6">
      <c r="C198" t="str">
        <f t="shared" si="27"/>
        <v>5</v>
      </c>
      <c r="D198">
        <v>42</v>
      </c>
      <c r="E198" t="str">
        <f>"320"</f>
        <v>320</v>
      </c>
      <c r="F198" t="str">
        <f t="shared" si="28"/>
        <v>0000</v>
      </c>
    </row>
    <row r="199" spans="1:6">
      <c r="C199" t="str">
        <f t="shared" si="27"/>
        <v>5</v>
      </c>
      <c r="D199">
        <v>42</v>
      </c>
      <c r="E199" t="str">
        <f>"318"</f>
        <v>318</v>
      </c>
      <c r="F199" t="str">
        <f t="shared" si="28"/>
        <v>0000</v>
      </c>
    </row>
    <row r="200" spans="1:6">
      <c r="C200" t="str">
        <f t="shared" si="27"/>
        <v>5</v>
      </c>
      <c r="D200">
        <v>42</v>
      </c>
      <c r="E200" t="str">
        <f>"329"</f>
        <v>329</v>
      </c>
      <c r="F200" t="str">
        <f t="shared" si="28"/>
        <v>0000</v>
      </c>
    </row>
    <row r="201" spans="1:6">
      <c r="C201" t="str">
        <f t="shared" si="27"/>
        <v>5</v>
      </c>
      <c r="D201">
        <v>42</v>
      </c>
      <c r="E201" t="str">
        <f>"338"</f>
        <v>338</v>
      </c>
      <c r="F201" t="str">
        <f t="shared" si="28"/>
        <v>0000</v>
      </c>
    </row>
    <row r="202" spans="1:6">
      <c r="C202" t="str">
        <f t="shared" si="27"/>
        <v>5</v>
      </c>
      <c r="D202">
        <v>42</v>
      </c>
      <c r="E202" t="str">
        <f>"337"</f>
        <v>337</v>
      </c>
      <c r="F202" t="str">
        <f t="shared" si="28"/>
        <v>0000</v>
      </c>
    </row>
    <row r="203" spans="1:6">
      <c r="C203" t="str">
        <f t="shared" si="27"/>
        <v>5</v>
      </c>
      <c r="D203">
        <v>42</v>
      </c>
      <c r="E203" t="str">
        <f>"336"</f>
        <v>336</v>
      </c>
      <c r="F203" t="str">
        <f t="shared" si="28"/>
        <v>0000</v>
      </c>
    </row>
    <row r="204" spans="1:6">
      <c r="C204" t="str">
        <f t="shared" si="27"/>
        <v>5</v>
      </c>
      <c r="D204">
        <v>42</v>
      </c>
      <c r="E204" t="str">
        <f>"335"</f>
        <v>335</v>
      </c>
      <c r="F204" t="str">
        <f t="shared" si="28"/>
        <v>0000</v>
      </c>
    </row>
    <row r="205" spans="1:6">
      <c r="C205" t="str">
        <f t="shared" si="27"/>
        <v>5</v>
      </c>
      <c r="D205">
        <v>42</v>
      </c>
      <c r="E205" t="str">
        <f>"334"</f>
        <v>334</v>
      </c>
      <c r="F205" t="str">
        <f t="shared" si="28"/>
        <v>0000</v>
      </c>
    </row>
    <row r="206" spans="1:6">
      <c r="C206" t="str">
        <f t="shared" si="27"/>
        <v>5</v>
      </c>
      <c r="D206">
        <v>42</v>
      </c>
      <c r="E206" t="str">
        <f>"333"</f>
        <v>333</v>
      </c>
      <c r="F206" t="str">
        <f t="shared" si="28"/>
        <v>0000</v>
      </c>
    </row>
    <row r="207" spans="1:6">
      <c r="C207" t="str">
        <f t="shared" si="27"/>
        <v>5</v>
      </c>
      <c r="D207">
        <v>42</v>
      </c>
      <c r="E207" t="str">
        <f>"332"</f>
        <v>332</v>
      </c>
      <c r="F207" t="str">
        <f t="shared" si="28"/>
        <v>0000</v>
      </c>
    </row>
    <row r="208" spans="1:6">
      <c r="C208" t="str">
        <f t="shared" si="27"/>
        <v>5</v>
      </c>
      <c r="D208">
        <v>42</v>
      </c>
      <c r="E208" t="str">
        <f>"331"</f>
        <v>331</v>
      </c>
      <c r="F208" t="str">
        <f t="shared" si="28"/>
        <v>0000</v>
      </c>
    </row>
    <row r="209" spans="1:6">
      <c r="C209" t="str">
        <f t="shared" si="27"/>
        <v>5</v>
      </c>
      <c r="D209">
        <v>42</v>
      </c>
      <c r="E209" t="str">
        <f>"330"</f>
        <v>330</v>
      </c>
      <c r="F209" t="str">
        <f t="shared" si="28"/>
        <v>0000</v>
      </c>
    </row>
    <row r="210" spans="1:6">
      <c r="C210" t="str">
        <f t="shared" si="27"/>
        <v>5</v>
      </c>
      <c r="D210">
        <v>42</v>
      </c>
      <c r="E210" t="str">
        <f>"926"</f>
        <v>926</v>
      </c>
      <c r="F210" t="str">
        <f t="shared" si="28"/>
        <v>0000</v>
      </c>
    </row>
    <row r="211" spans="1:6">
      <c r="C211" t="str">
        <f t="shared" si="27"/>
        <v>5</v>
      </c>
      <c r="D211">
        <v>42</v>
      </c>
      <c r="E211" t="str">
        <f>"747"</f>
        <v>747</v>
      </c>
      <c r="F211" t="str">
        <f t="shared" si="28"/>
        <v>0000</v>
      </c>
    </row>
    <row r="212" spans="1:6">
      <c r="C212" t="str">
        <f t="shared" si="27"/>
        <v>5</v>
      </c>
      <c r="D212">
        <v>42</v>
      </c>
      <c r="E212" t="str">
        <f>"743"</f>
        <v>743</v>
      </c>
      <c r="F212" t="str">
        <f t="shared" si="28"/>
        <v>0000</v>
      </c>
    </row>
    <row r="213" spans="1:6">
      <c r="C213" t="str">
        <f t="shared" si="27"/>
        <v>5</v>
      </c>
      <c r="D213">
        <v>42</v>
      </c>
      <c r="E213" t="str">
        <f>"690"</f>
        <v>690</v>
      </c>
      <c r="F213" t="str">
        <f t="shared" si="28"/>
        <v>0000</v>
      </c>
    </row>
    <row r="214" spans="1:6">
      <c r="C214" t="str">
        <f t="shared" si="27"/>
        <v>5</v>
      </c>
      <c r="D214">
        <v>42</v>
      </c>
      <c r="E214" t="str">
        <f>"563"</f>
        <v>563</v>
      </c>
      <c r="F214" t="str">
        <f t="shared" si="28"/>
        <v>0000</v>
      </c>
    </row>
    <row r="215" spans="1:6">
      <c r="C215" t="str">
        <f t="shared" si="27"/>
        <v>5</v>
      </c>
      <c r="D215">
        <v>42</v>
      </c>
      <c r="E215" t="str">
        <f>"562"</f>
        <v>562</v>
      </c>
      <c r="F215" t="str">
        <f t="shared" si="28"/>
        <v>0000</v>
      </c>
    </row>
    <row r="216" spans="1:6">
      <c r="C216" t="str">
        <f t="shared" si="27"/>
        <v>5</v>
      </c>
      <c r="D216">
        <v>42</v>
      </c>
      <c r="E216" t="str">
        <f>"340"</f>
        <v>340</v>
      </c>
      <c r="F216" t="str">
        <f t="shared" si="28"/>
        <v>0000</v>
      </c>
    </row>
    <row r="217" spans="1:6">
      <c r="C217" t="str">
        <f t="shared" si="27"/>
        <v>5</v>
      </c>
      <c r="D217">
        <v>42</v>
      </c>
      <c r="E217" t="str">
        <f>"339"</f>
        <v>339</v>
      </c>
      <c r="F217" t="str">
        <f t="shared" si="28"/>
        <v>0000</v>
      </c>
    </row>
    <row r="218" spans="1:6">
      <c r="A218" t="str">
        <f>"E480-2"</f>
        <v>E480-2</v>
      </c>
      <c r="B218" t="str">
        <f>"VIA MOGADISCIO  49-"</f>
        <v>VIA MOGADISCIO  49-</v>
      </c>
      <c r="C218" t="str">
        <f t="shared" si="27"/>
        <v>5</v>
      </c>
      <c r="D218">
        <v>42</v>
      </c>
      <c r="E218" t="str">
        <f>"317"</f>
        <v>317</v>
      </c>
      <c r="F218" t="str">
        <f t="shared" si="28"/>
        <v>0000</v>
      </c>
    </row>
    <row r="219" spans="1:6">
      <c r="C219" t="str">
        <f t="shared" si="27"/>
        <v>5</v>
      </c>
      <c r="D219">
        <v>42</v>
      </c>
      <c r="E219" t="str">
        <f>"318"</f>
        <v>318</v>
      </c>
      <c r="F219" t="str">
        <f t="shared" si="28"/>
        <v>0000</v>
      </c>
    </row>
    <row r="220" spans="1:6">
      <c r="C220" t="str">
        <f t="shared" si="27"/>
        <v>5</v>
      </c>
      <c r="D220">
        <v>42</v>
      </c>
      <c r="E220" t="str">
        <f>"320"</f>
        <v>320</v>
      </c>
      <c r="F220" t="str">
        <f t="shared" si="28"/>
        <v>0000</v>
      </c>
    </row>
    <row r="221" spans="1:6">
      <c r="C221" t="str">
        <f t="shared" si="27"/>
        <v>5</v>
      </c>
      <c r="D221">
        <v>42</v>
      </c>
      <c r="E221" t="str">
        <f>"329"</f>
        <v>329</v>
      </c>
      <c r="F221" t="str">
        <f t="shared" si="28"/>
        <v>0000</v>
      </c>
    </row>
    <row r="222" spans="1:6">
      <c r="C222" t="str">
        <f t="shared" si="27"/>
        <v>5</v>
      </c>
      <c r="D222">
        <v>42</v>
      </c>
      <c r="E222" t="str">
        <f>"325"</f>
        <v>325</v>
      </c>
      <c r="F222" t="str">
        <f t="shared" si="28"/>
        <v>0000</v>
      </c>
    </row>
    <row r="223" spans="1:6">
      <c r="C223" t="str">
        <f t="shared" si="27"/>
        <v>5</v>
      </c>
      <c r="D223">
        <v>42</v>
      </c>
      <c r="E223" t="str">
        <f>"321"</f>
        <v>321</v>
      </c>
      <c r="F223" t="str">
        <f t="shared" si="28"/>
        <v>0000</v>
      </c>
    </row>
    <row r="224" spans="1:6">
      <c r="C224" t="str">
        <f t="shared" si="27"/>
        <v>5</v>
      </c>
      <c r="D224">
        <v>42</v>
      </c>
      <c r="E224" t="str">
        <f>"319"</f>
        <v>319</v>
      </c>
      <c r="F224" t="str">
        <f t="shared" si="28"/>
        <v>0000</v>
      </c>
    </row>
    <row r="225" spans="3:6">
      <c r="C225" t="str">
        <f t="shared" si="27"/>
        <v>5</v>
      </c>
      <c r="D225">
        <v>42</v>
      </c>
      <c r="E225" t="str">
        <f>"330"</f>
        <v>330</v>
      </c>
      <c r="F225" t="str">
        <f t="shared" si="28"/>
        <v>0000</v>
      </c>
    </row>
    <row r="226" spans="3:6">
      <c r="C226" t="str">
        <f t="shared" ref="C226:C242" si="29">"5"</f>
        <v>5</v>
      </c>
      <c r="D226">
        <v>42</v>
      </c>
      <c r="E226" t="str">
        <f>"926"</f>
        <v>926</v>
      </c>
      <c r="F226" t="str">
        <f t="shared" ref="F226:F242" si="30">"0000"</f>
        <v>0000</v>
      </c>
    </row>
    <row r="227" spans="3:6">
      <c r="C227" t="str">
        <f t="shared" si="29"/>
        <v>5</v>
      </c>
      <c r="D227">
        <v>42</v>
      </c>
      <c r="E227" t="str">
        <f>"747"</f>
        <v>747</v>
      </c>
      <c r="F227" t="str">
        <f t="shared" si="30"/>
        <v>0000</v>
      </c>
    </row>
    <row r="228" spans="3:6">
      <c r="C228" t="str">
        <f t="shared" si="29"/>
        <v>5</v>
      </c>
      <c r="D228">
        <v>42</v>
      </c>
      <c r="E228" t="str">
        <f>"743"</f>
        <v>743</v>
      </c>
      <c r="F228" t="str">
        <f t="shared" si="30"/>
        <v>0000</v>
      </c>
    </row>
    <row r="229" spans="3:6">
      <c r="C229" t="str">
        <f t="shared" si="29"/>
        <v>5</v>
      </c>
      <c r="D229">
        <v>42</v>
      </c>
      <c r="E229" t="str">
        <f>"690"</f>
        <v>690</v>
      </c>
      <c r="F229" t="str">
        <f t="shared" si="30"/>
        <v>0000</v>
      </c>
    </row>
    <row r="230" spans="3:6">
      <c r="C230" t="str">
        <f t="shared" si="29"/>
        <v>5</v>
      </c>
      <c r="D230">
        <v>42</v>
      </c>
      <c r="E230" t="str">
        <f>"563"</f>
        <v>563</v>
      </c>
      <c r="F230" t="str">
        <f t="shared" si="30"/>
        <v>0000</v>
      </c>
    </row>
    <row r="231" spans="3:6">
      <c r="C231" t="str">
        <f t="shared" si="29"/>
        <v>5</v>
      </c>
      <c r="D231">
        <v>42</v>
      </c>
      <c r="E231" t="str">
        <f>"562"</f>
        <v>562</v>
      </c>
      <c r="F231" t="str">
        <f t="shared" si="30"/>
        <v>0000</v>
      </c>
    </row>
    <row r="232" spans="3:6">
      <c r="C232" t="str">
        <f t="shared" si="29"/>
        <v>5</v>
      </c>
      <c r="D232">
        <v>42</v>
      </c>
      <c r="E232" t="str">
        <f>"340"</f>
        <v>340</v>
      </c>
      <c r="F232" t="str">
        <f t="shared" si="30"/>
        <v>0000</v>
      </c>
    </row>
    <row r="233" spans="3:6">
      <c r="C233" t="str">
        <f t="shared" si="29"/>
        <v>5</v>
      </c>
      <c r="D233">
        <v>42</v>
      </c>
      <c r="E233" t="str">
        <f>"339"</f>
        <v>339</v>
      </c>
      <c r="F233" t="str">
        <f t="shared" si="30"/>
        <v>0000</v>
      </c>
    </row>
    <row r="234" spans="3:6">
      <c r="C234" t="str">
        <f t="shared" si="29"/>
        <v>5</v>
      </c>
      <c r="D234">
        <v>42</v>
      </c>
      <c r="E234" t="str">
        <f>"338"</f>
        <v>338</v>
      </c>
      <c r="F234" t="str">
        <f t="shared" si="30"/>
        <v>0000</v>
      </c>
    </row>
    <row r="235" spans="3:6">
      <c r="C235" t="str">
        <f t="shared" si="29"/>
        <v>5</v>
      </c>
      <c r="D235">
        <v>42</v>
      </c>
      <c r="E235" t="str">
        <f>"337"</f>
        <v>337</v>
      </c>
      <c r="F235" t="str">
        <f t="shared" si="30"/>
        <v>0000</v>
      </c>
    </row>
    <row r="236" spans="3:6">
      <c r="C236" t="str">
        <f t="shared" si="29"/>
        <v>5</v>
      </c>
      <c r="D236">
        <v>42</v>
      </c>
      <c r="E236" t="str">
        <f>"336"</f>
        <v>336</v>
      </c>
      <c r="F236" t="str">
        <f t="shared" si="30"/>
        <v>0000</v>
      </c>
    </row>
    <row r="237" spans="3:6">
      <c r="C237" t="str">
        <f t="shared" si="29"/>
        <v>5</v>
      </c>
      <c r="D237">
        <v>42</v>
      </c>
      <c r="E237" t="str">
        <f>"335"</f>
        <v>335</v>
      </c>
      <c r="F237" t="str">
        <f t="shared" si="30"/>
        <v>0000</v>
      </c>
    </row>
    <row r="238" spans="3:6">
      <c r="C238" t="str">
        <f t="shared" si="29"/>
        <v>5</v>
      </c>
      <c r="D238">
        <v>42</v>
      </c>
      <c r="E238" t="str">
        <f>"334"</f>
        <v>334</v>
      </c>
      <c r="F238" t="str">
        <f t="shared" si="30"/>
        <v>0000</v>
      </c>
    </row>
    <row r="239" spans="3:6">
      <c r="C239" t="str">
        <f t="shared" si="29"/>
        <v>5</v>
      </c>
      <c r="D239">
        <v>42</v>
      </c>
      <c r="E239" t="str">
        <f>"333"</f>
        <v>333</v>
      </c>
      <c r="F239" t="str">
        <f t="shared" si="30"/>
        <v>0000</v>
      </c>
    </row>
    <row r="240" spans="3:6">
      <c r="C240" t="str">
        <f t="shared" si="29"/>
        <v>5</v>
      </c>
      <c r="D240">
        <v>42</v>
      </c>
      <c r="E240" t="str">
        <f>"332"</f>
        <v>332</v>
      </c>
      <c r="F240" t="str">
        <f t="shared" si="30"/>
        <v>0000</v>
      </c>
    </row>
    <row r="241" spans="1:6">
      <c r="C241" t="str">
        <f t="shared" si="29"/>
        <v>5</v>
      </c>
      <c r="D241">
        <v>42</v>
      </c>
      <c r="E241" t="str">
        <f>"331"</f>
        <v>331</v>
      </c>
      <c r="F241" t="str">
        <f t="shared" si="30"/>
        <v>0000</v>
      </c>
    </row>
    <row r="242" spans="1:6">
      <c r="A242" t="str">
        <f>"E482-1"</f>
        <v>E482-1</v>
      </c>
      <c r="B242" t="str">
        <f>"VIA CADEIA VICINO AL 1-"</f>
        <v>VIA CADEIA VICINO AL 1-</v>
      </c>
      <c r="C242" t="str">
        <f t="shared" si="29"/>
        <v>5</v>
      </c>
      <c r="D242">
        <v>7</v>
      </c>
      <c r="E242" t="str">
        <f>"769"</f>
        <v>769</v>
      </c>
      <c r="F242" t="str">
        <f t="shared" si="30"/>
        <v>0000</v>
      </c>
    </row>
    <row r="243" spans="1:6">
      <c r="A243" t="str">
        <f>"E501-1"</f>
        <v>E501-1</v>
      </c>
      <c r="B243" t="str">
        <f>"VIA DEL VEILINO  14R-"</f>
        <v>VIA DEL VEILINO  14R-</v>
      </c>
      <c r="C243" t="str">
        <f>"STA"</f>
        <v>STA</v>
      </c>
      <c r="D243">
        <v>25</v>
      </c>
      <c r="E243" t="str">
        <f>"304"</f>
        <v>304</v>
      </c>
      <c r="F243" t="str">
        <f>"2"</f>
        <v>2</v>
      </c>
    </row>
    <row r="244" spans="1:6">
      <c r="A244" t="str">
        <f>"E506-1"</f>
        <v>E506-1</v>
      </c>
      <c r="B244" t="str">
        <f>"VIA NICOLO COSTA  7A-"</f>
        <v>VIA NICOLO COSTA  7A-</v>
      </c>
      <c r="C244" t="str">
        <f>"GED"</f>
        <v>GED</v>
      </c>
      <c r="D244">
        <v>33</v>
      </c>
      <c r="E244" t="str">
        <f>"173"</f>
        <v>173</v>
      </c>
      <c r="F244" t="str">
        <f>"3"</f>
        <v>3</v>
      </c>
    </row>
    <row r="245" spans="1:6">
      <c r="C245" t="str">
        <f>"GED"</f>
        <v>GED</v>
      </c>
      <c r="D245">
        <v>33</v>
      </c>
      <c r="E245" t="str">
        <f>"175"</f>
        <v>175</v>
      </c>
      <c r="F245" t="str">
        <f>"3"</f>
        <v>3</v>
      </c>
    </row>
    <row r="246" spans="1:6">
      <c r="C246" t="str">
        <f>"GED"</f>
        <v>GED</v>
      </c>
      <c r="D246">
        <v>33</v>
      </c>
      <c r="E246" t="str">
        <f>"174"</f>
        <v>174</v>
      </c>
      <c r="F246" t="str">
        <f>"4"</f>
        <v>4</v>
      </c>
    </row>
    <row r="247" spans="1:6">
      <c r="A247" t="str">
        <f>"E507-1"</f>
        <v>E507-1</v>
      </c>
      <c r="B247" t="str">
        <f>"SALITA SANT ANTONINO VICINO AL 48A-"</f>
        <v>SALITA SANT ANTONINO VICINO AL 48A-</v>
      </c>
      <c r="C247" t="str">
        <f>"STA"</f>
        <v>STA</v>
      </c>
      <c r="D247">
        <v>31</v>
      </c>
      <c r="E247" t="str">
        <f>"332"</f>
        <v>332</v>
      </c>
      <c r="F247" t="str">
        <f t="shared" ref="F247:F265" si="31">"0000"</f>
        <v>0000</v>
      </c>
    </row>
    <row r="248" spans="1:6">
      <c r="A248" t="str">
        <f>"E510-1"</f>
        <v>E510-1</v>
      </c>
      <c r="B248" t="str">
        <f>"VIA PIACENZA  20-"</f>
        <v>VIA PIACENZA  20-</v>
      </c>
      <c r="C248" t="str">
        <f>"STA"</f>
        <v>STA</v>
      </c>
      <c r="D248">
        <v>26</v>
      </c>
      <c r="E248" t="str">
        <f>"200"</f>
        <v>200</v>
      </c>
      <c r="F248" t="str">
        <f t="shared" si="31"/>
        <v>0000</v>
      </c>
    </row>
    <row r="249" spans="1:6">
      <c r="A249" t="str">
        <f>"E518-1"</f>
        <v>E518-1</v>
      </c>
      <c r="B249" t="str">
        <f>"PIAZZALE BLIGNY  2-"</f>
        <v>PIAZZALE BLIGNY  2-</v>
      </c>
      <c r="C249" t="str">
        <f t="shared" ref="C249:C263" si="32">"BAV"</f>
        <v>BAV</v>
      </c>
      <c r="D249">
        <v>41</v>
      </c>
      <c r="E249" t="str">
        <f>"2"</f>
        <v>2</v>
      </c>
      <c r="F249" t="str">
        <f t="shared" si="31"/>
        <v>0000</v>
      </c>
    </row>
    <row r="250" spans="1:6">
      <c r="C250" t="str">
        <f t="shared" si="32"/>
        <v>BAV</v>
      </c>
      <c r="D250">
        <v>41</v>
      </c>
      <c r="E250" t="str">
        <f>"528"</f>
        <v>528</v>
      </c>
      <c r="F250" t="str">
        <f t="shared" si="31"/>
        <v>0000</v>
      </c>
    </row>
    <row r="251" spans="1:6">
      <c r="C251" t="str">
        <f t="shared" si="32"/>
        <v>BAV</v>
      </c>
      <c r="D251">
        <v>41</v>
      </c>
      <c r="E251" t="str">
        <f>"527"</f>
        <v>527</v>
      </c>
      <c r="F251" t="str">
        <f t="shared" si="31"/>
        <v>0000</v>
      </c>
    </row>
    <row r="252" spans="1:6">
      <c r="C252" t="str">
        <f t="shared" si="32"/>
        <v>BAV</v>
      </c>
      <c r="D252">
        <v>41</v>
      </c>
      <c r="E252" t="str">
        <f>"522"</f>
        <v>522</v>
      </c>
      <c r="F252" t="str">
        <f t="shared" si="31"/>
        <v>0000</v>
      </c>
    </row>
    <row r="253" spans="1:6">
      <c r="C253" t="str">
        <f t="shared" si="32"/>
        <v>BAV</v>
      </c>
      <c r="D253">
        <v>41</v>
      </c>
      <c r="E253" t="str">
        <f>"523"</f>
        <v>523</v>
      </c>
      <c r="F253" t="str">
        <f t="shared" si="31"/>
        <v>0000</v>
      </c>
    </row>
    <row r="254" spans="1:6">
      <c r="C254" t="str">
        <f t="shared" si="32"/>
        <v>BAV</v>
      </c>
      <c r="D254">
        <v>41</v>
      </c>
      <c r="E254" t="str">
        <f>"524"</f>
        <v>524</v>
      </c>
      <c r="F254" t="str">
        <f t="shared" si="31"/>
        <v>0000</v>
      </c>
    </row>
    <row r="255" spans="1:6">
      <c r="C255" t="str">
        <f t="shared" si="32"/>
        <v>BAV</v>
      </c>
      <c r="D255">
        <v>41</v>
      </c>
      <c r="E255" t="str">
        <f>"526"</f>
        <v>526</v>
      </c>
      <c r="F255" t="str">
        <f t="shared" si="31"/>
        <v>0000</v>
      </c>
    </row>
    <row r="256" spans="1:6">
      <c r="C256" t="str">
        <f t="shared" si="32"/>
        <v>BAV</v>
      </c>
      <c r="D256">
        <v>41</v>
      </c>
      <c r="E256" t="str">
        <f>"525"</f>
        <v>525</v>
      </c>
      <c r="F256" t="str">
        <f t="shared" si="31"/>
        <v>0000</v>
      </c>
    </row>
    <row r="257" spans="1:6">
      <c r="C257" t="str">
        <f t="shared" si="32"/>
        <v>BAV</v>
      </c>
      <c r="D257">
        <v>41</v>
      </c>
      <c r="E257" t="str">
        <f>"521"</f>
        <v>521</v>
      </c>
      <c r="F257" t="str">
        <f t="shared" si="31"/>
        <v>0000</v>
      </c>
    </row>
    <row r="258" spans="1:6">
      <c r="C258" t="str">
        <f t="shared" si="32"/>
        <v>BAV</v>
      </c>
      <c r="D258">
        <v>41</v>
      </c>
      <c r="E258" t="str">
        <f>"3"</f>
        <v>3</v>
      </c>
      <c r="F258" t="str">
        <f t="shared" si="31"/>
        <v>0000</v>
      </c>
    </row>
    <row r="259" spans="1:6">
      <c r="A259" t="str">
        <f>"E519-1"</f>
        <v>E519-1</v>
      </c>
      <c r="B259" t="str">
        <f>"PIAZZALE BLIGNY  3-"</f>
        <v>PIAZZALE BLIGNY  3-</v>
      </c>
      <c r="C259" t="str">
        <f t="shared" si="32"/>
        <v>BAV</v>
      </c>
      <c r="D259">
        <v>41</v>
      </c>
      <c r="E259" t="str">
        <f>"269"</f>
        <v>269</v>
      </c>
      <c r="F259" t="str">
        <f t="shared" si="31"/>
        <v>0000</v>
      </c>
    </row>
    <row r="260" spans="1:6">
      <c r="C260" t="str">
        <f t="shared" si="32"/>
        <v>BAV</v>
      </c>
      <c r="D260">
        <v>41</v>
      </c>
      <c r="E260" t="str">
        <f>"519"</f>
        <v>519</v>
      </c>
      <c r="F260" t="str">
        <f t="shared" si="31"/>
        <v>0000</v>
      </c>
    </row>
    <row r="261" spans="1:6">
      <c r="C261" t="str">
        <f t="shared" si="32"/>
        <v>BAV</v>
      </c>
      <c r="D261">
        <v>41</v>
      </c>
      <c r="E261" t="str">
        <f>"520"</f>
        <v>520</v>
      </c>
      <c r="F261" t="str">
        <f t="shared" si="31"/>
        <v>0000</v>
      </c>
    </row>
    <row r="262" spans="1:6">
      <c r="C262" t="str">
        <f t="shared" si="32"/>
        <v>BAV</v>
      </c>
      <c r="D262">
        <v>41</v>
      </c>
      <c r="E262" t="str">
        <f>"517"</f>
        <v>517</v>
      </c>
      <c r="F262" t="str">
        <f t="shared" si="31"/>
        <v>0000</v>
      </c>
    </row>
    <row r="263" spans="1:6">
      <c r="C263" t="str">
        <f t="shared" si="32"/>
        <v>BAV</v>
      </c>
      <c r="D263">
        <v>41</v>
      </c>
      <c r="E263" t="str">
        <f>"518"</f>
        <v>518</v>
      </c>
      <c r="F263" t="str">
        <f t="shared" si="31"/>
        <v>0000</v>
      </c>
    </row>
    <row r="264" spans="1:6">
      <c r="A264" t="str">
        <f>"E520-1"</f>
        <v>E520-1</v>
      </c>
      <c r="B264" t="str">
        <f>"PIAZZALE BLIGNY VICINO AL 3-"</f>
        <v>PIAZZALE BLIGNY VICINO AL 3-</v>
      </c>
      <c r="C264" t="str">
        <f>"5"</f>
        <v>5</v>
      </c>
      <c r="D264">
        <v>41</v>
      </c>
      <c r="E264" t="str">
        <f>"862"</f>
        <v>862</v>
      </c>
      <c r="F264" t="str">
        <f t="shared" si="31"/>
        <v>0000</v>
      </c>
    </row>
    <row r="265" spans="1:6">
      <c r="C265" t="str">
        <f>"5"</f>
        <v>5</v>
      </c>
      <c r="D265">
        <v>41</v>
      </c>
      <c r="E265" t="str">
        <f>"863"</f>
        <v>863</v>
      </c>
      <c r="F265" t="str">
        <f t="shared" si="31"/>
        <v>0000</v>
      </c>
    </row>
    <row r="266" spans="1:6">
      <c r="A266" t="str">
        <f>"E521-1"</f>
        <v>E521-1</v>
      </c>
      <c r="B266" t="str">
        <f>"PIAZZALE BLIGNY  1R-"</f>
        <v>PIAZZALE BLIGNY  1R-</v>
      </c>
      <c r="C266" t="str">
        <f t="shared" ref="C266:C280" si="33">"BAV"</f>
        <v>BAV</v>
      </c>
      <c r="D266">
        <v>41</v>
      </c>
      <c r="E266" t="str">
        <f t="shared" ref="E266:E280" si="34">"511"</f>
        <v>511</v>
      </c>
      <c r="F266" t="str">
        <f>"1"</f>
        <v>1</v>
      </c>
    </row>
    <row r="267" spans="1:6">
      <c r="A267" t="str">
        <f>"E521-2"</f>
        <v>E521-2</v>
      </c>
      <c r="B267" t="str">
        <f>"PIAZZALE BLIGNY  2R-"</f>
        <v>PIAZZALE BLIGNY  2R-</v>
      </c>
      <c r="C267" t="str">
        <f t="shared" si="33"/>
        <v>BAV</v>
      </c>
      <c r="D267">
        <v>41</v>
      </c>
      <c r="E267" t="str">
        <f t="shared" si="34"/>
        <v>511</v>
      </c>
      <c r="F267" t="str">
        <f>"2"</f>
        <v>2</v>
      </c>
    </row>
    <row r="268" spans="1:6">
      <c r="A268" t="str">
        <f>"E521-3"</f>
        <v>E521-3</v>
      </c>
      <c r="B268" t="str">
        <f t="shared" ref="B268:B275" si="35">"PIAZZALE BLIGNY  1-"</f>
        <v>PIAZZALE BLIGNY  1-</v>
      </c>
      <c r="C268" t="str">
        <f t="shared" si="33"/>
        <v>BAV</v>
      </c>
      <c r="D268">
        <v>41</v>
      </c>
      <c r="E268" t="str">
        <f t="shared" si="34"/>
        <v>511</v>
      </c>
      <c r="F268" t="str">
        <f>"3"</f>
        <v>3</v>
      </c>
    </row>
    <row r="269" spans="1:6">
      <c r="A269" t="str">
        <f>"E521-4"</f>
        <v>E521-4</v>
      </c>
      <c r="B269" t="str">
        <f t="shared" si="35"/>
        <v>PIAZZALE BLIGNY  1-</v>
      </c>
      <c r="C269" t="str">
        <f t="shared" si="33"/>
        <v>BAV</v>
      </c>
      <c r="D269">
        <v>41</v>
      </c>
      <c r="E269" t="str">
        <f t="shared" si="34"/>
        <v>511</v>
      </c>
      <c r="F269" t="str">
        <f>"4"</f>
        <v>4</v>
      </c>
    </row>
    <row r="270" spans="1:6">
      <c r="A270" t="str">
        <f>"E521-5"</f>
        <v>E521-5</v>
      </c>
      <c r="B270" t="str">
        <f t="shared" si="35"/>
        <v>PIAZZALE BLIGNY  1-</v>
      </c>
      <c r="C270" t="str">
        <f t="shared" si="33"/>
        <v>BAV</v>
      </c>
      <c r="D270">
        <v>41</v>
      </c>
      <c r="E270" t="str">
        <f t="shared" si="34"/>
        <v>511</v>
      </c>
      <c r="F270" t="str">
        <f>"5"</f>
        <v>5</v>
      </c>
    </row>
    <row r="271" spans="1:6">
      <c r="A271" t="str">
        <f>"E521-6"</f>
        <v>E521-6</v>
      </c>
      <c r="B271" t="str">
        <f t="shared" si="35"/>
        <v>PIAZZALE BLIGNY  1-</v>
      </c>
      <c r="C271" t="str">
        <f t="shared" si="33"/>
        <v>BAV</v>
      </c>
      <c r="D271">
        <v>41</v>
      </c>
      <c r="E271" t="str">
        <f t="shared" si="34"/>
        <v>511</v>
      </c>
      <c r="F271" t="str">
        <f>"6"</f>
        <v>6</v>
      </c>
    </row>
    <row r="272" spans="1:6">
      <c r="A272" t="str">
        <f>"E521-7"</f>
        <v>E521-7</v>
      </c>
      <c r="B272" t="str">
        <f t="shared" si="35"/>
        <v>PIAZZALE BLIGNY  1-</v>
      </c>
      <c r="C272" t="str">
        <f t="shared" si="33"/>
        <v>BAV</v>
      </c>
      <c r="D272">
        <v>41</v>
      </c>
      <c r="E272" t="str">
        <f t="shared" si="34"/>
        <v>511</v>
      </c>
      <c r="F272" t="str">
        <f>"7"</f>
        <v>7</v>
      </c>
    </row>
    <row r="273" spans="1:6">
      <c r="A273" t="str">
        <f>"E521-8"</f>
        <v>E521-8</v>
      </c>
      <c r="B273" t="str">
        <f t="shared" si="35"/>
        <v>PIAZZALE BLIGNY  1-</v>
      </c>
      <c r="C273" t="str">
        <f t="shared" si="33"/>
        <v>BAV</v>
      </c>
      <c r="D273">
        <v>41</v>
      </c>
      <c r="E273" t="str">
        <f t="shared" si="34"/>
        <v>511</v>
      </c>
      <c r="F273" t="str">
        <f>"8"</f>
        <v>8</v>
      </c>
    </row>
    <row r="274" spans="1:6">
      <c r="A274" t="str">
        <f>"E521-9"</f>
        <v>E521-9</v>
      </c>
      <c r="B274" t="str">
        <f t="shared" si="35"/>
        <v>PIAZZALE BLIGNY  1-</v>
      </c>
      <c r="C274" t="str">
        <f t="shared" si="33"/>
        <v>BAV</v>
      </c>
      <c r="D274">
        <v>41</v>
      </c>
      <c r="E274" t="str">
        <f t="shared" si="34"/>
        <v>511</v>
      </c>
      <c r="F274" t="str">
        <f>"9"</f>
        <v>9</v>
      </c>
    </row>
    <row r="275" spans="1:6">
      <c r="A275" t="str">
        <f>"E521-10"</f>
        <v>E521-10</v>
      </c>
      <c r="B275" t="str">
        <f t="shared" si="35"/>
        <v>PIAZZALE BLIGNY  1-</v>
      </c>
      <c r="C275" t="str">
        <f t="shared" si="33"/>
        <v>BAV</v>
      </c>
      <c r="D275">
        <v>41</v>
      </c>
      <c r="E275" t="str">
        <f t="shared" si="34"/>
        <v>511</v>
      </c>
      <c r="F275" t="str">
        <f>"10"</f>
        <v>10</v>
      </c>
    </row>
    <row r="276" spans="1:6">
      <c r="A276" t="str">
        <f>"E521-11"</f>
        <v>E521-11</v>
      </c>
      <c r="B276" t="str">
        <f>"PIAZZALE BLIGNY  3-"</f>
        <v>PIAZZALE BLIGNY  3-</v>
      </c>
      <c r="C276" t="str">
        <f t="shared" si="33"/>
        <v>BAV</v>
      </c>
      <c r="D276">
        <v>41</v>
      </c>
      <c r="E276" t="str">
        <f t="shared" si="34"/>
        <v>511</v>
      </c>
      <c r="F276" t="str">
        <f>"11"</f>
        <v>11</v>
      </c>
    </row>
    <row r="277" spans="1:6">
      <c r="A277" t="str">
        <f>"E521-12"</f>
        <v>E521-12</v>
      </c>
      <c r="B277" t="str">
        <f>"PIAZZALE BLIGNY  3-"</f>
        <v>PIAZZALE BLIGNY  3-</v>
      </c>
      <c r="C277" t="str">
        <f t="shared" si="33"/>
        <v>BAV</v>
      </c>
      <c r="D277">
        <v>41</v>
      </c>
      <c r="E277" t="str">
        <f t="shared" si="34"/>
        <v>511</v>
      </c>
      <c r="F277" t="str">
        <f>"12"</f>
        <v>12</v>
      </c>
    </row>
    <row r="278" spans="1:6">
      <c r="A278" t="str">
        <f>"E521-13"</f>
        <v>E521-13</v>
      </c>
      <c r="B278" t="str">
        <f>"PIAZZALE BLIGNY  3-"</f>
        <v>PIAZZALE BLIGNY  3-</v>
      </c>
      <c r="C278" t="str">
        <f t="shared" si="33"/>
        <v>BAV</v>
      </c>
      <c r="D278">
        <v>41</v>
      </c>
      <c r="E278" t="str">
        <f t="shared" si="34"/>
        <v>511</v>
      </c>
      <c r="F278" t="str">
        <f>"13"</f>
        <v>13</v>
      </c>
    </row>
    <row r="279" spans="1:6">
      <c r="A279" t="str">
        <f>"E521-14"</f>
        <v>E521-14</v>
      </c>
      <c r="B279" t="str">
        <f>"PIAZZALE BLIGNY  3-"</f>
        <v>PIAZZALE BLIGNY  3-</v>
      </c>
      <c r="C279" t="str">
        <f t="shared" si="33"/>
        <v>BAV</v>
      </c>
      <c r="D279">
        <v>41</v>
      </c>
      <c r="E279" t="str">
        <f t="shared" si="34"/>
        <v>511</v>
      </c>
      <c r="F279" t="str">
        <f>"14"</f>
        <v>14</v>
      </c>
    </row>
    <row r="280" spans="1:6">
      <c r="A280" t="str">
        <f>"E521-15"</f>
        <v>E521-15</v>
      </c>
      <c r="B280" t="str">
        <f>"PIAZZALE BLIGNY  3-"</f>
        <v>PIAZZALE BLIGNY  3-</v>
      </c>
      <c r="C280" t="str">
        <f t="shared" si="33"/>
        <v>BAV</v>
      </c>
      <c r="D280">
        <v>41</v>
      </c>
      <c r="E280" t="str">
        <f t="shared" si="34"/>
        <v>511</v>
      </c>
      <c r="F280" t="str">
        <f>"15"</f>
        <v>15</v>
      </c>
    </row>
    <row r="281" spans="1:6">
      <c r="A281" t="str">
        <f>"E521-16"</f>
        <v>E521-16</v>
      </c>
      <c r="B281" t="str">
        <f>"PIAZZALE BLIGNY  1-"</f>
        <v>PIAZZALE BLIGNY  1-</v>
      </c>
      <c r="C281" t="str">
        <f>"5"</f>
        <v>5</v>
      </c>
      <c r="D281">
        <v>41</v>
      </c>
      <c r="E281" t="str">
        <f>"851"</f>
        <v>851</v>
      </c>
      <c r="F281" t="str">
        <f t="shared" ref="F281:F293" si="36">"0000"</f>
        <v>0000</v>
      </c>
    </row>
    <row r="282" spans="1:6">
      <c r="A282" t="str">
        <f>"E521-17"</f>
        <v>E521-17</v>
      </c>
      <c r="B282" t="str">
        <f>"PIAZZALE BLIGNY  3-"</f>
        <v>PIAZZALE BLIGNY  3-</v>
      </c>
      <c r="C282" t="str">
        <f>"5"</f>
        <v>5</v>
      </c>
      <c r="D282">
        <v>41</v>
      </c>
      <c r="E282" t="str">
        <f>"851"</f>
        <v>851</v>
      </c>
      <c r="F282" t="str">
        <f t="shared" si="36"/>
        <v>0000</v>
      </c>
    </row>
    <row r="283" spans="1:6">
      <c r="A283" t="str">
        <f>"E521-18"</f>
        <v>E521-18</v>
      </c>
      <c r="B283" t="str">
        <f>"PIAZZALE BLIGNY  2-"</f>
        <v>PIAZZALE BLIGNY  2-</v>
      </c>
      <c r="C283" t="str">
        <f>"5"</f>
        <v>5</v>
      </c>
      <c r="D283">
        <v>41</v>
      </c>
      <c r="E283" t="str">
        <f>"851"</f>
        <v>851</v>
      </c>
      <c r="F283" t="str">
        <f t="shared" si="36"/>
        <v>0000</v>
      </c>
    </row>
    <row r="284" spans="1:6">
      <c r="A284" t="str">
        <f>"E521-19"</f>
        <v>E521-19</v>
      </c>
      <c r="B284" t="str">
        <f>"PIAZZALE BLIGNY  2-"</f>
        <v>PIAZZALE BLIGNY  2-</v>
      </c>
      <c r="C284" t="str">
        <f>"5"</f>
        <v>5</v>
      </c>
      <c r="D284">
        <v>41</v>
      </c>
      <c r="E284" t="str">
        <f>"851"</f>
        <v>851</v>
      </c>
      <c r="F284" t="str">
        <f t="shared" si="36"/>
        <v>0000</v>
      </c>
    </row>
    <row r="285" spans="1:6">
      <c r="A285" t="str">
        <f>"E536-1"</f>
        <v>E536-1</v>
      </c>
      <c r="B285" t="str">
        <f>"VIA SERINO  30-"</f>
        <v>VIA SERINO  30-</v>
      </c>
      <c r="C285" t="str">
        <f>"BAV"</f>
        <v>BAV</v>
      </c>
      <c r="D285">
        <v>44</v>
      </c>
      <c r="E285" t="str">
        <f>"1343"</f>
        <v>1343</v>
      </c>
      <c r="F285" t="str">
        <f t="shared" si="36"/>
        <v>0000</v>
      </c>
    </row>
    <row r="286" spans="1:6">
      <c r="A286" t="str">
        <f>"E551-1"</f>
        <v>E551-1</v>
      </c>
      <c r="B286" t="str">
        <f>"VIA ARAONE DA STRUPPA  14-"</f>
        <v>VIA ARAONE DA STRUPPA  14-</v>
      </c>
      <c r="C286" t="str">
        <f>"5"</f>
        <v>5</v>
      </c>
      <c r="D286">
        <v>32</v>
      </c>
      <c r="E286" t="str">
        <f>"879"</f>
        <v>879</v>
      </c>
      <c r="F286" t="str">
        <f t="shared" si="36"/>
        <v>0000</v>
      </c>
    </row>
    <row r="287" spans="1:6">
      <c r="A287" t="str">
        <f>"E552-1"</f>
        <v>E552-1</v>
      </c>
      <c r="B287" t="str">
        <f>"VIA ARAONE DA STRUPPA VICINO AL 14-"</f>
        <v>VIA ARAONE DA STRUPPA VICINO AL 14-</v>
      </c>
      <c r="C287" t="str">
        <f>"5"</f>
        <v>5</v>
      </c>
      <c r="D287">
        <v>32</v>
      </c>
      <c r="E287" t="str">
        <f>"879"</f>
        <v>879</v>
      </c>
      <c r="F287" t="str">
        <f t="shared" si="36"/>
        <v>0000</v>
      </c>
    </row>
    <row r="288" spans="1:6">
      <c r="A288" t="str">
        <f>"E553-1"</f>
        <v>E553-1</v>
      </c>
      <c r="B288" t="str">
        <f>"SALITA COSTA E POGGIO  3-"</f>
        <v>SALITA COSTA E POGGIO  3-</v>
      </c>
      <c r="C288" t="str">
        <f>"STR"</f>
        <v>STR</v>
      </c>
      <c r="D288">
        <v>25</v>
      </c>
      <c r="E288" t="str">
        <f>"1246"</f>
        <v>1246</v>
      </c>
      <c r="F288" t="str">
        <f t="shared" si="36"/>
        <v>0000</v>
      </c>
    </row>
    <row r="289" spans="1:6">
      <c r="A289" t="str">
        <f>"E554-1"</f>
        <v>E554-1</v>
      </c>
      <c r="B289" t="str">
        <f>"VIA GIOVANNI TROSSARELLI  68-"</f>
        <v>VIA GIOVANNI TROSSARELLI  68-</v>
      </c>
      <c r="C289" t="str">
        <f>"STR"</f>
        <v>STR</v>
      </c>
      <c r="D289">
        <v>29</v>
      </c>
      <c r="E289" t="str">
        <f>"466"</f>
        <v>466</v>
      </c>
      <c r="F289" t="str">
        <f t="shared" si="36"/>
        <v>0000</v>
      </c>
    </row>
    <row r="290" spans="1:6">
      <c r="A290" t="str">
        <f>"E555-1"</f>
        <v>E555-1</v>
      </c>
      <c r="B290" t="str">
        <f>"VIA ENRICO BUSCAGLIA  6-"</f>
        <v>VIA ENRICO BUSCAGLIA  6-</v>
      </c>
      <c r="C290" t="str">
        <f>"STR"</f>
        <v>STR</v>
      </c>
      <c r="D290">
        <v>33</v>
      </c>
      <c r="E290" t="str">
        <f>"287"</f>
        <v>287</v>
      </c>
      <c r="F290" t="str">
        <f t="shared" si="36"/>
        <v>0000</v>
      </c>
    </row>
    <row r="291" spans="1:6">
      <c r="A291" t="str">
        <f>"E555-2"</f>
        <v>E555-2</v>
      </c>
      <c r="B291" t="str">
        <f>"VIA ENRICO BUSCAGLIA  6-"</f>
        <v>VIA ENRICO BUSCAGLIA  6-</v>
      </c>
      <c r="C291" t="str">
        <f>"5"</f>
        <v>5</v>
      </c>
      <c r="D291">
        <v>33</v>
      </c>
      <c r="E291" t="str">
        <f>"287"</f>
        <v>287</v>
      </c>
      <c r="F291" t="str">
        <f t="shared" si="36"/>
        <v>0000</v>
      </c>
    </row>
    <row r="292" spans="1:6">
      <c r="A292" t="str">
        <f>"E556-1"</f>
        <v>E556-1</v>
      </c>
      <c r="B292" t="str">
        <f>"VIA ENRICO BUSCAGLIA  6-"</f>
        <v>VIA ENRICO BUSCAGLIA  6-</v>
      </c>
      <c r="C292" t="str">
        <f t="shared" ref="C292:C299" si="37">"STR"</f>
        <v>STR</v>
      </c>
      <c r="D292">
        <v>33</v>
      </c>
      <c r="E292" t="str">
        <f>"371"</f>
        <v>371</v>
      </c>
      <c r="F292" t="str">
        <f t="shared" si="36"/>
        <v>0000</v>
      </c>
    </row>
    <row r="293" spans="1:6">
      <c r="A293" t="str">
        <f>"E557-1"</f>
        <v>E557-1</v>
      </c>
      <c r="B293" t="str">
        <f>"VIA DI CRETO VICINO AL 28-"</f>
        <v>VIA DI CRETO VICINO AL 28-</v>
      </c>
      <c r="C293" t="str">
        <f t="shared" si="37"/>
        <v>STR</v>
      </c>
      <c r="D293">
        <v>33</v>
      </c>
      <c r="E293" t="str">
        <f>"372"</f>
        <v>372</v>
      </c>
      <c r="F293" t="str">
        <f t="shared" si="36"/>
        <v>0000</v>
      </c>
    </row>
    <row r="294" spans="1:6">
      <c r="A294" t="str">
        <f>"E559-1"</f>
        <v>E559-1</v>
      </c>
      <c r="B294" t="str">
        <f>"VIA STRUPPA  214A-"</f>
        <v>VIA STRUPPA  214A-</v>
      </c>
      <c r="C294" t="str">
        <f t="shared" si="37"/>
        <v>STR</v>
      </c>
      <c r="D294">
        <v>35</v>
      </c>
      <c r="E294" t="str">
        <f>"1026"</f>
        <v>1026</v>
      </c>
      <c r="F294" t="str">
        <f>"1"</f>
        <v>1</v>
      </c>
    </row>
    <row r="295" spans="1:6">
      <c r="A295" t="str">
        <f>"E559-2"</f>
        <v>E559-2</v>
      </c>
      <c r="B295" t="str">
        <f>"VIA STRUPPA  214A-"</f>
        <v>VIA STRUPPA  214A-</v>
      </c>
      <c r="C295" t="str">
        <f t="shared" si="37"/>
        <v>STR</v>
      </c>
      <c r="D295">
        <v>35</v>
      </c>
      <c r="E295" t="str">
        <f>"1026"</f>
        <v>1026</v>
      </c>
      <c r="F295" t="str">
        <f>"2"</f>
        <v>2</v>
      </c>
    </row>
    <row r="296" spans="1:6">
      <c r="A296" t="str">
        <f>"E560-1"</f>
        <v>E560-1</v>
      </c>
      <c r="B296" t="str">
        <f>"VIA BENEDETTO DA PORTO VICINO AL 18-"</f>
        <v>VIA BENEDETTO DA PORTO VICINO AL 18-</v>
      </c>
      <c r="C296" t="str">
        <f t="shared" si="37"/>
        <v>STR</v>
      </c>
      <c r="D296">
        <v>36</v>
      </c>
      <c r="E296" t="str">
        <f>"272"</f>
        <v>272</v>
      </c>
      <c r="F296" t="str">
        <f t="shared" ref="F296:F304" si="38">"0000"</f>
        <v>0000</v>
      </c>
    </row>
    <row r="297" spans="1:6">
      <c r="A297" t="str">
        <f>"E562-1"</f>
        <v>E562-1</v>
      </c>
      <c r="B297" t="str">
        <f>"VIA BENEDETTO DA PORTO  2A-"</f>
        <v>VIA BENEDETTO DA PORTO  2A-</v>
      </c>
      <c r="C297" t="str">
        <f t="shared" si="37"/>
        <v>STR</v>
      </c>
      <c r="D297">
        <v>35</v>
      </c>
      <c r="E297" t="str">
        <f>"339"</f>
        <v>339</v>
      </c>
      <c r="F297" t="str">
        <f t="shared" si="38"/>
        <v>0000</v>
      </c>
    </row>
    <row r="298" spans="1:6">
      <c r="A298" t="str">
        <f>"E565-1"</f>
        <v>E565-1</v>
      </c>
      <c r="B298" t="str">
        <f>"VIA DI CRETO VICINO AL 100R-"</f>
        <v>VIA DI CRETO VICINO AL 100R-</v>
      </c>
      <c r="C298" t="str">
        <f t="shared" si="37"/>
        <v>STR</v>
      </c>
      <c r="D298">
        <v>14</v>
      </c>
      <c r="E298" t="str">
        <f>"256"</f>
        <v>256</v>
      </c>
      <c r="F298" t="str">
        <f t="shared" si="38"/>
        <v>0000</v>
      </c>
    </row>
    <row r="299" spans="1:6">
      <c r="A299" t="str">
        <f>"E567-1"</f>
        <v>E567-1</v>
      </c>
      <c r="B299" t="str">
        <f>"VIA COSTA DI SAN SIRO VICINO AL 8-"</f>
        <v>VIA COSTA DI SAN SIRO VICINO AL 8-</v>
      </c>
      <c r="C299" t="str">
        <f t="shared" si="37"/>
        <v>STR</v>
      </c>
      <c r="D299">
        <v>30</v>
      </c>
      <c r="E299" t="str">
        <f>"14"</f>
        <v>14</v>
      </c>
      <c r="F299" t="str">
        <f t="shared" si="38"/>
        <v>0000</v>
      </c>
    </row>
    <row r="300" spans="1:6">
      <c r="A300" t="str">
        <f>"E568-1"</f>
        <v>E568-1</v>
      </c>
      <c r="B300" t="str">
        <f>"VIA BENEDETTO DA PORTO  14A-"</f>
        <v>VIA BENEDETTO DA PORTO  14A-</v>
      </c>
      <c r="C300" t="str">
        <f>"5"</f>
        <v>5</v>
      </c>
      <c r="D300">
        <v>35</v>
      </c>
      <c r="E300" t="str">
        <f>"113"</f>
        <v>113</v>
      </c>
      <c r="F300" t="str">
        <f t="shared" si="38"/>
        <v>0000</v>
      </c>
    </row>
    <row r="301" spans="1:6">
      <c r="C301" t="str">
        <f>"5"</f>
        <v>5</v>
      </c>
      <c r="D301">
        <v>35</v>
      </c>
      <c r="E301" t="str">
        <f>"676"</f>
        <v>676</v>
      </c>
      <c r="F301" t="str">
        <f t="shared" si="38"/>
        <v>0000</v>
      </c>
    </row>
    <row r="302" spans="1:6">
      <c r="C302" t="str">
        <f>"5"</f>
        <v>5</v>
      </c>
      <c r="D302">
        <v>35</v>
      </c>
      <c r="E302" t="str">
        <f>"675"</f>
        <v>675</v>
      </c>
      <c r="F302" t="str">
        <f t="shared" si="38"/>
        <v>0000</v>
      </c>
    </row>
    <row r="303" spans="1:6">
      <c r="C303" t="str">
        <f>"5"</f>
        <v>5</v>
      </c>
      <c r="D303">
        <v>35</v>
      </c>
      <c r="E303" t="str">
        <f>"115"</f>
        <v>115</v>
      </c>
      <c r="F303" t="str">
        <f t="shared" si="38"/>
        <v>0000</v>
      </c>
    </row>
    <row r="304" spans="1:6">
      <c r="C304" t="str">
        <f>"5"</f>
        <v>5</v>
      </c>
      <c r="D304">
        <v>35</v>
      </c>
      <c r="E304" t="str">
        <f>"116"</f>
        <v>116</v>
      </c>
      <c r="F304" t="str">
        <f t="shared" si="38"/>
        <v>0000</v>
      </c>
    </row>
    <row r="305" spans="1:6">
      <c r="A305" t="str">
        <f>"E569-1"</f>
        <v>E569-1</v>
      </c>
      <c r="B305" t="str">
        <f t="shared" ref="B305:B322" si="39">"VIA EZIO LUCARNO  43-"</f>
        <v>VIA EZIO LUCARNO  43-</v>
      </c>
      <c r="C305" t="str">
        <f t="shared" ref="C305:C322" si="40">"STR"</f>
        <v>STR</v>
      </c>
      <c r="D305">
        <v>32</v>
      </c>
      <c r="E305" t="str">
        <f t="shared" ref="E305:E322" si="41">"407"</f>
        <v>407</v>
      </c>
      <c r="F305" t="str">
        <f>"134"</f>
        <v>134</v>
      </c>
    </row>
    <row r="306" spans="1:6">
      <c r="A306" t="str">
        <f>"E569-3"</f>
        <v>E569-3</v>
      </c>
      <c r="B306" t="str">
        <f t="shared" si="39"/>
        <v>VIA EZIO LUCARNO  43-</v>
      </c>
      <c r="C306" t="str">
        <f t="shared" si="40"/>
        <v>STR</v>
      </c>
      <c r="D306">
        <v>32</v>
      </c>
      <c r="E306" t="str">
        <f t="shared" si="41"/>
        <v>407</v>
      </c>
      <c r="F306" t="str">
        <f>"138"</f>
        <v>138</v>
      </c>
    </row>
    <row r="307" spans="1:6">
      <c r="A307" t="str">
        <f>"E569-5"</f>
        <v>E569-5</v>
      </c>
      <c r="B307" t="str">
        <f t="shared" si="39"/>
        <v>VIA EZIO LUCARNO  43-</v>
      </c>
      <c r="C307" t="str">
        <f t="shared" si="40"/>
        <v>STR</v>
      </c>
      <c r="D307">
        <v>32</v>
      </c>
      <c r="E307" t="str">
        <f t="shared" si="41"/>
        <v>407</v>
      </c>
      <c r="F307" t="str">
        <f>"143"</f>
        <v>143</v>
      </c>
    </row>
    <row r="308" spans="1:6">
      <c r="A308" t="str">
        <f>"E569-6"</f>
        <v>E569-6</v>
      </c>
      <c r="B308" t="str">
        <f t="shared" si="39"/>
        <v>VIA EZIO LUCARNO  43-</v>
      </c>
      <c r="C308" t="str">
        <f t="shared" si="40"/>
        <v>STR</v>
      </c>
      <c r="D308">
        <v>32</v>
      </c>
      <c r="E308" t="str">
        <f t="shared" si="41"/>
        <v>407</v>
      </c>
      <c r="F308" t="str">
        <f>"145"</f>
        <v>145</v>
      </c>
    </row>
    <row r="309" spans="1:6">
      <c r="A309" t="str">
        <f>"E569-8"</f>
        <v>E569-8</v>
      </c>
      <c r="B309" t="str">
        <f t="shared" si="39"/>
        <v>VIA EZIO LUCARNO  43-</v>
      </c>
      <c r="C309" t="str">
        <f t="shared" si="40"/>
        <v>STR</v>
      </c>
      <c r="D309">
        <v>32</v>
      </c>
      <c r="E309" t="str">
        <f t="shared" si="41"/>
        <v>407</v>
      </c>
      <c r="F309" t="str">
        <f>"148"</f>
        <v>148</v>
      </c>
    </row>
    <row r="310" spans="1:6">
      <c r="A310" t="str">
        <f>"E569-9"</f>
        <v>E569-9</v>
      </c>
      <c r="B310" t="str">
        <f t="shared" si="39"/>
        <v>VIA EZIO LUCARNO  43-</v>
      </c>
      <c r="C310" t="str">
        <f t="shared" si="40"/>
        <v>STR</v>
      </c>
      <c r="D310">
        <v>32</v>
      </c>
      <c r="E310" t="str">
        <f t="shared" si="41"/>
        <v>407</v>
      </c>
      <c r="F310" t="str">
        <f>"150"</f>
        <v>150</v>
      </c>
    </row>
    <row r="311" spans="1:6">
      <c r="A311" t="str">
        <f>"E569-11"</f>
        <v>E569-11</v>
      </c>
      <c r="B311" t="str">
        <f t="shared" si="39"/>
        <v>VIA EZIO LUCARNO  43-</v>
      </c>
      <c r="C311" t="str">
        <f t="shared" si="40"/>
        <v>STR</v>
      </c>
      <c r="D311">
        <v>32</v>
      </c>
      <c r="E311" t="str">
        <f t="shared" si="41"/>
        <v>407</v>
      </c>
      <c r="F311" t="str">
        <f>"15"</f>
        <v>15</v>
      </c>
    </row>
    <row r="312" spans="1:6">
      <c r="A312" t="str">
        <f>"E569-14"</f>
        <v>E569-14</v>
      </c>
      <c r="B312" t="str">
        <f t="shared" si="39"/>
        <v>VIA EZIO LUCARNO  43-</v>
      </c>
      <c r="C312" t="str">
        <f t="shared" si="40"/>
        <v>STR</v>
      </c>
      <c r="D312">
        <v>32</v>
      </c>
      <c r="E312" t="str">
        <f t="shared" si="41"/>
        <v>407</v>
      </c>
      <c r="F312" t="str">
        <f>"18"</f>
        <v>18</v>
      </c>
    </row>
    <row r="313" spans="1:6">
      <c r="A313" t="str">
        <f>"E569-15"</f>
        <v>E569-15</v>
      </c>
      <c r="B313" t="str">
        <f t="shared" si="39"/>
        <v>VIA EZIO LUCARNO  43-</v>
      </c>
      <c r="C313" t="str">
        <f t="shared" si="40"/>
        <v>STR</v>
      </c>
      <c r="D313">
        <v>32</v>
      </c>
      <c r="E313" t="str">
        <f t="shared" si="41"/>
        <v>407</v>
      </c>
      <c r="F313" t="str">
        <f>"19"</f>
        <v>19</v>
      </c>
    </row>
    <row r="314" spans="1:6">
      <c r="A314" t="str">
        <f>"E569-16"</f>
        <v>E569-16</v>
      </c>
      <c r="B314" t="str">
        <f t="shared" si="39"/>
        <v>VIA EZIO LUCARNO  43-</v>
      </c>
      <c r="C314" t="str">
        <f t="shared" si="40"/>
        <v>STR</v>
      </c>
      <c r="D314">
        <v>32</v>
      </c>
      <c r="E314" t="str">
        <f t="shared" si="41"/>
        <v>407</v>
      </c>
      <c r="F314" t="str">
        <f>"8"</f>
        <v>8</v>
      </c>
    </row>
    <row r="315" spans="1:6">
      <c r="A315" t="str">
        <f>"E569-17"</f>
        <v>E569-17</v>
      </c>
      <c r="B315" t="str">
        <f t="shared" si="39"/>
        <v>VIA EZIO LUCARNO  43-</v>
      </c>
      <c r="C315" t="str">
        <f t="shared" si="40"/>
        <v>STR</v>
      </c>
      <c r="D315">
        <v>32</v>
      </c>
      <c r="E315" t="str">
        <f t="shared" si="41"/>
        <v>407</v>
      </c>
      <c r="F315" t="str">
        <f>"9"</f>
        <v>9</v>
      </c>
    </row>
    <row r="316" spans="1:6">
      <c r="A316" t="str">
        <f>"E569-18"</f>
        <v>E569-18</v>
      </c>
      <c r="B316" t="str">
        <f t="shared" si="39"/>
        <v>VIA EZIO LUCARNO  43-</v>
      </c>
      <c r="C316" t="str">
        <f t="shared" si="40"/>
        <v>STR</v>
      </c>
      <c r="D316">
        <v>32</v>
      </c>
      <c r="E316" t="str">
        <f t="shared" si="41"/>
        <v>407</v>
      </c>
      <c r="F316" t="str">
        <f>"10"</f>
        <v>10</v>
      </c>
    </row>
    <row r="317" spans="1:6">
      <c r="A317" t="str">
        <f>"E569-19"</f>
        <v>E569-19</v>
      </c>
      <c r="B317" t="str">
        <f t="shared" si="39"/>
        <v>VIA EZIO LUCARNO  43-</v>
      </c>
      <c r="C317" t="str">
        <f t="shared" si="40"/>
        <v>STR</v>
      </c>
      <c r="D317">
        <v>32</v>
      </c>
      <c r="E317" t="str">
        <f t="shared" si="41"/>
        <v>407</v>
      </c>
      <c r="F317" t="str">
        <f>"116"</f>
        <v>116</v>
      </c>
    </row>
    <row r="318" spans="1:6">
      <c r="A318" t="str">
        <f>"E569-21"</f>
        <v>E569-21</v>
      </c>
      <c r="B318" t="str">
        <f t="shared" si="39"/>
        <v>VIA EZIO LUCARNO  43-</v>
      </c>
      <c r="C318" t="str">
        <f t="shared" si="40"/>
        <v>STR</v>
      </c>
      <c r="D318">
        <v>32</v>
      </c>
      <c r="E318" t="str">
        <f t="shared" si="41"/>
        <v>407</v>
      </c>
      <c r="F318" t="str">
        <f>"118"</f>
        <v>118</v>
      </c>
    </row>
    <row r="319" spans="1:6">
      <c r="A319" t="str">
        <f>"E569-23"</f>
        <v>E569-23</v>
      </c>
      <c r="B319" t="str">
        <f t="shared" si="39"/>
        <v>VIA EZIO LUCARNO  43-</v>
      </c>
      <c r="C319" t="str">
        <f t="shared" si="40"/>
        <v>STR</v>
      </c>
      <c r="D319">
        <v>32</v>
      </c>
      <c r="E319" t="str">
        <f t="shared" si="41"/>
        <v>407</v>
      </c>
      <c r="F319" t="str">
        <f>"123"</f>
        <v>123</v>
      </c>
    </row>
    <row r="320" spans="1:6">
      <c r="A320" t="str">
        <f>"E569-24"</f>
        <v>E569-24</v>
      </c>
      <c r="B320" t="str">
        <f t="shared" si="39"/>
        <v>VIA EZIO LUCARNO  43-</v>
      </c>
      <c r="C320" t="str">
        <f t="shared" si="40"/>
        <v>STR</v>
      </c>
      <c r="D320">
        <v>32</v>
      </c>
      <c r="E320" t="str">
        <f t="shared" si="41"/>
        <v>407</v>
      </c>
      <c r="F320" t="str">
        <f>"126"</f>
        <v>126</v>
      </c>
    </row>
    <row r="321" spans="1:6">
      <c r="A321" t="str">
        <f>"E569-26"</f>
        <v>E569-26</v>
      </c>
      <c r="B321" t="str">
        <f t="shared" si="39"/>
        <v>VIA EZIO LUCARNO  43-</v>
      </c>
      <c r="C321" t="str">
        <f t="shared" si="40"/>
        <v>STR</v>
      </c>
      <c r="D321">
        <v>32</v>
      </c>
      <c r="E321" t="str">
        <f t="shared" si="41"/>
        <v>407</v>
      </c>
      <c r="F321" t="str">
        <f>"129"</f>
        <v>129</v>
      </c>
    </row>
    <row r="322" spans="1:6">
      <c r="A322" t="str">
        <f>"E569-27"</f>
        <v>E569-27</v>
      </c>
      <c r="B322" t="str">
        <f t="shared" si="39"/>
        <v>VIA EZIO LUCARNO  43-</v>
      </c>
      <c r="C322" t="str">
        <f t="shared" si="40"/>
        <v>STR</v>
      </c>
      <c r="D322">
        <v>32</v>
      </c>
      <c r="E322" t="str">
        <f t="shared" si="41"/>
        <v>407</v>
      </c>
      <c r="F322" t="str">
        <f>"131"</f>
        <v>131</v>
      </c>
    </row>
    <row r="323" spans="1:6">
      <c r="A323" t="str">
        <f>"E571-1"</f>
        <v>E571-1</v>
      </c>
      <c r="B323" t="str">
        <f>"VIA GUALCO  50A-"</f>
        <v>VIA GUALCO  50A-</v>
      </c>
      <c r="C323" t="str">
        <f t="shared" ref="C323:C386" si="42">"5"</f>
        <v>5</v>
      </c>
      <c r="D323">
        <v>38</v>
      </c>
      <c r="E323" t="str">
        <f>"22"</f>
        <v>22</v>
      </c>
      <c r="F323" t="str">
        <f t="shared" ref="F323:F386" si="43">"0000"</f>
        <v>0000</v>
      </c>
    </row>
    <row r="324" spans="1:6">
      <c r="C324" t="str">
        <f t="shared" si="42"/>
        <v>5</v>
      </c>
      <c r="D324">
        <v>38</v>
      </c>
      <c r="E324" t="str">
        <f>"227"</f>
        <v>227</v>
      </c>
      <c r="F324" t="str">
        <f t="shared" si="43"/>
        <v>0000</v>
      </c>
    </row>
    <row r="325" spans="1:6">
      <c r="C325" t="str">
        <f t="shared" si="42"/>
        <v>5</v>
      </c>
      <c r="D325">
        <v>38</v>
      </c>
      <c r="E325" t="str">
        <f>"259"</f>
        <v>259</v>
      </c>
      <c r="F325" t="str">
        <f t="shared" si="43"/>
        <v>0000</v>
      </c>
    </row>
    <row r="326" spans="1:6">
      <c r="C326" t="str">
        <f t="shared" si="42"/>
        <v>5</v>
      </c>
      <c r="D326">
        <v>38</v>
      </c>
      <c r="E326" t="str">
        <f>"261"</f>
        <v>261</v>
      </c>
      <c r="F326" t="str">
        <f t="shared" si="43"/>
        <v>0000</v>
      </c>
    </row>
    <row r="327" spans="1:6">
      <c r="C327" t="str">
        <f t="shared" si="42"/>
        <v>5</v>
      </c>
      <c r="D327">
        <v>38</v>
      </c>
      <c r="E327" t="str">
        <f>"264"</f>
        <v>264</v>
      </c>
      <c r="F327" t="str">
        <f t="shared" si="43"/>
        <v>0000</v>
      </c>
    </row>
    <row r="328" spans="1:6">
      <c r="C328" t="str">
        <f t="shared" si="42"/>
        <v>5</v>
      </c>
      <c r="D328">
        <v>38</v>
      </c>
      <c r="E328" t="str">
        <f>"266"</f>
        <v>266</v>
      </c>
      <c r="F328" t="str">
        <f t="shared" si="43"/>
        <v>0000</v>
      </c>
    </row>
    <row r="329" spans="1:6">
      <c r="C329" t="str">
        <f t="shared" si="42"/>
        <v>5</v>
      </c>
      <c r="D329">
        <v>38</v>
      </c>
      <c r="E329" t="str">
        <f>"269"</f>
        <v>269</v>
      </c>
      <c r="F329" t="str">
        <f t="shared" si="43"/>
        <v>0000</v>
      </c>
    </row>
    <row r="330" spans="1:6">
      <c r="C330" t="str">
        <f t="shared" si="42"/>
        <v>5</v>
      </c>
      <c r="D330">
        <v>38</v>
      </c>
      <c r="E330" t="str">
        <f>"33"</f>
        <v>33</v>
      </c>
      <c r="F330" t="str">
        <f t="shared" si="43"/>
        <v>0000</v>
      </c>
    </row>
    <row r="331" spans="1:6">
      <c r="C331" t="str">
        <f t="shared" si="42"/>
        <v>5</v>
      </c>
      <c r="D331">
        <v>38</v>
      </c>
      <c r="E331" t="str">
        <f>"32"</f>
        <v>32</v>
      </c>
      <c r="F331" t="str">
        <f t="shared" si="43"/>
        <v>0000</v>
      </c>
    </row>
    <row r="332" spans="1:6">
      <c r="C332" t="str">
        <f t="shared" si="42"/>
        <v>5</v>
      </c>
      <c r="D332">
        <v>38</v>
      </c>
      <c r="E332" t="str">
        <f>"30"</f>
        <v>30</v>
      </c>
      <c r="F332" t="str">
        <f t="shared" si="43"/>
        <v>0000</v>
      </c>
    </row>
    <row r="333" spans="1:6">
      <c r="C333" t="str">
        <f t="shared" si="42"/>
        <v>5</v>
      </c>
      <c r="D333">
        <v>38</v>
      </c>
      <c r="E333" t="str">
        <f>"283"</f>
        <v>283</v>
      </c>
      <c r="F333" t="str">
        <f t="shared" si="43"/>
        <v>0000</v>
      </c>
    </row>
    <row r="334" spans="1:6">
      <c r="C334" t="str">
        <f t="shared" si="42"/>
        <v>5</v>
      </c>
      <c r="D334">
        <v>38</v>
      </c>
      <c r="E334" t="str">
        <f>"270"</f>
        <v>270</v>
      </c>
      <c r="F334" t="str">
        <f t="shared" si="43"/>
        <v>0000</v>
      </c>
    </row>
    <row r="335" spans="1:6">
      <c r="C335" t="str">
        <f t="shared" si="42"/>
        <v>5</v>
      </c>
      <c r="D335">
        <v>38</v>
      </c>
      <c r="E335" t="str">
        <f>"267"</f>
        <v>267</v>
      </c>
      <c r="F335" t="str">
        <f t="shared" si="43"/>
        <v>0000</v>
      </c>
    </row>
    <row r="336" spans="1:6">
      <c r="C336" t="str">
        <f t="shared" si="42"/>
        <v>5</v>
      </c>
      <c r="D336">
        <v>38</v>
      </c>
      <c r="E336" t="str">
        <f>"265"</f>
        <v>265</v>
      </c>
      <c r="F336" t="str">
        <f t="shared" si="43"/>
        <v>0000</v>
      </c>
    </row>
    <row r="337" spans="1:6">
      <c r="C337" t="str">
        <f t="shared" si="42"/>
        <v>5</v>
      </c>
      <c r="D337">
        <v>38</v>
      </c>
      <c r="E337" t="str">
        <f>"263"</f>
        <v>263</v>
      </c>
      <c r="F337" t="str">
        <f t="shared" si="43"/>
        <v>0000</v>
      </c>
    </row>
    <row r="338" spans="1:6">
      <c r="C338" t="str">
        <f t="shared" si="42"/>
        <v>5</v>
      </c>
      <c r="D338">
        <v>38</v>
      </c>
      <c r="E338" t="str">
        <f>"260"</f>
        <v>260</v>
      </c>
      <c r="F338" t="str">
        <f t="shared" si="43"/>
        <v>0000</v>
      </c>
    </row>
    <row r="339" spans="1:6">
      <c r="C339" t="str">
        <f t="shared" si="42"/>
        <v>5</v>
      </c>
      <c r="D339">
        <v>38</v>
      </c>
      <c r="E339" t="str">
        <f>"24"</f>
        <v>24</v>
      </c>
      <c r="F339" t="str">
        <f t="shared" si="43"/>
        <v>0000</v>
      </c>
    </row>
    <row r="340" spans="1:6">
      <c r="C340" t="str">
        <f t="shared" si="42"/>
        <v>5</v>
      </c>
      <c r="D340">
        <v>38</v>
      </c>
      <c r="E340" t="str">
        <f>"220"</f>
        <v>220</v>
      </c>
      <c r="F340" t="str">
        <f t="shared" si="43"/>
        <v>0000</v>
      </c>
    </row>
    <row r="341" spans="1:6">
      <c r="C341" t="str">
        <f t="shared" si="42"/>
        <v>5</v>
      </c>
      <c r="D341">
        <v>38</v>
      </c>
      <c r="E341" t="str">
        <f>"224"</f>
        <v>224</v>
      </c>
      <c r="F341" t="str">
        <f t="shared" si="43"/>
        <v>0000</v>
      </c>
    </row>
    <row r="342" spans="1:6">
      <c r="A342" t="str">
        <f>"E571-3"</f>
        <v>E571-3</v>
      </c>
      <c r="B342" t="str">
        <f>"VIA GUALCO  54-"</f>
        <v>VIA GUALCO  54-</v>
      </c>
      <c r="C342" t="str">
        <f t="shared" si="42"/>
        <v>5</v>
      </c>
      <c r="D342">
        <v>38</v>
      </c>
      <c r="E342" t="str">
        <f>"22"</f>
        <v>22</v>
      </c>
      <c r="F342" t="str">
        <f t="shared" si="43"/>
        <v>0000</v>
      </c>
    </row>
    <row r="343" spans="1:6">
      <c r="C343" t="str">
        <f t="shared" si="42"/>
        <v>5</v>
      </c>
      <c r="D343">
        <v>38</v>
      </c>
      <c r="E343" t="str">
        <f>"260"</f>
        <v>260</v>
      </c>
      <c r="F343" t="str">
        <f t="shared" si="43"/>
        <v>0000</v>
      </c>
    </row>
    <row r="344" spans="1:6">
      <c r="C344" t="str">
        <f t="shared" si="42"/>
        <v>5</v>
      </c>
      <c r="D344">
        <v>38</v>
      </c>
      <c r="E344" t="str">
        <f>"263"</f>
        <v>263</v>
      </c>
      <c r="F344" t="str">
        <f t="shared" si="43"/>
        <v>0000</v>
      </c>
    </row>
    <row r="345" spans="1:6">
      <c r="C345" t="str">
        <f t="shared" si="42"/>
        <v>5</v>
      </c>
      <c r="D345">
        <v>38</v>
      </c>
      <c r="E345" t="str">
        <f>"265"</f>
        <v>265</v>
      </c>
      <c r="F345" t="str">
        <f t="shared" si="43"/>
        <v>0000</v>
      </c>
    </row>
    <row r="346" spans="1:6">
      <c r="C346" t="str">
        <f t="shared" si="42"/>
        <v>5</v>
      </c>
      <c r="D346">
        <v>38</v>
      </c>
      <c r="E346" t="str">
        <f>"33"</f>
        <v>33</v>
      </c>
      <c r="F346" t="str">
        <f t="shared" si="43"/>
        <v>0000</v>
      </c>
    </row>
    <row r="347" spans="1:6">
      <c r="C347" t="str">
        <f t="shared" si="42"/>
        <v>5</v>
      </c>
      <c r="D347">
        <v>38</v>
      </c>
      <c r="E347" t="str">
        <f>"32"</f>
        <v>32</v>
      </c>
      <c r="F347" t="str">
        <f t="shared" si="43"/>
        <v>0000</v>
      </c>
    </row>
    <row r="348" spans="1:6">
      <c r="C348" t="str">
        <f t="shared" si="42"/>
        <v>5</v>
      </c>
      <c r="D348">
        <v>38</v>
      </c>
      <c r="E348" t="str">
        <f>"30"</f>
        <v>30</v>
      </c>
      <c r="F348" t="str">
        <f t="shared" si="43"/>
        <v>0000</v>
      </c>
    </row>
    <row r="349" spans="1:6">
      <c r="C349" t="str">
        <f t="shared" si="42"/>
        <v>5</v>
      </c>
      <c r="D349">
        <v>38</v>
      </c>
      <c r="E349" t="str">
        <f>"283"</f>
        <v>283</v>
      </c>
      <c r="F349" t="str">
        <f t="shared" si="43"/>
        <v>0000</v>
      </c>
    </row>
    <row r="350" spans="1:6">
      <c r="C350" t="str">
        <f t="shared" si="42"/>
        <v>5</v>
      </c>
      <c r="D350">
        <v>38</v>
      </c>
      <c r="E350" t="str">
        <f>"270"</f>
        <v>270</v>
      </c>
      <c r="F350" t="str">
        <f t="shared" si="43"/>
        <v>0000</v>
      </c>
    </row>
    <row r="351" spans="1:6">
      <c r="C351" t="str">
        <f t="shared" si="42"/>
        <v>5</v>
      </c>
      <c r="D351">
        <v>38</v>
      </c>
      <c r="E351" t="str">
        <f>"269"</f>
        <v>269</v>
      </c>
      <c r="F351" t="str">
        <f t="shared" si="43"/>
        <v>0000</v>
      </c>
    </row>
    <row r="352" spans="1:6">
      <c r="C352" t="str">
        <f t="shared" si="42"/>
        <v>5</v>
      </c>
      <c r="D352">
        <v>38</v>
      </c>
      <c r="E352" t="str">
        <f>"267"</f>
        <v>267</v>
      </c>
      <c r="F352" t="str">
        <f t="shared" si="43"/>
        <v>0000</v>
      </c>
    </row>
    <row r="353" spans="1:6">
      <c r="C353" t="str">
        <f t="shared" si="42"/>
        <v>5</v>
      </c>
      <c r="D353">
        <v>38</v>
      </c>
      <c r="E353" t="str">
        <f>"266"</f>
        <v>266</v>
      </c>
      <c r="F353" t="str">
        <f t="shared" si="43"/>
        <v>0000</v>
      </c>
    </row>
    <row r="354" spans="1:6">
      <c r="C354" t="str">
        <f t="shared" si="42"/>
        <v>5</v>
      </c>
      <c r="D354">
        <v>38</v>
      </c>
      <c r="E354" t="str">
        <f>"264"</f>
        <v>264</v>
      </c>
      <c r="F354" t="str">
        <f t="shared" si="43"/>
        <v>0000</v>
      </c>
    </row>
    <row r="355" spans="1:6">
      <c r="C355" t="str">
        <f t="shared" si="42"/>
        <v>5</v>
      </c>
      <c r="D355">
        <v>38</v>
      </c>
      <c r="E355" t="str">
        <f>"261"</f>
        <v>261</v>
      </c>
      <c r="F355" t="str">
        <f t="shared" si="43"/>
        <v>0000</v>
      </c>
    </row>
    <row r="356" spans="1:6">
      <c r="C356" t="str">
        <f t="shared" si="42"/>
        <v>5</v>
      </c>
      <c r="D356">
        <v>38</v>
      </c>
      <c r="E356" t="str">
        <f>"259"</f>
        <v>259</v>
      </c>
      <c r="F356" t="str">
        <f t="shared" si="43"/>
        <v>0000</v>
      </c>
    </row>
    <row r="357" spans="1:6">
      <c r="C357" t="str">
        <f t="shared" si="42"/>
        <v>5</v>
      </c>
      <c r="D357">
        <v>38</v>
      </c>
      <c r="E357" t="str">
        <f>"224"</f>
        <v>224</v>
      </c>
      <c r="F357" t="str">
        <f t="shared" si="43"/>
        <v>0000</v>
      </c>
    </row>
    <row r="358" spans="1:6">
      <c r="C358" t="str">
        <f t="shared" si="42"/>
        <v>5</v>
      </c>
      <c r="D358">
        <v>38</v>
      </c>
      <c r="E358" t="str">
        <f>"227"</f>
        <v>227</v>
      </c>
      <c r="F358" t="str">
        <f t="shared" si="43"/>
        <v>0000</v>
      </c>
    </row>
    <row r="359" spans="1:6">
      <c r="C359" t="str">
        <f t="shared" si="42"/>
        <v>5</v>
      </c>
      <c r="D359">
        <v>38</v>
      </c>
      <c r="E359" t="str">
        <f>"24"</f>
        <v>24</v>
      </c>
      <c r="F359" t="str">
        <f t="shared" si="43"/>
        <v>0000</v>
      </c>
    </row>
    <row r="360" spans="1:6">
      <c r="C360" t="str">
        <f t="shared" si="42"/>
        <v>5</v>
      </c>
      <c r="D360">
        <v>38</v>
      </c>
      <c r="E360" t="str">
        <f>"220"</f>
        <v>220</v>
      </c>
      <c r="F360" t="str">
        <f t="shared" si="43"/>
        <v>0000</v>
      </c>
    </row>
    <row r="361" spans="1:6">
      <c r="A361" t="str">
        <f>"E571-4"</f>
        <v>E571-4</v>
      </c>
      <c r="B361" t="str">
        <f>"VIA GUALCO  54-"</f>
        <v>VIA GUALCO  54-</v>
      </c>
      <c r="C361" t="str">
        <f t="shared" si="42"/>
        <v>5</v>
      </c>
      <c r="D361">
        <v>38</v>
      </c>
      <c r="E361" t="str">
        <f>"22"</f>
        <v>22</v>
      </c>
      <c r="F361" t="str">
        <f t="shared" si="43"/>
        <v>0000</v>
      </c>
    </row>
    <row r="362" spans="1:6">
      <c r="C362" t="str">
        <f t="shared" si="42"/>
        <v>5</v>
      </c>
      <c r="D362">
        <v>38</v>
      </c>
      <c r="E362" t="str">
        <f>"33"</f>
        <v>33</v>
      </c>
      <c r="F362" t="str">
        <f t="shared" si="43"/>
        <v>0000</v>
      </c>
    </row>
    <row r="363" spans="1:6">
      <c r="C363" t="str">
        <f t="shared" si="42"/>
        <v>5</v>
      </c>
      <c r="D363">
        <v>38</v>
      </c>
      <c r="E363" t="str">
        <f>"32"</f>
        <v>32</v>
      </c>
      <c r="F363" t="str">
        <f t="shared" si="43"/>
        <v>0000</v>
      </c>
    </row>
    <row r="364" spans="1:6">
      <c r="C364" t="str">
        <f t="shared" si="42"/>
        <v>5</v>
      </c>
      <c r="D364">
        <v>38</v>
      </c>
      <c r="E364" t="str">
        <f>"30"</f>
        <v>30</v>
      </c>
      <c r="F364" t="str">
        <f t="shared" si="43"/>
        <v>0000</v>
      </c>
    </row>
    <row r="365" spans="1:6">
      <c r="C365" t="str">
        <f t="shared" si="42"/>
        <v>5</v>
      </c>
      <c r="D365">
        <v>38</v>
      </c>
      <c r="E365" t="str">
        <f>"283"</f>
        <v>283</v>
      </c>
      <c r="F365" t="str">
        <f t="shared" si="43"/>
        <v>0000</v>
      </c>
    </row>
    <row r="366" spans="1:6">
      <c r="C366" t="str">
        <f t="shared" si="42"/>
        <v>5</v>
      </c>
      <c r="D366">
        <v>38</v>
      </c>
      <c r="E366" t="str">
        <f>"270"</f>
        <v>270</v>
      </c>
      <c r="F366" t="str">
        <f t="shared" si="43"/>
        <v>0000</v>
      </c>
    </row>
    <row r="367" spans="1:6">
      <c r="C367" t="str">
        <f t="shared" si="42"/>
        <v>5</v>
      </c>
      <c r="D367">
        <v>38</v>
      </c>
      <c r="E367" t="str">
        <f>"269"</f>
        <v>269</v>
      </c>
      <c r="F367" t="str">
        <f t="shared" si="43"/>
        <v>0000</v>
      </c>
    </row>
    <row r="368" spans="1:6">
      <c r="C368" t="str">
        <f t="shared" si="42"/>
        <v>5</v>
      </c>
      <c r="D368">
        <v>38</v>
      </c>
      <c r="E368" t="str">
        <f>"267"</f>
        <v>267</v>
      </c>
      <c r="F368" t="str">
        <f t="shared" si="43"/>
        <v>0000</v>
      </c>
    </row>
    <row r="369" spans="1:6">
      <c r="C369" t="str">
        <f t="shared" si="42"/>
        <v>5</v>
      </c>
      <c r="D369">
        <v>38</v>
      </c>
      <c r="E369" t="str">
        <f>"266"</f>
        <v>266</v>
      </c>
      <c r="F369" t="str">
        <f t="shared" si="43"/>
        <v>0000</v>
      </c>
    </row>
    <row r="370" spans="1:6">
      <c r="C370" t="str">
        <f t="shared" si="42"/>
        <v>5</v>
      </c>
      <c r="D370">
        <v>38</v>
      </c>
      <c r="E370" t="str">
        <f>"265"</f>
        <v>265</v>
      </c>
      <c r="F370" t="str">
        <f t="shared" si="43"/>
        <v>0000</v>
      </c>
    </row>
    <row r="371" spans="1:6">
      <c r="C371" t="str">
        <f t="shared" si="42"/>
        <v>5</v>
      </c>
      <c r="D371">
        <v>38</v>
      </c>
      <c r="E371" t="str">
        <f>"264"</f>
        <v>264</v>
      </c>
      <c r="F371" t="str">
        <f t="shared" si="43"/>
        <v>0000</v>
      </c>
    </row>
    <row r="372" spans="1:6">
      <c r="C372" t="str">
        <f t="shared" si="42"/>
        <v>5</v>
      </c>
      <c r="D372">
        <v>38</v>
      </c>
      <c r="E372" t="str">
        <f>"263"</f>
        <v>263</v>
      </c>
      <c r="F372" t="str">
        <f t="shared" si="43"/>
        <v>0000</v>
      </c>
    </row>
    <row r="373" spans="1:6">
      <c r="C373" t="str">
        <f t="shared" si="42"/>
        <v>5</v>
      </c>
      <c r="D373">
        <v>38</v>
      </c>
      <c r="E373" t="str">
        <f>"227"</f>
        <v>227</v>
      </c>
      <c r="F373" t="str">
        <f t="shared" si="43"/>
        <v>0000</v>
      </c>
    </row>
    <row r="374" spans="1:6">
      <c r="C374" t="str">
        <f t="shared" si="42"/>
        <v>5</v>
      </c>
      <c r="D374">
        <v>38</v>
      </c>
      <c r="E374" t="str">
        <f>"24"</f>
        <v>24</v>
      </c>
      <c r="F374" t="str">
        <f t="shared" si="43"/>
        <v>0000</v>
      </c>
    </row>
    <row r="375" spans="1:6">
      <c r="C375" t="str">
        <f t="shared" si="42"/>
        <v>5</v>
      </c>
      <c r="D375">
        <v>38</v>
      </c>
      <c r="E375" t="str">
        <f>"259"</f>
        <v>259</v>
      </c>
      <c r="F375" t="str">
        <f t="shared" si="43"/>
        <v>0000</v>
      </c>
    </row>
    <row r="376" spans="1:6">
      <c r="C376" t="str">
        <f t="shared" si="42"/>
        <v>5</v>
      </c>
      <c r="D376">
        <v>38</v>
      </c>
      <c r="E376" t="str">
        <f>"261"</f>
        <v>261</v>
      </c>
      <c r="F376" t="str">
        <f t="shared" si="43"/>
        <v>0000</v>
      </c>
    </row>
    <row r="377" spans="1:6">
      <c r="C377" t="str">
        <f t="shared" si="42"/>
        <v>5</v>
      </c>
      <c r="D377">
        <v>38</v>
      </c>
      <c r="E377" t="str">
        <f>"260"</f>
        <v>260</v>
      </c>
      <c r="F377" t="str">
        <f t="shared" si="43"/>
        <v>0000</v>
      </c>
    </row>
    <row r="378" spans="1:6">
      <c r="C378" t="str">
        <f t="shared" si="42"/>
        <v>5</v>
      </c>
      <c r="D378">
        <v>38</v>
      </c>
      <c r="E378" t="str">
        <f>"224"</f>
        <v>224</v>
      </c>
      <c r="F378" t="str">
        <f t="shared" si="43"/>
        <v>0000</v>
      </c>
    </row>
    <row r="379" spans="1:6">
      <c r="C379" t="str">
        <f t="shared" si="42"/>
        <v>5</v>
      </c>
      <c r="D379">
        <v>38</v>
      </c>
      <c r="E379" t="str">
        <f>"220"</f>
        <v>220</v>
      </c>
      <c r="F379" t="str">
        <f t="shared" si="43"/>
        <v>0000</v>
      </c>
    </row>
    <row r="380" spans="1:6">
      <c r="A380" t="str">
        <f>"E571-5"</f>
        <v>E571-5</v>
      </c>
      <c r="B380" t="str">
        <f>"VIA GUALCO  54-"</f>
        <v>VIA GUALCO  54-</v>
      </c>
      <c r="C380" t="str">
        <f t="shared" si="42"/>
        <v>5</v>
      </c>
      <c r="D380">
        <v>38</v>
      </c>
      <c r="E380" t="str">
        <f>"22"</f>
        <v>22</v>
      </c>
      <c r="F380" t="str">
        <f t="shared" si="43"/>
        <v>0000</v>
      </c>
    </row>
    <row r="381" spans="1:6">
      <c r="C381" t="str">
        <f t="shared" si="42"/>
        <v>5</v>
      </c>
      <c r="D381">
        <v>38</v>
      </c>
      <c r="E381" t="str">
        <f>"30"</f>
        <v>30</v>
      </c>
      <c r="F381" t="str">
        <f t="shared" si="43"/>
        <v>0000</v>
      </c>
    </row>
    <row r="382" spans="1:6">
      <c r="C382" t="str">
        <f t="shared" si="42"/>
        <v>5</v>
      </c>
      <c r="D382">
        <v>38</v>
      </c>
      <c r="E382" t="str">
        <f>"283"</f>
        <v>283</v>
      </c>
      <c r="F382" t="str">
        <f t="shared" si="43"/>
        <v>0000</v>
      </c>
    </row>
    <row r="383" spans="1:6">
      <c r="C383" t="str">
        <f t="shared" si="42"/>
        <v>5</v>
      </c>
      <c r="D383">
        <v>38</v>
      </c>
      <c r="E383" t="str">
        <f>"270"</f>
        <v>270</v>
      </c>
      <c r="F383" t="str">
        <f t="shared" si="43"/>
        <v>0000</v>
      </c>
    </row>
    <row r="384" spans="1:6">
      <c r="C384" t="str">
        <f t="shared" si="42"/>
        <v>5</v>
      </c>
      <c r="D384">
        <v>38</v>
      </c>
      <c r="E384" t="str">
        <f>"269"</f>
        <v>269</v>
      </c>
      <c r="F384" t="str">
        <f t="shared" si="43"/>
        <v>0000</v>
      </c>
    </row>
    <row r="385" spans="1:6">
      <c r="C385" t="str">
        <f t="shared" si="42"/>
        <v>5</v>
      </c>
      <c r="D385">
        <v>38</v>
      </c>
      <c r="E385" t="str">
        <f>"267"</f>
        <v>267</v>
      </c>
      <c r="F385" t="str">
        <f t="shared" si="43"/>
        <v>0000</v>
      </c>
    </row>
    <row r="386" spans="1:6">
      <c r="C386" t="str">
        <f t="shared" si="42"/>
        <v>5</v>
      </c>
      <c r="D386">
        <v>38</v>
      </c>
      <c r="E386" t="str">
        <f>"266"</f>
        <v>266</v>
      </c>
      <c r="F386" t="str">
        <f t="shared" si="43"/>
        <v>0000</v>
      </c>
    </row>
    <row r="387" spans="1:6">
      <c r="C387" t="str">
        <f t="shared" ref="C387:C450" si="44">"5"</f>
        <v>5</v>
      </c>
      <c r="D387">
        <v>38</v>
      </c>
      <c r="E387" t="str">
        <f>"265"</f>
        <v>265</v>
      </c>
      <c r="F387" t="str">
        <f t="shared" ref="F387:F450" si="45">"0000"</f>
        <v>0000</v>
      </c>
    </row>
    <row r="388" spans="1:6">
      <c r="C388" t="str">
        <f t="shared" si="44"/>
        <v>5</v>
      </c>
      <c r="D388">
        <v>38</v>
      </c>
      <c r="E388" t="str">
        <f>"264"</f>
        <v>264</v>
      </c>
      <c r="F388" t="str">
        <f t="shared" si="45"/>
        <v>0000</v>
      </c>
    </row>
    <row r="389" spans="1:6">
      <c r="C389" t="str">
        <f t="shared" si="44"/>
        <v>5</v>
      </c>
      <c r="D389">
        <v>38</v>
      </c>
      <c r="E389" t="str">
        <f>"263"</f>
        <v>263</v>
      </c>
      <c r="F389" t="str">
        <f t="shared" si="45"/>
        <v>0000</v>
      </c>
    </row>
    <row r="390" spans="1:6">
      <c r="C390" t="str">
        <f t="shared" si="44"/>
        <v>5</v>
      </c>
      <c r="D390">
        <v>38</v>
      </c>
      <c r="E390" t="str">
        <f>"33"</f>
        <v>33</v>
      </c>
      <c r="F390" t="str">
        <f t="shared" si="45"/>
        <v>0000</v>
      </c>
    </row>
    <row r="391" spans="1:6">
      <c r="C391" t="str">
        <f t="shared" si="44"/>
        <v>5</v>
      </c>
      <c r="D391">
        <v>38</v>
      </c>
      <c r="E391" t="str">
        <f>"32"</f>
        <v>32</v>
      </c>
      <c r="F391" t="str">
        <f t="shared" si="45"/>
        <v>0000</v>
      </c>
    </row>
    <row r="392" spans="1:6">
      <c r="C392" t="str">
        <f t="shared" si="44"/>
        <v>5</v>
      </c>
      <c r="D392">
        <v>38</v>
      </c>
      <c r="E392" t="str">
        <f>"227"</f>
        <v>227</v>
      </c>
      <c r="F392" t="str">
        <f t="shared" si="45"/>
        <v>0000</v>
      </c>
    </row>
    <row r="393" spans="1:6">
      <c r="C393" t="str">
        <f t="shared" si="44"/>
        <v>5</v>
      </c>
      <c r="D393">
        <v>38</v>
      </c>
      <c r="E393" t="str">
        <f>"24"</f>
        <v>24</v>
      </c>
      <c r="F393" t="str">
        <f t="shared" si="45"/>
        <v>0000</v>
      </c>
    </row>
    <row r="394" spans="1:6">
      <c r="C394" t="str">
        <f t="shared" si="44"/>
        <v>5</v>
      </c>
      <c r="D394">
        <v>38</v>
      </c>
      <c r="E394" t="str">
        <f>"259"</f>
        <v>259</v>
      </c>
      <c r="F394" t="str">
        <f t="shared" si="45"/>
        <v>0000</v>
      </c>
    </row>
    <row r="395" spans="1:6">
      <c r="C395" t="str">
        <f t="shared" si="44"/>
        <v>5</v>
      </c>
      <c r="D395">
        <v>38</v>
      </c>
      <c r="E395" t="str">
        <f>"261"</f>
        <v>261</v>
      </c>
      <c r="F395" t="str">
        <f t="shared" si="45"/>
        <v>0000</v>
      </c>
    </row>
    <row r="396" spans="1:6">
      <c r="C396" t="str">
        <f t="shared" si="44"/>
        <v>5</v>
      </c>
      <c r="D396">
        <v>38</v>
      </c>
      <c r="E396" t="str">
        <f>"260"</f>
        <v>260</v>
      </c>
      <c r="F396" t="str">
        <f t="shared" si="45"/>
        <v>0000</v>
      </c>
    </row>
    <row r="397" spans="1:6">
      <c r="C397" t="str">
        <f t="shared" si="44"/>
        <v>5</v>
      </c>
      <c r="D397">
        <v>38</v>
      </c>
      <c r="E397" t="str">
        <f>"224"</f>
        <v>224</v>
      </c>
      <c r="F397" t="str">
        <f t="shared" si="45"/>
        <v>0000</v>
      </c>
    </row>
    <row r="398" spans="1:6">
      <c r="C398" t="str">
        <f t="shared" si="44"/>
        <v>5</v>
      </c>
      <c r="D398">
        <v>38</v>
      </c>
      <c r="E398" t="str">
        <f>"220"</f>
        <v>220</v>
      </c>
      <c r="F398" t="str">
        <f t="shared" si="45"/>
        <v>0000</v>
      </c>
    </row>
    <row r="399" spans="1:6">
      <c r="A399" t="str">
        <f>"E571-6"</f>
        <v>E571-6</v>
      </c>
      <c r="B399" t="str">
        <f>"VIA GUALCO  54-"</f>
        <v>VIA GUALCO  54-</v>
      </c>
      <c r="C399" t="str">
        <f t="shared" si="44"/>
        <v>5</v>
      </c>
      <c r="D399">
        <v>38</v>
      </c>
      <c r="E399" t="str">
        <f>"22"</f>
        <v>22</v>
      </c>
      <c r="F399" t="str">
        <f t="shared" si="45"/>
        <v>0000</v>
      </c>
    </row>
    <row r="400" spans="1:6">
      <c r="C400" t="str">
        <f t="shared" si="44"/>
        <v>5</v>
      </c>
      <c r="D400">
        <v>38</v>
      </c>
      <c r="E400" t="str">
        <f>"227"</f>
        <v>227</v>
      </c>
      <c r="F400" t="str">
        <f t="shared" si="45"/>
        <v>0000</v>
      </c>
    </row>
    <row r="401" spans="3:6">
      <c r="C401" t="str">
        <f t="shared" si="44"/>
        <v>5</v>
      </c>
      <c r="D401">
        <v>38</v>
      </c>
      <c r="E401" t="str">
        <f>"259"</f>
        <v>259</v>
      </c>
      <c r="F401" t="str">
        <f t="shared" si="45"/>
        <v>0000</v>
      </c>
    </row>
    <row r="402" spans="3:6">
      <c r="C402" t="str">
        <f t="shared" si="44"/>
        <v>5</v>
      </c>
      <c r="D402">
        <v>38</v>
      </c>
      <c r="E402" t="str">
        <f>"261"</f>
        <v>261</v>
      </c>
      <c r="F402" t="str">
        <f t="shared" si="45"/>
        <v>0000</v>
      </c>
    </row>
    <row r="403" spans="3:6">
      <c r="C403" t="str">
        <f t="shared" si="44"/>
        <v>5</v>
      </c>
      <c r="D403">
        <v>38</v>
      </c>
      <c r="E403" t="str">
        <f>"264"</f>
        <v>264</v>
      </c>
      <c r="F403" t="str">
        <f t="shared" si="45"/>
        <v>0000</v>
      </c>
    </row>
    <row r="404" spans="3:6">
      <c r="C404" t="str">
        <f t="shared" si="44"/>
        <v>5</v>
      </c>
      <c r="D404">
        <v>38</v>
      </c>
      <c r="E404" t="str">
        <f>"266"</f>
        <v>266</v>
      </c>
      <c r="F404" t="str">
        <f t="shared" si="45"/>
        <v>0000</v>
      </c>
    </row>
    <row r="405" spans="3:6">
      <c r="C405" t="str">
        <f t="shared" si="44"/>
        <v>5</v>
      </c>
      <c r="D405">
        <v>38</v>
      </c>
      <c r="E405" t="str">
        <f>"269"</f>
        <v>269</v>
      </c>
      <c r="F405" t="str">
        <f t="shared" si="45"/>
        <v>0000</v>
      </c>
    </row>
    <row r="406" spans="3:6">
      <c r="C406" t="str">
        <f t="shared" si="44"/>
        <v>5</v>
      </c>
      <c r="D406">
        <v>38</v>
      </c>
      <c r="E406" t="str">
        <f>"33"</f>
        <v>33</v>
      </c>
      <c r="F406" t="str">
        <f t="shared" si="45"/>
        <v>0000</v>
      </c>
    </row>
    <row r="407" spans="3:6">
      <c r="C407" t="str">
        <f t="shared" si="44"/>
        <v>5</v>
      </c>
      <c r="D407">
        <v>38</v>
      </c>
      <c r="E407" t="str">
        <f>"32"</f>
        <v>32</v>
      </c>
      <c r="F407" t="str">
        <f t="shared" si="45"/>
        <v>0000</v>
      </c>
    </row>
    <row r="408" spans="3:6">
      <c r="C408" t="str">
        <f t="shared" si="44"/>
        <v>5</v>
      </c>
      <c r="D408">
        <v>38</v>
      </c>
      <c r="E408" t="str">
        <f>"30"</f>
        <v>30</v>
      </c>
      <c r="F408" t="str">
        <f t="shared" si="45"/>
        <v>0000</v>
      </c>
    </row>
    <row r="409" spans="3:6">
      <c r="C409" t="str">
        <f t="shared" si="44"/>
        <v>5</v>
      </c>
      <c r="D409">
        <v>38</v>
      </c>
      <c r="E409" t="str">
        <f>"283"</f>
        <v>283</v>
      </c>
      <c r="F409" t="str">
        <f t="shared" si="45"/>
        <v>0000</v>
      </c>
    </row>
    <row r="410" spans="3:6">
      <c r="C410" t="str">
        <f t="shared" si="44"/>
        <v>5</v>
      </c>
      <c r="D410">
        <v>38</v>
      </c>
      <c r="E410" t="str">
        <f>"270"</f>
        <v>270</v>
      </c>
      <c r="F410" t="str">
        <f t="shared" si="45"/>
        <v>0000</v>
      </c>
    </row>
    <row r="411" spans="3:6">
      <c r="C411" t="str">
        <f t="shared" si="44"/>
        <v>5</v>
      </c>
      <c r="D411">
        <v>38</v>
      </c>
      <c r="E411" t="str">
        <f>"267"</f>
        <v>267</v>
      </c>
      <c r="F411" t="str">
        <f t="shared" si="45"/>
        <v>0000</v>
      </c>
    </row>
    <row r="412" spans="3:6">
      <c r="C412" t="str">
        <f t="shared" si="44"/>
        <v>5</v>
      </c>
      <c r="D412">
        <v>38</v>
      </c>
      <c r="E412" t="str">
        <f>"265"</f>
        <v>265</v>
      </c>
      <c r="F412" t="str">
        <f t="shared" si="45"/>
        <v>0000</v>
      </c>
    </row>
    <row r="413" spans="3:6">
      <c r="C413" t="str">
        <f t="shared" si="44"/>
        <v>5</v>
      </c>
      <c r="D413">
        <v>38</v>
      </c>
      <c r="E413" t="str">
        <f>"263"</f>
        <v>263</v>
      </c>
      <c r="F413" t="str">
        <f t="shared" si="45"/>
        <v>0000</v>
      </c>
    </row>
    <row r="414" spans="3:6">
      <c r="C414" t="str">
        <f t="shared" si="44"/>
        <v>5</v>
      </c>
      <c r="D414">
        <v>38</v>
      </c>
      <c r="E414" t="str">
        <f>"260"</f>
        <v>260</v>
      </c>
      <c r="F414" t="str">
        <f t="shared" si="45"/>
        <v>0000</v>
      </c>
    </row>
    <row r="415" spans="3:6">
      <c r="C415" t="str">
        <f t="shared" si="44"/>
        <v>5</v>
      </c>
      <c r="D415">
        <v>38</v>
      </c>
      <c r="E415" t="str">
        <f>"24"</f>
        <v>24</v>
      </c>
      <c r="F415" t="str">
        <f t="shared" si="45"/>
        <v>0000</v>
      </c>
    </row>
    <row r="416" spans="3:6">
      <c r="C416" t="str">
        <f t="shared" si="44"/>
        <v>5</v>
      </c>
      <c r="D416">
        <v>38</v>
      </c>
      <c r="E416" t="str">
        <f>"220"</f>
        <v>220</v>
      </c>
      <c r="F416" t="str">
        <f t="shared" si="45"/>
        <v>0000</v>
      </c>
    </row>
    <row r="417" spans="1:6">
      <c r="C417" t="str">
        <f t="shared" si="44"/>
        <v>5</v>
      </c>
      <c r="D417">
        <v>38</v>
      </c>
      <c r="E417" t="str">
        <f>"224"</f>
        <v>224</v>
      </c>
      <c r="F417" t="str">
        <f t="shared" si="45"/>
        <v>0000</v>
      </c>
    </row>
    <row r="418" spans="1:6">
      <c r="A418" t="str">
        <f>"E571-7"</f>
        <v>E571-7</v>
      </c>
      <c r="B418" t="str">
        <f>"VIA GUALCO  54-"</f>
        <v>VIA GUALCO  54-</v>
      </c>
      <c r="C418" t="str">
        <f t="shared" si="44"/>
        <v>5</v>
      </c>
      <c r="D418">
        <v>38</v>
      </c>
      <c r="E418" t="str">
        <f>"22"</f>
        <v>22</v>
      </c>
      <c r="F418" t="str">
        <f t="shared" si="45"/>
        <v>0000</v>
      </c>
    </row>
    <row r="419" spans="1:6">
      <c r="C419" t="str">
        <f t="shared" si="44"/>
        <v>5</v>
      </c>
      <c r="D419">
        <v>38</v>
      </c>
      <c r="E419" t="str">
        <f>"260"</f>
        <v>260</v>
      </c>
      <c r="F419" t="str">
        <f t="shared" si="45"/>
        <v>0000</v>
      </c>
    </row>
    <row r="420" spans="1:6">
      <c r="C420" t="str">
        <f t="shared" si="44"/>
        <v>5</v>
      </c>
      <c r="D420">
        <v>38</v>
      </c>
      <c r="E420" t="str">
        <f>"263"</f>
        <v>263</v>
      </c>
      <c r="F420" t="str">
        <f t="shared" si="45"/>
        <v>0000</v>
      </c>
    </row>
    <row r="421" spans="1:6">
      <c r="C421" t="str">
        <f t="shared" si="44"/>
        <v>5</v>
      </c>
      <c r="D421">
        <v>38</v>
      </c>
      <c r="E421" t="str">
        <f>"265"</f>
        <v>265</v>
      </c>
      <c r="F421" t="str">
        <f t="shared" si="45"/>
        <v>0000</v>
      </c>
    </row>
    <row r="422" spans="1:6">
      <c r="C422" t="str">
        <f t="shared" si="44"/>
        <v>5</v>
      </c>
      <c r="D422">
        <v>38</v>
      </c>
      <c r="E422" t="str">
        <f>"33"</f>
        <v>33</v>
      </c>
      <c r="F422" t="str">
        <f t="shared" si="45"/>
        <v>0000</v>
      </c>
    </row>
    <row r="423" spans="1:6">
      <c r="C423" t="str">
        <f t="shared" si="44"/>
        <v>5</v>
      </c>
      <c r="D423">
        <v>38</v>
      </c>
      <c r="E423" t="str">
        <f>"32"</f>
        <v>32</v>
      </c>
      <c r="F423" t="str">
        <f t="shared" si="45"/>
        <v>0000</v>
      </c>
    </row>
    <row r="424" spans="1:6">
      <c r="C424" t="str">
        <f t="shared" si="44"/>
        <v>5</v>
      </c>
      <c r="D424">
        <v>38</v>
      </c>
      <c r="E424" t="str">
        <f>"30"</f>
        <v>30</v>
      </c>
      <c r="F424" t="str">
        <f t="shared" si="45"/>
        <v>0000</v>
      </c>
    </row>
    <row r="425" spans="1:6">
      <c r="C425" t="str">
        <f t="shared" si="44"/>
        <v>5</v>
      </c>
      <c r="D425">
        <v>38</v>
      </c>
      <c r="E425" t="str">
        <f>"283"</f>
        <v>283</v>
      </c>
      <c r="F425" t="str">
        <f t="shared" si="45"/>
        <v>0000</v>
      </c>
    </row>
    <row r="426" spans="1:6">
      <c r="C426" t="str">
        <f t="shared" si="44"/>
        <v>5</v>
      </c>
      <c r="D426">
        <v>38</v>
      </c>
      <c r="E426" t="str">
        <f>"270"</f>
        <v>270</v>
      </c>
      <c r="F426" t="str">
        <f t="shared" si="45"/>
        <v>0000</v>
      </c>
    </row>
    <row r="427" spans="1:6">
      <c r="C427" t="str">
        <f t="shared" si="44"/>
        <v>5</v>
      </c>
      <c r="D427">
        <v>38</v>
      </c>
      <c r="E427" t="str">
        <f>"269"</f>
        <v>269</v>
      </c>
      <c r="F427" t="str">
        <f t="shared" si="45"/>
        <v>0000</v>
      </c>
    </row>
    <row r="428" spans="1:6">
      <c r="C428" t="str">
        <f t="shared" si="44"/>
        <v>5</v>
      </c>
      <c r="D428">
        <v>38</v>
      </c>
      <c r="E428" t="str">
        <f>"267"</f>
        <v>267</v>
      </c>
      <c r="F428" t="str">
        <f t="shared" si="45"/>
        <v>0000</v>
      </c>
    </row>
    <row r="429" spans="1:6">
      <c r="C429" t="str">
        <f t="shared" si="44"/>
        <v>5</v>
      </c>
      <c r="D429">
        <v>38</v>
      </c>
      <c r="E429" t="str">
        <f>"266"</f>
        <v>266</v>
      </c>
      <c r="F429" t="str">
        <f t="shared" si="45"/>
        <v>0000</v>
      </c>
    </row>
    <row r="430" spans="1:6">
      <c r="C430" t="str">
        <f t="shared" si="44"/>
        <v>5</v>
      </c>
      <c r="D430">
        <v>38</v>
      </c>
      <c r="E430" t="str">
        <f>"264"</f>
        <v>264</v>
      </c>
      <c r="F430" t="str">
        <f t="shared" si="45"/>
        <v>0000</v>
      </c>
    </row>
    <row r="431" spans="1:6">
      <c r="C431" t="str">
        <f t="shared" si="44"/>
        <v>5</v>
      </c>
      <c r="D431">
        <v>38</v>
      </c>
      <c r="E431" t="str">
        <f>"261"</f>
        <v>261</v>
      </c>
      <c r="F431" t="str">
        <f t="shared" si="45"/>
        <v>0000</v>
      </c>
    </row>
    <row r="432" spans="1:6">
      <c r="C432" t="str">
        <f t="shared" si="44"/>
        <v>5</v>
      </c>
      <c r="D432">
        <v>38</v>
      </c>
      <c r="E432" t="str">
        <f>"259"</f>
        <v>259</v>
      </c>
      <c r="F432" t="str">
        <f t="shared" si="45"/>
        <v>0000</v>
      </c>
    </row>
    <row r="433" spans="1:6">
      <c r="C433" t="str">
        <f t="shared" si="44"/>
        <v>5</v>
      </c>
      <c r="D433">
        <v>38</v>
      </c>
      <c r="E433" t="str">
        <f>"224"</f>
        <v>224</v>
      </c>
      <c r="F433" t="str">
        <f t="shared" si="45"/>
        <v>0000</v>
      </c>
    </row>
    <row r="434" spans="1:6">
      <c r="C434" t="str">
        <f t="shared" si="44"/>
        <v>5</v>
      </c>
      <c r="D434">
        <v>38</v>
      </c>
      <c r="E434" t="str">
        <f>"227"</f>
        <v>227</v>
      </c>
      <c r="F434" t="str">
        <f t="shared" si="45"/>
        <v>0000</v>
      </c>
    </row>
    <row r="435" spans="1:6">
      <c r="C435" t="str">
        <f t="shared" si="44"/>
        <v>5</v>
      </c>
      <c r="D435">
        <v>38</v>
      </c>
      <c r="E435" t="str">
        <f>"24"</f>
        <v>24</v>
      </c>
      <c r="F435" t="str">
        <f t="shared" si="45"/>
        <v>0000</v>
      </c>
    </row>
    <row r="436" spans="1:6">
      <c r="C436" t="str">
        <f t="shared" si="44"/>
        <v>5</v>
      </c>
      <c r="D436">
        <v>38</v>
      </c>
      <c r="E436" t="str">
        <f>"220"</f>
        <v>220</v>
      </c>
      <c r="F436" t="str">
        <f t="shared" si="45"/>
        <v>0000</v>
      </c>
    </row>
    <row r="437" spans="1:6">
      <c r="A437" t="str">
        <f>"E571-8"</f>
        <v>E571-8</v>
      </c>
      <c r="B437" t="str">
        <f>"VIA GUALCO  54-"</f>
        <v>VIA GUALCO  54-</v>
      </c>
      <c r="C437" t="str">
        <f t="shared" si="44"/>
        <v>5</v>
      </c>
      <c r="D437">
        <v>38</v>
      </c>
      <c r="E437" t="str">
        <f>"22"</f>
        <v>22</v>
      </c>
      <c r="F437" t="str">
        <f t="shared" si="45"/>
        <v>0000</v>
      </c>
    </row>
    <row r="438" spans="1:6">
      <c r="C438" t="str">
        <f t="shared" si="44"/>
        <v>5</v>
      </c>
      <c r="D438">
        <v>38</v>
      </c>
      <c r="E438" t="str">
        <f>"33"</f>
        <v>33</v>
      </c>
      <c r="F438" t="str">
        <f t="shared" si="45"/>
        <v>0000</v>
      </c>
    </row>
    <row r="439" spans="1:6">
      <c r="C439" t="str">
        <f t="shared" si="44"/>
        <v>5</v>
      </c>
      <c r="D439">
        <v>38</v>
      </c>
      <c r="E439" t="str">
        <f>"32"</f>
        <v>32</v>
      </c>
      <c r="F439" t="str">
        <f t="shared" si="45"/>
        <v>0000</v>
      </c>
    </row>
    <row r="440" spans="1:6">
      <c r="C440" t="str">
        <f t="shared" si="44"/>
        <v>5</v>
      </c>
      <c r="D440">
        <v>38</v>
      </c>
      <c r="E440" t="str">
        <f>"30"</f>
        <v>30</v>
      </c>
      <c r="F440" t="str">
        <f t="shared" si="45"/>
        <v>0000</v>
      </c>
    </row>
    <row r="441" spans="1:6">
      <c r="C441" t="str">
        <f t="shared" si="44"/>
        <v>5</v>
      </c>
      <c r="D441">
        <v>38</v>
      </c>
      <c r="E441" t="str">
        <f>"283"</f>
        <v>283</v>
      </c>
      <c r="F441" t="str">
        <f t="shared" si="45"/>
        <v>0000</v>
      </c>
    </row>
    <row r="442" spans="1:6">
      <c r="C442" t="str">
        <f t="shared" si="44"/>
        <v>5</v>
      </c>
      <c r="D442">
        <v>38</v>
      </c>
      <c r="E442" t="str">
        <f>"270"</f>
        <v>270</v>
      </c>
      <c r="F442" t="str">
        <f t="shared" si="45"/>
        <v>0000</v>
      </c>
    </row>
    <row r="443" spans="1:6">
      <c r="C443" t="str">
        <f t="shared" si="44"/>
        <v>5</v>
      </c>
      <c r="D443">
        <v>38</v>
      </c>
      <c r="E443" t="str">
        <f>"269"</f>
        <v>269</v>
      </c>
      <c r="F443" t="str">
        <f t="shared" si="45"/>
        <v>0000</v>
      </c>
    </row>
    <row r="444" spans="1:6">
      <c r="C444" t="str">
        <f t="shared" si="44"/>
        <v>5</v>
      </c>
      <c r="D444">
        <v>38</v>
      </c>
      <c r="E444" t="str">
        <f>"267"</f>
        <v>267</v>
      </c>
      <c r="F444" t="str">
        <f t="shared" si="45"/>
        <v>0000</v>
      </c>
    </row>
    <row r="445" spans="1:6">
      <c r="C445" t="str">
        <f t="shared" si="44"/>
        <v>5</v>
      </c>
      <c r="D445">
        <v>38</v>
      </c>
      <c r="E445" t="str">
        <f>"266"</f>
        <v>266</v>
      </c>
      <c r="F445" t="str">
        <f t="shared" si="45"/>
        <v>0000</v>
      </c>
    </row>
    <row r="446" spans="1:6">
      <c r="C446" t="str">
        <f t="shared" si="44"/>
        <v>5</v>
      </c>
      <c r="D446">
        <v>38</v>
      </c>
      <c r="E446" t="str">
        <f>"265"</f>
        <v>265</v>
      </c>
      <c r="F446" t="str">
        <f t="shared" si="45"/>
        <v>0000</v>
      </c>
    </row>
    <row r="447" spans="1:6">
      <c r="C447" t="str">
        <f t="shared" si="44"/>
        <v>5</v>
      </c>
      <c r="D447">
        <v>38</v>
      </c>
      <c r="E447" t="str">
        <f>"264"</f>
        <v>264</v>
      </c>
      <c r="F447" t="str">
        <f t="shared" si="45"/>
        <v>0000</v>
      </c>
    </row>
    <row r="448" spans="1:6">
      <c r="C448" t="str">
        <f t="shared" si="44"/>
        <v>5</v>
      </c>
      <c r="D448">
        <v>38</v>
      </c>
      <c r="E448" t="str">
        <f>"263"</f>
        <v>263</v>
      </c>
      <c r="F448" t="str">
        <f t="shared" si="45"/>
        <v>0000</v>
      </c>
    </row>
    <row r="449" spans="1:6">
      <c r="C449" t="str">
        <f t="shared" si="44"/>
        <v>5</v>
      </c>
      <c r="D449">
        <v>38</v>
      </c>
      <c r="E449" t="str">
        <f>"227"</f>
        <v>227</v>
      </c>
      <c r="F449" t="str">
        <f t="shared" si="45"/>
        <v>0000</v>
      </c>
    </row>
    <row r="450" spans="1:6">
      <c r="C450" t="str">
        <f t="shared" si="44"/>
        <v>5</v>
      </c>
      <c r="D450">
        <v>38</v>
      </c>
      <c r="E450" t="str">
        <f>"24"</f>
        <v>24</v>
      </c>
      <c r="F450" t="str">
        <f t="shared" si="45"/>
        <v>0000</v>
      </c>
    </row>
    <row r="451" spans="1:6">
      <c r="C451" t="str">
        <f t="shared" ref="C451:C514" si="46">"5"</f>
        <v>5</v>
      </c>
      <c r="D451">
        <v>38</v>
      </c>
      <c r="E451" t="str">
        <f>"259"</f>
        <v>259</v>
      </c>
      <c r="F451" t="str">
        <f t="shared" ref="F451:F514" si="47">"0000"</f>
        <v>0000</v>
      </c>
    </row>
    <row r="452" spans="1:6">
      <c r="C452" t="str">
        <f t="shared" si="46"/>
        <v>5</v>
      </c>
      <c r="D452">
        <v>38</v>
      </c>
      <c r="E452" t="str">
        <f>"261"</f>
        <v>261</v>
      </c>
      <c r="F452" t="str">
        <f t="shared" si="47"/>
        <v>0000</v>
      </c>
    </row>
    <row r="453" spans="1:6">
      <c r="C453" t="str">
        <f t="shared" si="46"/>
        <v>5</v>
      </c>
      <c r="D453">
        <v>38</v>
      </c>
      <c r="E453" t="str">
        <f>"260"</f>
        <v>260</v>
      </c>
      <c r="F453" t="str">
        <f t="shared" si="47"/>
        <v>0000</v>
      </c>
    </row>
    <row r="454" spans="1:6">
      <c r="C454" t="str">
        <f t="shared" si="46"/>
        <v>5</v>
      </c>
      <c r="D454">
        <v>38</v>
      </c>
      <c r="E454" t="str">
        <f>"224"</f>
        <v>224</v>
      </c>
      <c r="F454" t="str">
        <f t="shared" si="47"/>
        <v>0000</v>
      </c>
    </row>
    <row r="455" spans="1:6">
      <c r="C455" t="str">
        <f t="shared" si="46"/>
        <v>5</v>
      </c>
      <c r="D455">
        <v>38</v>
      </c>
      <c r="E455" t="str">
        <f>"220"</f>
        <v>220</v>
      </c>
      <c r="F455" t="str">
        <f t="shared" si="47"/>
        <v>0000</v>
      </c>
    </row>
    <row r="456" spans="1:6">
      <c r="A456" t="str">
        <f>"E571-9"</f>
        <v>E571-9</v>
      </c>
      <c r="B456" t="str">
        <f>"VIA GUALCO  54-"</f>
        <v>VIA GUALCO  54-</v>
      </c>
      <c r="C456" t="str">
        <f t="shared" si="46"/>
        <v>5</v>
      </c>
      <c r="D456">
        <v>38</v>
      </c>
      <c r="E456" t="str">
        <f>"22"</f>
        <v>22</v>
      </c>
      <c r="F456" t="str">
        <f t="shared" si="47"/>
        <v>0000</v>
      </c>
    </row>
    <row r="457" spans="1:6">
      <c r="C457" t="str">
        <f t="shared" si="46"/>
        <v>5</v>
      </c>
      <c r="D457">
        <v>38</v>
      </c>
      <c r="E457" t="str">
        <f>"30"</f>
        <v>30</v>
      </c>
      <c r="F457" t="str">
        <f t="shared" si="47"/>
        <v>0000</v>
      </c>
    </row>
    <row r="458" spans="1:6">
      <c r="C458" t="str">
        <f t="shared" si="46"/>
        <v>5</v>
      </c>
      <c r="D458">
        <v>38</v>
      </c>
      <c r="E458" t="str">
        <f>"283"</f>
        <v>283</v>
      </c>
      <c r="F458" t="str">
        <f t="shared" si="47"/>
        <v>0000</v>
      </c>
    </row>
    <row r="459" spans="1:6">
      <c r="C459" t="str">
        <f t="shared" si="46"/>
        <v>5</v>
      </c>
      <c r="D459">
        <v>38</v>
      </c>
      <c r="E459" t="str">
        <f>"270"</f>
        <v>270</v>
      </c>
      <c r="F459" t="str">
        <f t="shared" si="47"/>
        <v>0000</v>
      </c>
    </row>
    <row r="460" spans="1:6">
      <c r="C460" t="str">
        <f t="shared" si="46"/>
        <v>5</v>
      </c>
      <c r="D460">
        <v>38</v>
      </c>
      <c r="E460" t="str">
        <f>"269"</f>
        <v>269</v>
      </c>
      <c r="F460" t="str">
        <f t="shared" si="47"/>
        <v>0000</v>
      </c>
    </row>
    <row r="461" spans="1:6">
      <c r="C461" t="str">
        <f t="shared" si="46"/>
        <v>5</v>
      </c>
      <c r="D461">
        <v>38</v>
      </c>
      <c r="E461" t="str">
        <f>"267"</f>
        <v>267</v>
      </c>
      <c r="F461" t="str">
        <f t="shared" si="47"/>
        <v>0000</v>
      </c>
    </row>
    <row r="462" spans="1:6">
      <c r="C462" t="str">
        <f t="shared" si="46"/>
        <v>5</v>
      </c>
      <c r="D462">
        <v>38</v>
      </c>
      <c r="E462" t="str">
        <f>"266"</f>
        <v>266</v>
      </c>
      <c r="F462" t="str">
        <f t="shared" si="47"/>
        <v>0000</v>
      </c>
    </row>
    <row r="463" spans="1:6">
      <c r="C463" t="str">
        <f t="shared" si="46"/>
        <v>5</v>
      </c>
      <c r="D463">
        <v>38</v>
      </c>
      <c r="E463" t="str">
        <f>"265"</f>
        <v>265</v>
      </c>
      <c r="F463" t="str">
        <f t="shared" si="47"/>
        <v>0000</v>
      </c>
    </row>
    <row r="464" spans="1:6">
      <c r="C464" t="str">
        <f t="shared" si="46"/>
        <v>5</v>
      </c>
      <c r="D464">
        <v>38</v>
      </c>
      <c r="E464" t="str">
        <f>"264"</f>
        <v>264</v>
      </c>
      <c r="F464" t="str">
        <f t="shared" si="47"/>
        <v>0000</v>
      </c>
    </row>
    <row r="465" spans="1:6">
      <c r="C465" t="str">
        <f t="shared" si="46"/>
        <v>5</v>
      </c>
      <c r="D465">
        <v>38</v>
      </c>
      <c r="E465" t="str">
        <f>"263"</f>
        <v>263</v>
      </c>
      <c r="F465" t="str">
        <f t="shared" si="47"/>
        <v>0000</v>
      </c>
    </row>
    <row r="466" spans="1:6">
      <c r="C466" t="str">
        <f t="shared" si="46"/>
        <v>5</v>
      </c>
      <c r="D466">
        <v>38</v>
      </c>
      <c r="E466" t="str">
        <f>"33"</f>
        <v>33</v>
      </c>
      <c r="F466" t="str">
        <f t="shared" si="47"/>
        <v>0000</v>
      </c>
    </row>
    <row r="467" spans="1:6">
      <c r="C467" t="str">
        <f t="shared" si="46"/>
        <v>5</v>
      </c>
      <c r="D467">
        <v>38</v>
      </c>
      <c r="E467" t="str">
        <f>"32"</f>
        <v>32</v>
      </c>
      <c r="F467" t="str">
        <f t="shared" si="47"/>
        <v>0000</v>
      </c>
    </row>
    <row r="468" spans="1:6">
      <c r="C468" t="str">
        <f t="shared" si="46"/>
        <v>5</v>
      </c>
      <c r="D468">
        <v>38</v>
      </c>
      <c r="E468" t="str">
        <f>"227"</f>
        <v>227</v>
      </c>
      <c r="F468" t="str">
        <f t="shared" si="47"/>
        <v>0000</v>
      </c>
    </row>
    <row r="469" spans="1:6">
      <c r="C469" t="str">
        <f t="shared" si="46"/>
        <v>5</v>
      </c>
      <c r="D469">
        <v>38</v>
      </c>
      <c r="E469" t="str">
        <f>"24"</f>
        <v>24</v>
      </c>
      <c r="F469" t="str">
        <f t="shared" si="47"/>
        <v>0000</v>
      </c>
    </row>
    <row r="470" spans="1:6">
      <c r="C470" t="str">
        <f t="shared" si="46"/>
        <v>5</v>
      </c>
      <c r="D470">
        <v>38</v>
      </c>
      <c r="E470" t="str">
        <f>"259"</f>
        <v>259</v>
      </c>
      <c r="F470" t="str">
        <f t="shared" si="47"/>
        <v>0000</v>
      </c>
    </row>
    <row r="471" spans="1:6">
      <c r="C471" t="str">
        <f t="shared" si="46"/>
        <v>5</v>
      </c>
      <c r="D471">
        <v>38</v>
      </c>
      <c r="E471" t="str">
        <f>"261"</f>
        <v>261</v>
      </c>
      <c r="F471" t="str">
        <f t="shared" si="47"/>
        <v>0000</v>
      </c>
    </row>
    <row r="472" spans="1:6">
      <c r="C472" t="str">
        <f t="shared" si="46"/>
        <v>5</v>
      </c>
      <c r="D472">
        <v>38</v>
      </c>
      <c r="E472" t="str">
        <f>"260"</f>
        <v>260</v>
      </c>
      <c r="F472" t="str">
        <f t="shared" si="47"/>
        <v>0000</v>
      </c>
    </row>
    <row r="473" spans="1:6">
      <c r="C473" t="str">
        <f t="shared" si="46"/>
        <v>5</v>
      </c>
      <c r="D473">
        <v>38</v>
      </c>
      <c r="E473" t="str">
        <f>"224"</f>
        <v>224</v>
      </c>
      <c r="F473" t="str">
        <f t="shared" si="47"/>
        <v>0000</v>
      </c>
    </row>
    <row r="474" spans="1:6">
      <c r="C474" t="str">
        <f t="shared" si="46"/>
        <v>5</v>
      </c>
      <c r="D474">
        <v>38</v>
      </c>
      <c r="E474" t="str">
        <f>"220"</f>
        <v>220</v>
      </c>
      <c r="F474" t="str">
        <f t="shared" si="47"/>
        <v>0000</v>
      </c>
    </row>
    <row r="475" spans="1:6">
      <c r="A475" t="str">
        <f>"E571-10"</f>
        <v>E571-10</v>
      </c>
      <c r="B475" t="str">
        <f>"VIA GUALCO  54-"</f>
        <v>VIA GUALCO  54-</v>
      </c>
      <c r="C475" t="str">
        <f t="shared" si="46"/>
        <v>5</v>
      </c>
      <c r="D475">
        <v>38</v>
      </c>
      <c r="E475" t="str">
        <f>"22"</f>
        <v>22</v>
      </c>
      <c r="F475" t="str">
        <f t="shared" si="47"/>
        <v>0000</v>
      </c>
    </row>
    <row r="476" spans="1:6">
      <c r="C476" t="str">
        <f t="shared" si="46"/>
        <v>5</v>
      </c>
      <c r="D476">
        <v>38</v>
      </c>
      <c r="E476" t="str">
        <f>"227"</f>
        <v>227</v>
      </c>
      <c r="F476" t="str">
        <f t="shared" si="47"/>
        <v>0000</v>
      </c>
    </row>
    <row r="477" spans="1:6">
      <c r="C477" t="str">
        <f t="shared" si="46"/>
        <v>5</v>
      </c>
      <c r="D477">
        <v>38</v>
      </c>
      <c r="E477" t="str">
        <f>"259"</f>
        <v>259</v>
      </c>
      <c r="F477" t="str">
        <f t="shared" si="47"/>
        <v>0000</v>
      </c>
    </row>
    <row r="478" spans="1:6">
      <c r="C478" t="str">
        <f t="shared" si="46"/>
        <v>5</v>
      </c>
      <c r="D478">
        <v>38</v>
      </c>
      <c r="E478" t="str">
        <f>"261"</f>
        <v>261</v>
      </c>
      <c r="F478" t="str">
        <f t="shared" si="47"/>
        <v>0000</v>
      </c>
    </row>
    <row r="479" spans="1:6">
      <c r="C479" t="str">
        <f t="shared" si="46"/>
        <v>5</v>
      </c>
      <c r="D479">
        <v>38</v>
      </c>
      <c r="E479" t="str">
        <f>"264"</f>
        <v>264</v>
      </c>
      <c r="F479" t="str">
        <f t="shared" si="47"/>
        <v>0000</v>
      </c>
    </row>
    <row r="480" spans="1:6">
      <c r="C480" t="str">
        <f t="shared" si="46"/>
        <v>5</v>
      </c>
      <c r="D480">
        <v>38</v>
      </c>
      <c r="E480" t="str">
        <f>"266"</f>
        <v>266</v>
      </c>
      <c r="F480" t="str">
        <f t="shared" si="47"/>
        <v>0000</v>
      </c>
    </row>
    <row r="481" spans="1:6">
      <c r="C481" t="str">
        <f t="shared" si="46"/>
        <v>5</v>
      </c>
      <c r="D481">
        <v>38</v>
      </c>
      <c r="E481" t="str">
        <f>"269"</f>
        <v>269</v>
      </c>
      <c r="F481" t="str">
        <f t="shared" si="47"/>
        <v>0000</v>
      </c>
    </row>
    <row r="482" spans="1:6">
      <c r="C482" t="str">
        <f t="shared" si="46"/>
        <v>5</v>
      </c>
      <c r="D482">
        <v>38</v>
      </c>
      <c r="E482" t="str">
        <f>"33"</f>
        <v>33</v>
      </c>
      <c r="F482" t="str">
        <f t="shared" si="47"/>
        <v>0000</v>
      </c>
    </row>
    <row r="483" spans="1:6">
      <c r="C483" t="str">
        <f t="shared" si="46"/>
        <v>5</v>
      </c>
      <c r="D483">
        <v>38</v>
      </c>
      <c r="E483" t="str">
        <f>"32"</f>
        <v>32</v>
      </c>
      <c r="F483" t="str">
        <f t="shared" si="47"/>
        <v>0000</v>
      </c>
    </row>
    <row r="484" spans="1:6">
      <c r="C484" t="str">
        <f t="shared" si="46"/>
        <v>5</v>
      </c>
      <c r="D484">
        <v>38</v>
      </c>
      <c r="E484" t="str">
        <f>"30"</f>
        <v>30</v>
      </c>
      <c r="F484" t="str">
        <f t="shared" si="47"/>
        <v>0000</v>
      </c>
    </row>
    <row r="485" spans="1:6">
      <c r="C485" t="str">
        <f t="shared" si="46"/>
        <v>5</v>
      </c>
      <c r="D485">
        <v>38</v>
      </c>
      <c r="E485" t="str">
        <f>"283"</f>
        <v>283</v>
      </c>
      <c r="F485" t="str">
        <f t="shared" si="47"/>
        <v>0000</v>
      </c>
    </row>
    <row r="486" spans="1:6">
      <c r="C486" t="str">
        <f t="shared" si="46"/>
        <v>5</v>
      </c>
      <c r="D486">
        <v>38</v>
      </c>
      <c r="E486" t="str">
        <f>"270"</f>
        <v>270</v>
      </c>
      <c r="F486" t="str">
        <f t="shared" si="47"/>
        <v>0000</v>
      </c>
    </row>
    <row r="487" spans="1:6">
      <c r="C487" t="str">
        <f t="shared" si="46"/>
        <v>5</v>
      </c>
      <c r="D487">
        <v>38</v>
      </c>
      <c r="E487" t="str">
        <f>"267"</f>
        <v>267</v>
      </c>
      <c r="F487" t="str">
        <f t="shared" si="47"/>
        <v>0000</v>
      </c>
    </row>
    <row r="488" spans="1:6">
      <c r="C488" t="str">
        <f t="shared" si="46"/>
        <v>5</v>
      </c>
      <c r="D488">
        <v>38</v>
      </c>
      <c r="E488" t="str">
        <f>"265"</f>
        <v>265</v>
      </c>
      <c r="F488" t="str">
        <f t="shared" si="47"/>
        <v>0000</v>
      </c>
    </row>
    <row r="489" spans="1:6">
      <c r="C489" t="str">
        <f t="shared" si="46"/>
        <v>5</v>
      </c>
      <c r="D489">
        <v>38</v>
      </c>
      <c r="E489" t="str">
        <f>"263"</f>
        <v>263</v>
      </c>
      <c r="F489" t="str">
        <f t="shared" si="47"/>
        <v>0000</v>
      </c>
    </row>
    <row r="490" spans="1:6">
      <c r="C490" t="str">
        <f t="shared" si="46"/>
        <v>5</v>
      </c>
      <c r="D490">
        <v>38</v>
      </c>
      <c r="E490" t="str">
        <f>"260"</f>
        <v>260</v>
      </c>
      <c r="F490" t="str">
        <f t="shared" si="47"/>
        <v>0000</v>
      </c>
    </row>
    <row r="491" spans="1:6">
      <c r="C491" t="str">
        <f t="shared" si="46"/>
        <v>5</v>
      </c>
      <c r="D491">
        <v>38</v>
      </c>
      <c r="E491" t="str">
        <f>"24"</f>
        <v>24</v>
      </c>
      <c r="F491" t="str">
        <f t="shared" si="47"/>
        <v>0000</v>
      </c>
    </row>
    <row r="492" spans="1:6">
      <c r="C492" t="str">
        <f t="shared" si="46"/>
        <v>5</v>
      </c>
      <c r="D492">
        <v>38</v>
      </c>
      <c r="E492" t="str">
        <f>"220"</f>
        <v>220</v>
      </c>
      <c r="F492" t="str">
        <f t="shared" si="47"/>
        <v>0000</v>
      </c>
    </row>
    <row r="493" spans="1:6">
      <c r="C493" t="str">
        <f t="shared" si="46"/>
        <v>5</v>
      </c>
      <c r="D493">
        <v>38</v>
      </c>
      <c r="E493" t="str">
        <f>"224"</f>
        <v>224</v>
      </c>
      <c r="F493" t="str">
        <f t="shared" si="47"/>
        <v>0000</v>
      </c>
    </row>
    <row r="494" spans="1:6">
      <c r="A494" t="str">
        <f>"E571-11"</f>
        <v>E571-11</v>
      </c>
      <c r="B494" t="str">
        <f>"VIA GUALCO  54-"</f>
        <v>VIA GUALCO  54-</v>
      </c>
      <c r="C494" t="str">
        <f t="shared" si="46"/>
        <v>5</v>
      </c>
      <c r="D494">
        <v>38</v>
      </c>
      <c r="E494" t="str">
        <f>"22"</f>
        <v>22</v>
      </c>
      <c r="F494" t="str">
        <f t="shared" si="47"/>
        <v>0000</v>
      </c>
    </row>
    <row r="495" spans="1:6">
      <c r="C495" t="str">
        <f t="shared" si="46"/>
        <v>5</v>
      </c>
      <c r="D495">
        <v>38</v>
      </c>
      <c r="E495" t="str">
        <f>"260"</f>
        <v>260</v>
      </c>
      <c r="F495" t="str">
        <f t="shared" si="47"/>
        <v>0000</v>
      </c>
    </row>
    <row r="496" spans="1:6">
      <c r="C496" t="str">
        <f t="shared" si="46"/>
        <v>5</v>
      </c>
      <c r="D496">
        <v>38</v>
      </c>
      <c r="E496" t="str">
        <f>"263"</f>
        <v>263</v>
      </c>
      <c r="F496" t="str">
        <f t="shared" si="47"/>
        <v>0000</v>
      </c>
    </row>
    <row r="497" spans="3:6">
      <c r="C497" t="str">
        <f t="shared" si="46"/>
        <v>5</v>
      </c>
      <c r="D497">
        <v>38</v>
      </c>
      <c r="E497" t="str">
        <f>"265"</f>
        <v>265</v>
      </c>
      <c r="F497" t="str">
        <f t="shared" si="47"/>
        <v>0000</v>
      </c>
    </row>
    <row r="498" spans="3:6">
      <c r="C498" t="str">
        <f t="shared" si="46"/>
        <v>5</v>
      </c>
      <c r="D498">
        <v>38</v>
      </c>
      <c r="E498" t="str">
        <f>"33"</f>
        <v>33</v>
      </c>
      <c r="F498" t="str">
        <f t="shared" si="47"/>
        <v>0000</v>
      </c>
    </row>
    <row r="499" spans="3:6">
      <c r="C499" t="str">
        <f t="shared" si="46"/>
        <v>5</v>
      </c>
      <c r="D499">
        <v>38</v>
      </c>
      <c r="E499" t="str">
        <f>"32"</f>
        <v>32</v>
      </c>
      <c r="F499" t="str">
        <f t="shared" si="47"/>
        <v>0000</v>
      </c>
    </row>
    <row r="500" spans="3:6">
      <c r="C500" t="str">
        <f t="shared" si="46"/>
        <v>5</v>
      </c>
      <c r="D500">
        <v>38</v>
      </c>
      <c r="E500" t="str">
        <f>"30"</f>
        <v>30</v>
      </c>
      <c r="F500" t="str">
        <f t="shared" si="47"/>
        <v>0000</v>
      </c>
    </row>
    <row r="501" spans="3:6">
      <c r="C501" t="str">
        <f t="shared" si="46"/>
        <v>5</v>
      </c>
      <c r="D501">
        <v>38</v>
      </c>
      <c r="E501" t="str">
        <f>"283"</f>
        <v>283</v>
      </c>
      <c r="F501" t="str">
        <f t="shared" si="47"/>
        <v>0000</v>
      </c>
    </row>
    <row r="502" spans="3:6">
      <c r="C502" t="str">
        <f t="shared" si="46"/>
        <v>5</v>
      </c>
      <c r="D502">
        <v>38</v>
      </c>
      <c r="E502" t="str">
        <f>"270"</f>
        <v>270</v>
      </c>
      <c r="F502" t="str">
        <f t="shared" si="47"/>
        <v>0000</v>
      </c>
    </row>
    <row r="503" spans="3:6">
      <c r="C503" t="str">
        <f t="shared" si="46"/>
        <v>5</v>
      </c>
      <c r="D503">
        <v>38</v>
      </c>
      <c r="E503" t="str">
        <f>"269"</f>
        <v>269</v>
      </c>
      <c r="F503" t="str">
        <f t="shared" si="47"/>
        <v>0000</v>
      </c>
    </row>
    <row r="504" spans="3:6">
      <c r="C504" t="str">
        <f t="shared" si="46"/>
        <v>5</v>
      </c>
      <c r="D504">
        <v>38</v>
      </c>
      <c r="E504" t="str">
        <f>"267"</f>
        <v>267</v>
      </c>
      <c r="F504" t="str">
        <f t="shared" si="47"/>
        <v>0000</v>
      </c>
    </row>
    <row r="505" spans="3:6">
      <c r="C505" t="str">
        <f t="shared" si="46"/>
        <v>5</v>
      </c>
      <c r="D505">
        <v>38</v>
      </c>
      <c r="E505" t="str">
        <f>"266"</f>
        <v>266</v>
      </c>
      <c r="F505" t="str">
        <f t="shared" si="47"/>
        <v>0000</v>
      </c>
    </row>
    <row r="506" spans="3:6">
      <c r="C506" t="str">
        <f t="shared" si="46"/>
        <v>5</v>
      </c>
      <c r="D506">
        <v>38</v>
      </c>
      <c r="E506" t="str">
        <f>"264"</f>
        <v>264</v>
      </c>
      <c r="F506" t="str">
        <f t="shared" si="47"/>
        <v>0000</v>
      </c>
    </row>
    <row r="507" spans="3:6">
      <c r="C507" t="str">
        <f t="shared" si="46"/>
        <v>5</v>
      </c>
      <c r="D507">
        <v>38</v>
      </c>
      <c r="E507" t="str">
        <f>"261"</f>
        <v>261</v>
      </c>
      <c r="F507" t="str">
        <f t="shared" si="47"/>
        <v>0000</v>
      </c>
    </row>
    <row r="508" spans="3:6">
      <c r="C508" t="str">
        <f t="shared" si="46"/>
        <v>5</v>
      </c>
      <c r="D508">
        <v>38</v>
      </c>
      <c r="E508" t="str">
        <f>"259"</f>
        <v>259</v>
      </c>
      <c r="F508" t="str">
        <f t="shared" si="47"/>
        <v>0000</v>
      </c>
    </row>
    <row r="509" spans="3:6">
      <c r="C509" t="str">
        <f t="shared" si="46"/>
        <v>5</v>
      </c>
      <c r="D509">
        <v>38</v>
      </c>
      <c r="E509" t="str">
        <f>"224"</f>
        <v>224</v>
      </c>
      <c r="F509" t="str">
        <f t="shared" si="47"/>
        <v>0000</v>
      </c>
    </row>
    <row r="510" spans="3:6">
      <c r="C510" t="str">
        <f t="shared" si="46"/>
        <v>5</v>
      </c>
      <c r="D510">
        <v>38</v>
      </c>
      <c r="E510" t="str">
        <f>"227"</f>
        <v>227</v>
      </c>
      <c r="F510" t="str">
        <f t="shared" si="47"/>
        <v>0000</v>
      </c>
    </row>
    <row r="511" spans="3:6">
      <c r="C511" t="str">
        <f t="shared" si="46"/>
        <v>5</v>
      </c>
      <c r="D511">
        <v>38</v>
      </c>
      <c r="E511" t="str">
        <f>"24"</f>
        <v>24</v>
      </c>
      <c r="F511" t="str">
        <f t="shared" si="47"/>
        <v>0000</v>
      </c>
    </row>
    <row r="512" spans="3:6">
      <c r="C512" t="str">
        <f t="shared" si="46"/>
        <v>5</v>
      </c>
      <c r="D512">
        <v>38</v>
      </c>
      <c r="E512" t="str">
        <f>"220"</f>
        <v>220</v>
      </c>
      <c r="F512" t="str">
        <f t="shared" si="47"/>
        <v>0000</v>
      </c>
    </row>
    <row r="513" spans="1:6">
      <c r="A513" t="str">
        <f>"E571-12"</f>
        <v>E571-12</v>
      </c>
      <c r="B513" t="str">
        <f>"VIA GUALCO  54-"</f>
        <v>VIA GUALCO  54-</v>
      </c>
      <c r="C513" t="str">
        <f t="shared" si="46"/>
        <v>5</v>
      </c>
      <c r="D513">
        <v>38</v>
      </c>
      <c r="E513" t="str">
        <f>"22"</f>
        <v>22</v>
      </c>
      <c r="F513" t="str">
        <f t="shared" si="47"/>
        <v>0000</v>
      </c>
    </row>
    <row r="514" spans="1:6">
      <c r="C514" t="str">
        <f t="shared" si="46"/>
        <v>5</v>
      </c>
      <c r="D514">
        <v>38</v>
      </c>
      <c r="E514" t="str">
        <f>"30"</f>
        <v>30</v>
      </c>
      <c r="F514" t="str">
        <f t="shared" si="47"/>
        <v>0000</v>
      </c>
    </row>
    <row r="515" spans="1:6">
      <c r="C515" t="str">
        <f t="shared" ref="C515:C578" si="48">"5"</f>
        <v>5</v>
      </c>
      <c r="D515">
        <v>38</v>
      </c>
      <c r="E515" t="str">
        <f>"283"</f>
        <v>283</v>
      </c>
      <c r="F515" t="str">
        <f t="shared" ref="F515:F578" si="49">"0000"</f>
        <v>0000</v>
      </c>
    </row>
    <row r="516" spans="1:6">
      <c r="C516" t="str">
        <f t="shared" si="48"/>
        <v>5</v>
      </c>
      <c r="D516">
        <v>38</v>
      </c>
      <c r="E516" t="str">
        <f>"270"</f>
        <v>270</v>
      </c>
      <c r="F516" t="str">
        <f t="shared" si="49"/>
        <v>0000</v>
      </c>
    </row>
    <row r="517" spans="1:6">
      <c r="C517" t="str">
        <f t="shared" si="48"/>
        <v>5</v>
      </c>
      <c r="D517">
        <v>38</v>
      </c>
      <c r="E517" t="str">
        <f>"269"</f>
        <v>269</v>
      </c>
      <c r="F517" t="str">
        <f t="shared" si="49"/>
        <v>0000</v>
      </c>
    </row>
    <row r="518" spans="1:6">
      <c r="C518" t="str">
        <f t="shared" si="48"/>
        <v>5</v>
      </c>
      <c r="D518">
        <v>38</v>
      </c>
      <c r="E518" t="str">
        <f>"267"</f>
        <v>267</v>
      </c>
      <c r="F518" t="str">
        <f t="shared" si="49"/>
        <v>0000</v>
      </c>
    </row>
    <row r="519" spans="1:6">
      <c r="C519" t="str">
        <f t="shared" si="48"/>
        <v>5</v>
      </c>
      <c r="D519">
        <v>38</v>
      </c>
      <c r="E519" t="str">
        <f>"266"</f>
        <v>266</v>
      </c>
      <c r="F519" t="str">
        <f t="shared" si="49"/>
        <v>0000</v>
      </c>
    </row>
    <row r="520" spans="1:6">
      <c r="C520" t="str">
        <f t="shared" si="48"/>
        <v>5</v>
      </c>
      <c r="D520">
        <v>38</v>
      </c>
      <c r="E520" t="str">
        <f>"265"</f>
        <v>265</v>
      </c>
      <c r="F520" t="str">
        <f t="shared" si="49"/>
        <v>0000</v>
      </c>
    </row>
    <row r="521" spans="1:6">
      <c r="C521" t="str">
        <f t="shared" si="48"/>
        <v>5</v>
      </c>
      <c r="D521">
        <v>38</v>
      </c>
      <c r="E521" t="str">
        <f>"264"</f>
        <v>264</v>
      </c>
      <c r="F521" t="str">
        <f t="shared" si="49"/>
        <v>0000</v>
      </c>
    </row>
    <row r="522" spans="1:6">
      <c r="C522" t="str">
        <f t="shared" si="48"/>
        <v>5</v>
      </c>
      <c r="D522">
        <v>38</v>
      </c>
      <c r="E522" t="str">
        <f>"263"</f>
        <v>263</v>
      </c>
      <c r="F522" t="str">
        <f t="shared" si="49"/>
        <v>0000</v>
      </c>
    </row>
    <row r="523" spans="1:6">
      <c r="C523" t="str">
        <f t="shared" si="48"/>
        <v>5</v>
      </c>
      <c r="D523">
        <v>38</v>
      </c>
      <c r="E523" t="str">
        <f>"33"</f>
        <v>33</v>
      </c>
      <c r="F523" t="str">
        <f t="shared" si="49"/>
        <v>0000</v>
      </c>
    </row>
    <row r="524" spans="1:6">
      <c r="C524" t="str">
        <f t="shared" si="48"/>
        <v>5</v>
      </c>
      <c r="D524">
        <v>38</v>
      </c>
      <c r="E524" t="str">
        <f>"32"</f>
        <v>32</v>
      </c>
      <c r="F524" t="str">
        <f t="shared" si="49"/>
        <v>0000</v>
      </c>
    </row>
    <row r="525" spans="1:6">
      <c r="C525" t="str">
        <f t="shared" si="48"/>
        <v>5</v>
      </c>
      <c r="D525">
        <v>38</v>
      </c>
      <c r="E525" t="str">
        <f>"227"</f>
        <v>227</v>
      </c>
      <c r="F525" t="str">
        <f t="shared" si="49"/>
        <v>0000</v>
      </c>
    </row>
    <row r="526" spans="1:6">
      <c r="C526" t="str">
        <f t="shared" si="48"/>
        <v>5</v>
      </c>
      <c r="D526">
        <v>38</v>
      </c>
      <c r="E526" t="str">
        <f>"24"</f>
        <v>24</v>
      </c>
      <c r="F526" t="str">
        <f t="shared" si="49"/>
        <v>0000</v>
      </c>
    </row>
    <row r="527" spans="1:6">
      <c r="C527" t="str">
        <f t="shared" si="48"/>
        <v>5</v>
      </c>
      <c r="D527">
        <v>38</v>
      </c>
      <c r="E527" t="str">
        <f>"259"</f>
        <v>259</v>
      </c>
      <c r="F527" t="str">
        <f t="shared" si="49"/>
        <v>0000</v>
      </c>
    </row>
    <row r="528" spans="1:6">
      <c r="C528" t="str">
        <f t="shared" si="48"/>
        <v>5</v>
      </c>
      <c r="D528">
        <v>38</v>
      </c>
      <c r="E528" t="str">
        <f>"261"</f>
        <v>261</v>
      </c>
      <c r="F528" t="str">
        <f t="shared" si="49"/>
        <v>0000</v>
      </c>
    </row>
    <row r="529" spans="1:6">
      <c r="C529" t="str">
        <f t="shared" si="48"/>
        <v>5</v>
      </c>
      <c r="D529">
        <v>38</v>
      </c>
      <c r="E529" t="str">
        <f>"260"</f>
        <v>260</v>
      </c>
      <c r="F529" t="str">
        <f t="shared" si="49"/>
        <v>0000</v>
      </c>
    </row>
    <row r="530" spans="1:6">
      <c r="C530" t="str">
        <f t="shared" si="48"/>
        <v>5</v>
      </c>
      <c r="D530">
        <v>38</v>
      </c>
      <c r="E530" t="str">
        <f>"224"</f>
        <v>224</v>
      </c>
      <c r="F530" t="str">
        <f t="shared" si="49"/>
        <v>0000</v>
      </c>
    </row>
    <row r="531" spans="1:6">
      <c r="C531" t="str">
        <f t="shared" si="48"/>
        <v>5</v>
      </c>
      <c r="D531">
        <v>38</v>
      </c>
      <c r="E531" t="str">
        <f>"220"</f>
        <v>220</v>
      </c>
      <c r="F531" t="str">
        <f t="shared" si="49"/>
        <v>0000</v>
      </c>
    </row>
    <row r="532" spans="1:6">
      <c r="A532" t="str">
        <f>"E571-13"</f>
        <v>E571-13</v>
      </c>
      <c r="B532" t="str">
        <f>"VIA GUALCO  54-"</f>
        <v>VIA GUALCO  54-</v>
      </c>
      <c r="C532" t="str">
        <f t="shared" si="48"/>
        <v>5</v>
      </c>
      <c r="D532">
        <v>38</v>
      </c>
      <c r="E532" t="str">
        <f>"22"</f>
        <v>22</v>
      </c>
      <c r="F532" t="str">
        <f t="shared" si="49"/>
        <v>0000</v>
      </c>
    </row>
    <row r="533" spans="1:6">
      <c r="C533" t="str">
        <f t="shared" si="48"/>
        <v>5</v>
      </c>
      <c r="D533">
        <v>38</v>
      </c>
      <c r="E533" t="str">
        <f>"227"</f>
        <v>227</v>
      </c>
      <c r="F533" t="str">
        <f t="shared" si="49"/>
        <v>0000</v>
      </c>
    </row>
    <row r="534" spans="1:6">
      <c r="C534" t="str">
        <f t="shared" si="48"/>
        <v>5</v>
      </c>
      <c r="D534">
        <v>38</v>
      </c>
      <c r="E534" t="str">
        <f>"259"</f>
        <v>259</v>
      </c>
      <c r="F534" t="str">
        <f t="shared" si="49"/>
        <v>0000</v>
      </c>
    </row>
    <row r="535" spans="1:6">
      <c r="C535" t="str">
        <f t="shared" si="48"/>
        <v>5</v>
      </c>
      <c r="D535">
        <v>38</v>
      </c>
      <c r="E535" t="str">
        <f>"261"</f>
        <v>261</v>
      </c>
      <c r="F535" t="str">
        <f t="shared" si="49"/>
        <v>0000</v>
      </c>
    </row>
    <row r="536" spans="1:6">
      <c r="C536" t="str">
        <f t="shared" si="48"/>
        <v>5</v>
      </c>
      <c r="D536">
        <v>38</v>
      </c>
      <c r="E536" t="str">
        <f>"264"</f>
        <v>264</v>
      </c>
      <c r="F536" t="str">
        <f t="shared" si="49"/>
        <v>0000</v>
      </c>
    </row>
    <row r="537" spans="1:6">
      <c r="C537" t="str">
        <f t="shared" si="48"/>
        <v>5</v>
      </c>
      <c r="D537">
        <v>38</v>
      </c>
      <c r="E537" t="str">
        <f>"266"</f>
        <v>266</v>
      </c>
      <c r="F537" t="str">
        <f t="shared" si="49"/>
        <v>0000</v>
      </c>
    </row>
    <row r="538" spans="1:6">
      <c r="C538" t="str">
        <f t="shared" si="48"/>
        <v>5</v>
      </c>
      <c r="D538">
        <v>38</v>
      </c>
      <c r="E538" t="str">
        <f>"269"</f>
        <v>269</v>
      </c>
      <c r="F538" t="str">
        <f t="shared" si="49"/>
        <v>0000</v>
      </c>
    </row>
    <row r="539" spans="1:6">
      <c r="C539" t="str">
        <f t="shared" si="48"/>
        <v>5</v>
      </c>
      <c r="D539">
        <v>38</v>
      </c>
      <c r="E539" t="str">
        <f>"33"</f>
        <v>33</v>
      </c>
      <c r="F539" t="str">
        <f t="shared" si="49"/>
        <v>0000</v>
      </c>
    </row>
    <row r="540" spans="1:6">
      <c r="C540" t="str">
        <f t="shared" si="48"/>
        <v>5</v>
      </c>
      <c r="D540">
        <v>38</v>
      </c>
      <c r="E540" t="str">
        <f>"32"</f>
        <v>32</v>
      </c>
      <c r="F540" t="str">
        <f t="shared" si="49"/>
        <v>0000</v>
      </c>
    </row>
    <row r="541" spans="1:6">
      <c r="C541" t="str">
        <f t="shared" si="48"/>
        <v>5</v>
      </c>
      <c r="D541">
        <v>38</v>
      </c>
      <c r="E541" t="str">
        <f>"30"</f>
        <v>30</v>
      </c>
      <c r="F541" t="str">
        <f t="shared" si="49"/>
        <v>0000</v>
      </c>
    </row>
    <row r="542" spans="1:6">
      <c r="C542" t="str">
        <f t="shared" si="48"/>
        <v>5</v>
      </c>
      <c r="D542">
        <v>38</v>
      </c>
      <c r="E542" t="str">
        <f>"283"</f>
        <v>283</v>
      </c>
      <c r="F542" t="str">
        <f t="shared" si="49"/>
        <v>0000</v>
      </c>
    </row>
    <row r="543" spans="1:6">
      <c r="C543" t="str">
        <f t="shared" si="48"/>
        <v>5</v>
      </c>
      <c r="D543">
        <v>38</v>
      </c>
      <c r="E543" t="str">
        <f>"270"</f>
        <v>270</v>
      </c>
      <c r="F543" t="str">
        <f t="shared" si="49"/>
        <v>0000</v>
      </c>
    </row>
    <row r="544" spans="1:6">
      <c r="C544" t="str">
        <f t="shared" si="48"/>
        <v>5</v>
      </c>
      <c r="D544">
        <v>38</v>
      </c>
      <c r="E544" t="str">
        <f>"267"</f>
        <v>267</v>
      </c>
      <c r="F544" t="str">
        <f t="shared" si="49"/>
        <v>0000</v>
      </c>
    </row>
    <row r="545" spans="1:6">
      <c r="C545" t="str">
        <f t="shared" si="48"/>
        <v>5</v>
      </c>
      <c r="D545">
        <v>38</v>
      </c>
      <c r="E545" t="str">
        <f>"265"</f>
        <v>265</v>
      </c>
      <c r="F545" t="str">
        <f t="shared" si="49"/>
        <v>0000</v>
      </c>
    </row>
    <row r="546" spans="1:6">
      <c r="C546" t="str">
        <f t="shared" si="48"/>
        <v>5</v>
      </c>
      <c r="D546">
        <v>38</v>
      </c>
      <c r="E546" t="str">
        <f>"263"</f>
        <v>263</v>
      </c>
      <c r="F546" t="str">
        <f t="shared" si="49"/>
        <v>0000</v>
      </c>
    </row>
    <row r="547" spans="1:6">
      <c r="C547" t="str">
        <f t="shared" si="48"/>
        <v>5</v>
      </c>
      <c r="D547">
        <v>38</v>
      </c>
      <c r="E547" t="str">
        <f>"260"</f>
        <v>260</v>
      </c>
      <c r="F547" t="str">
        <f t="shared" si="49"/>
        <v>0000</v>
      </c>
    </row>
    <row r="548" spans="1:6">
      <c r="C548" t="str">
        <f t="shared" si="48"/>
        <v>5</v>
      </c>
      <c r="D548">
        <v>38</v>
      </c>
      <c r="E548" t="str">
        <f>"24"</f>
        <v>24</v>
      </c>
      <c r="F548" t="str">
        <f t="shared" si="49"/>
        <v>0000</v>
      </c>
    </row>
    <row r="549" spans="1:6">
      <c r="C549" t="str">
        <f t="shared" si="48"/>
        <v>5</v>
      </c>
      <c r="D549">
        <v>38</v>
      </c>
      <c r="E549" t="str">
        <f>"220"</f>
        <v>220</v>
      </c>
      <c r="F549" t="str">
        <f t="shared" si="49"/>
        <v>0000</v>
      </c>
    </row>
    <row r="550" spans="1:6">
      <c r="C550" t="str">
        <f t="shared" si="48"/>
        <v>5</v>
      </c>
      <c r="D550">
        <v>38</v>
      </c>
      <c r="E550" t="str">
        <f>"224"</f>
        <v>224</v>
      </c>
      <c r="F550" t="str">
        <f t="shared" si="49"/>
        <v>0000</v>
      </c>
    </row>
    <row r="551" spans="1:6">
      <c r="A551" t="str">
        <f>"E571-14"</f>
        <v>E571-14</v>
      </c>
      <c r="B551" t="str">
        <f>"VIA GUALCO  54-"</f>
        <v>VIA GUALCO  54-</v>
      </c>
      <c r="C551" t="str">
        <f t="shared" si="48"/>
        <v>5</v>
      </c>
      <c r="D551">
        <v>38</v>
      </c>
      <c r="E551" t="str">
        <f>"22"</f>
        <v>22</v>
      </c>
      <c r="F551" t="str">
        <f t="shared" si="49"/>
        <v>0000</v>
      </c>
    </row>
    <row r="552" spans="1:6">
      <c r="C552" t="str">
        <f t="shared" si="48"/>
        <v>5</v>
      </c>
      <c r="D552">
        <v>38</v>
      </c>
      <c r="E552" t="str">
        <f>"260"</f>
        <v>260</v>
      </c>
      <c r="F552" t="str">
        <f t="shared" si="49"/>
        <v>0000</v>
      </c>
    </row>
    <row r="553" spans="1:6">
      <c r="C553" t="str">
        <f t="shared" si="48"/>
        <v>5</v>
      </c>
      <c r="D553">
        <v>38</v>
      </c>
      <c r="E553" t="str">
        <f>"263"</f>
        <v>263</v>
      </c>
      <c r="F553" t="str">
        <f t="shared" si="49"/>
        <v>0000</v>
      </c>
    </row>
    <row r="554" spans="1:6">
      <c r="C554" t="str">
        <f t="shared" si="48"/>
        <v>5</v>
      </c>
      <c r="D554">
        <v>38</v>
      </c>
      <c r="E554" t="str">
        <f>"265"</f>
        <v>265</v>
      </c>
      <c r="F554" t="str">
        <f t="shared" si="49"/>
        <v>0000</v>
      </c>
    </row>
    <row r="555" spans="1:6">
      <c r="C555" t="str">
        <f t="shared" si="48"/>
        <v>5</v>
      </c>
      <c r="D555">
        <v>38</v>
      </c>
      <c r="E555" t="str">
        <f>"33"</f>
        <v>33</v>
      </c>
      <c r="F555" t="str">
        <f t="shared" si="49"/>
        <v>0000</v>
      </c>
    </row>
    <row r="556" spans="1:6">
      <c r="C556" t="str">
        <f t="shared" si="48"/>
        <v>5</v>
      </c>
      <c r="D556">
        <v>38</v>
      </c>
      <c r="E556" t="str">
        <f>"32"</f>
        <v>32</v>
      </c>
      <c r="F556" t="str">
        <f t="shared" si="49"/>
        <v>0000</v>
      </c>
    </row>
    <row r="557" spans="1:6">
      <c r="C557" t="str">
        <f t="shared" si="48"/>
        <v>5</v>
      </c>
      <c r="D557">
        <v>38</v>
      </c>
      <c r="E557" t="str">
        <f>"30"</f>
        <v>30</v>
      </c>
      <c r="F557" t="str">
        <f t="shared" si="49"/>
        <v>0000</v>
      </c>
    </row>
    <row r="558" spans="1:6">
      <c r="C558" t="str">
        <f t="shared" si="48"/>
        <v>5</v>
      </c>
      <c r="D558">
        <v>38</v>
      </c>
      <c r="E558" t="str">
        <f>"283"</f>
        <v>283</v>
      </c>
      <c r="F558" t="str">
        <f t="shared" si="49"/>
        <v>0000</v>
      </c>
    </row>
    <row r="559" spans="1:6">
      <c r="C559" t="str">
        <f t="shared" si="48"/>
        <v>5</v>
      </c>
      <c r="D559">
        <v>38</v>
      </c>
      <c r="E559" t="str">
        <f>"270"</f>
        <v>270</v>
      </c>
      <c r="F559" t="str">
        <f t="shared" si="49"/>
        <v>0000</v>
      </c>
    </row>
    <row r="560" spans="1:6">
      <c r="C560" t="str">
        <f t="shared" si="48"/>
        <v>5</v>
      </c>
      <c r="D560">
        <v>38</v>
      </c>
      <c r="E560" t="str">
        <f>"269"</f>
        <v>269</v>
      </c>
      <c r="F560" t="str">
        <f t="shared" si="49"/>
        <v>0000</v>
      </c>
    </row>
    <row r="561" spans="1:6">
      <c r="C561" t="str">
        <f t="shared" si="48"/>
        <v>5</v>
      </c>
      <c r="D561">
        <v>38</v>
      </c>
      <c r="E561" t="str">
        <f>"267"</f>
        <v>267</v>
      </c>
      <c r="F561" t="str">
        <f t="shared" si="49"/>
        <v>0000</v>
      </c>
    </row>
    <row r="562" spans="1:6">
      <c r="C562" t="str">
        <f t="shared" si="48"/>
        <v>5</v>
      </c>
      <c r="D562">
        <v>38</v>
      </c>
      <c r="E562" t="str">
        <f>"266"</f>
        <v>266</v>
      </c>
      <c r="F562" t="str">
        <f t="shared" si="49"/>
        <v>0000</v>
      </c>
    </row>
    <row r="563" spans="1:6">
      <c r="C563" t="str">
        <f t="shared" si="48"/>
        <v>5</v>
      </c>
      <c r="D563">
        <v>38</v>
      </c>
      <c r="E563" t="str">
        <f>"264"</f>
        <v>264</v>
      </c>
      <c r="F563" t="str">
        <f t="shared" si="49"/>
        <v>0000</v>
      </c>
    </row>
    <row r="564" spans="1:6">
      <c r="C564" t="str">
        <f t="shared" si="48"/>
        <v>5</v>
      </c>
      <c r="D564">
        <v>38</v>
      </c>
      <c r="E564" t="str">
        <f>"261"</f>
        <v>261</v>
      </c>
      <c r="F564" t="str">
        <f t="shared" si="49"/>
        <v>0000</v>
      </c>
    </row>
    <row r="565" spans="1:6">
      <c r="C565" t="str">
        <f t="shared" si="48"/>
        <v>5</v>
      </c>
      <c r="D565">
        <v>38</v>
      </c>
      <c r="E565" t="str">
        <f>"259"</f>
        <v>259</v>
      </c>
      <c r="F565" t="str">
        <f t="shared" si="49"/>
        <v>0000</v>
      </c>
    </row>
    <row r="566" spans="1:6">
      <c r="C566" t="str">
        <f t="shared" si="48"/>
        <v>5</v>
      </c>
      <c r="D566">
        <v>38</v>
      </c>
      <c r="E566" t="str">
        <f>"224"</f>
        <v>224</v>
      </c>
      <c r="F566" t="str">
        <f t="shared" si="49"/>
        <v>0000</v>
      </c>
    </row>
    <row r="567" spans="1:6">
      <c r="C567" t="str">
        <f t="shared" si="48"/>
        <v>5</v>
      </c>
      <c r="D567">
        <v>38</v>
      </c>
      <c r="E567" t="str">
        <f>"227"</f>
        <v>227</v>
      </c>
      <c r="F567" t="str">
        <f t="shared" si="49"/>
        <v>0000</v>
      </c>
    </row>
    <row r="568" spans="1:6">
      <c r="C568" t="str">
        <f t="shared" si="48"/>
        <v>5</v>
      </c>
      <c r="D568">
        <v>38</v>
      </c>
      <c r="E568" t="str">
        <f>"24"</f>
        <v>24</v>
      </c>
      <c r="F568" t="str">
        <f t="shared" si="49"/>
        <v>0000</v>
      </c>
    </row>
    <row r="569" spans="1:6">
      <c r="C569" t="str">
        <f t="shared" si="48"/>
        <v>5</v>
      </c>
      <c r="D569">
        <v>38</v>
      </c>
      <c r="E569" t="str">
        <f>"220"</f>
        <v>220</v>
      </c>
      <c r="F569" t="str">
        <f t="shared" si="49"/>
        <v>0000</v>
      </c>
    </row>
    <row r="570" spans="1:6">
      <c r="A570" t="str">
        <f>"E571-15"</f>
        <v>E571-15</v>
      </c>
      <c r="B570" t="str">
        <f>"VIA GUALCO  54-"</f>
        <v>VIA GUALCO  54-</v>
      </c>
      <c r="C570" t="str">
        <f t="shared" si="48"/>
        <v>5</v>
      </c>
      <c r="D570">
        <v>38</v>
      </c>
      <c r="E570" t="str">
        <f>"22"</f>
        <v>22</v>
      </c>
      <c r="F570" t="str">
        <f t="shared" si="49"/>
        <v>0000</v>
      </c>
    </row>
    <row r="571" spans="1:6">
      <c r="C571" t="str">
        <f t="shared" si="48"/>
        <v>5</v>
      </c>
      <c r="D571">
        <v>38</v>
      </c>
      <c r="E571" t="str">
        <f>"33"</f>
        <v>33</v>
      </c>
      <c r="F571" t="str">
        <f t="shared" si="49"/>
        <v>0000</v>
      </c>
    </row>
    <row r="572" spans="1:6">
      <c r="C572" t="str">
        <f t="shared" si="48"/>
        <v>5</v>
      </c>
      <c r="D572">
        <v>38</v>
      </c>
      <c r="E572" t="str">
        <f>"32"</f>
        <v>32</v>
      </c>
      <c r="F572" t="str">
        <f t="shared" si="49"/>
        <v>0000</v>
      </c>
    </row>
    <row r="573" spans="1:6">
      <c r="C573" t="str">
        <f t="shared" si="48"/>
        <v>5</v>
      </c>
      <c r="D573">
        <v>38</v>
      </c>
      <c r="E573" t="str">
        <f>"30"</f>
        <v>30</v>
      </c>
      <c r="F573" t="str">
        <f t="shared" si="49"/>
        <v>0000</v>
      </c>
    </row>
    <row r="574" spans="1:6">
      <c r="C574" t="str">
        <f t="shared" si="48"/>
        <v>5</v>
      </c>
      <c r="D574">
        <v>38</v>
      </c>
      <c r="E574" t="str">
        <f>"283"</f>
        <v>283</v>
      </c>
      <c r="F574" t="str">
        <f t="shared" si="49"/>
        <v>0000</v>
      </c>
    </row>
    <row r="575" spans="1:6">
      <c r="C575" t="str">
        <f t="shared" si="48"/>
        <v>5</v>
      </c>
      <c r="D575">
        <v>38</v>
      </c>
      <c r="E575" t="str">
        <f>"270"</f>
        <v>270</v>
      </c>
      <c r="F575" t="str">
        <f t="shared" si="49"/>
        <v>0000</v>
      </c>
    </row>
    <row r="576" spans="1:6">
      <c r="C576" t="str">
        <f t="shared" si="48"/>
        <v>5</v>
      </c>
      <c r="D576">
        <v>38</v>
      </c>
      <c r="E576" t="str">
        <f>"269"</f>
        <v>269</v>
      </c>
      <c r="F576" t="str">
        <f t="shared" si="49"/>
        <v>0000</v>
      </c>
    </row>
    <row r="577" spans="1:6">
      <c r="C577" t="str">
        <f t="shared" si="48"/>
        <v>5</v>
      </c>
      <c r="D577">
        <v>38</v>
      </c>
      <c r="E577" t="str">
        <f>"267"</f>
        <v>267</v>
      </c>
      <c r="F577" t="str">
        <f t="shared" si="49"/>
        <v>0000</v>
      </c>
    </row>
    <row r="578" spans="1:6">
      <c r="C578" t="str">
        <f t="shared" si="48"/>
        <v>5</v>
      </c>
      <c r="D578">
        <v>38</v>
      </c>
      <c r="E578" t="str">
        <f>"266"</f>
        <v>266</v>
      </c>
      <c r="F578" t="str">
        <f t="shared" si="49"/>
        <v>0000</v>
      </c>
    </row>
    <row r="579" spans="1:6">
      <c r="C579" t="str">
        <f t="shared" ref="C579:C642" si="50">"5"</f>
        <v>5</v>
      </c>
      <c r="D579">
        <v>38</v>
      </c>
      <c r="E579" t="str">
        <f>"265"</f>
        <v>265</v>
      </c>
      <c r="F579" t="str">
        <f t="shared" ref="F579:F642" si="51">"0000"</f>
        <v>0000</v>
      </c>
    </row>
    <row r="580" spans="1:6">
      <c r="C580" t="str">
        <f t="shared" si="50"/>
        <v>5</v>
      </c>
      <c r="D580">
        <v>38</v>
      </c>
      <c r="E580" t="str">
        <f>"264"</f>
        <v>264</v>
      </c>
      <c r="F580" t="str">
        <f t="shared" si="51"/>
        <v>0000</v>
      </c>
    </row>
    <row r="581" spans="1:6">
      <c r="C581" t="str">
        <f t="shared" si="50"/>
        <v>5</v>
      </c>
      <c r="D581">
        <v>38</v>
      </c>
      <c r="E581" t="str">
        <f>"263"</f>
        <v>263</v>
      </c>
      <c r="F581" t="str">
        <f t="shared" si="51"/>
        <v>0000</v>
      </c>
    </row>
    <row r="582" spans="1:6">
      <c r="C582" t="str">
        <f t="shared" si="50"/>
        <v>5</v>
      </c>
      <c r="D582">
        <v>38</v>
      </c>
      <c r="E582" t="str">
        <f>"227"</f>
        <v>227</v>
      </c>
      <c r="F582" t="str">
        <f t="shared" si="51"/>
        <v>0000</v>
      </c>
    </row>
    <row r="583" spans="1:6">
      <c r="C583" t="str">
        <f t="shared" si="50"/>
        <v>5</v>
      </c>
      <c r="D583">
        <v>38</v>
      </c>
      <c r="E583" t="str">
        <f>"24"</f>
        <v>24</v>
      </c>
      <c r="F583" t="str">
        <f t="shared" si="51"/>
        <v>0000</v>
      </c>
    </row>
    <row r="584" spans="1:6">
      <c r="C584" t="str">
        <f t="shared" si="50"/>
        <v>5</v>
      </c>
      <c r="D584">
        <v>38</v>
      </c>
      <c r="E584" t="str">
        <f>"259"</f>
        <v>259</v>
      </c>
      <c r="F584" t="str">
        <f t="shared" si="51"/>
        <v>0000</v>
      </c>
    </row>
    <row r="585" spans="1:6">
      <c r="C585" t="str">
        <f t="shared" si="50"/>
        <v>5</v>
      </c>
      <c r="D585">
        <v>38</v>
      </c>
      <c r="E585" t="str">
        <f>"261"</f>
        <v>261</v>
      </c>
      <c r="F585" t="str">
        <f t="shared" si="51"/>
        <v>0000</v>
      </c>
    </row>
    <row r="586" spans="1:6">
      <c r="C586" t="str">
        <f t="shared" si="50"/>
        <v>5</v>
      </c>
      <c r="D586">
        <v>38</v>
      </c>
      <c r="E586" t="str">
        <f>"260"</f>
        <v>260</v>
      </c>
      <c r="F586" t="str">
        <f t="shared" si="51"/>
        <v>0000</v>
      </c>
    </row>
    <row r="587" spans="1:6">
      <c r="C587" t="str">
        <f t="shared" si="50"/>
        <v>5</v>
      </c>
      <c r="D587">
        <v>38</v>
      </c>
      <c r="E587" t="str">
        <f>"224"</f>
        <v>224</v>
      </c>
      <c r="F587" t="str">
        <f t="shared" si="51"/>
        <v>0000</v>
      </c>
    </row>
    <row r="588" spans="1:6">
      <c r="C588" t="str">
        <f t="shared" si="50"/>
        <v>5</v>
      </c>
      <c r="D588">
        <v>38</v>
      </c>
      <c r="E588" t="str">
        <f>"220"</f>
        <v>220</v>
      </c>
      <c r="F588" t="str">
        <f t="shared" si="51"/>
        <v>0000</v>
      </c>
    </row>
    <row r="589" spans="1:6">
      <c r="A589" t="str">
        <f>"E571-16"</f>
        <v>E571-16</v>
      </c>
      <c r="B589" t="str">
        <f>"VIA GUALCO  54-"</f>
        <v>VIA GUALCO  54-</v>
      </c>
      <c r="C589" t="str">
        <f t="shared" si="50"/>
        <v>5</v>
      </c>
      <c r="D589">
        <v>38</v>
      </c>
      <c r="E589" t="str">
        <f>"22"</f>
        <v>22</v>
      </c>
      <c r="F589" t="str">
        <f t="shared" si="51"/>
        <v>0000</v>
      </c>
    </row>
    <row r="590" spans="1:6">
      <c r="C590" t="str">
        <f t="shared" si="50"/>
        <v>5</v>
      </c>
      <c r="D590">
        <v>38</v>
      </c>
      <c r="E590" t="str">
        <f>"30"</f>
        <v>30</v>
      </c>
      <c r="F590" t="str">
        <f t="shared" si="51"/>
        <v>0000</v>
      </c>
    </row>
    <row r="591" spans="1:6">
      <c r="C591" t="str">
        <f t="shared" si="50"/>
        <v>5</v>
      </c>
      <c r="D591">
        <v>38</v>
      </c>
      <c r="E591" t="str">
        <f>"283"</f>
        <v>283</v>
      </c>
      <c r="F591" t="str">
        <f t="shared" si="51"/>
        <v>0000</v>
      </c>
    </row>
    <row r="592" spans="1:6">
      <c r="C592" t="str">
        <f t="shared" si="50"/>
        <v>5</v>
      </c>
      <c r="D592">
        <v>38</v>
      </c>
      <c r="E592" t="str">
        <f>"270"</f>
        <v>270</v>
      </c>
      <c r="F592" t="str">
        <f t="shared" si="51"/>
        <v>0000</v>
      </c>
    </row>
    <row r="593" spans="1:6">
      <c r="C593" t="str">
        <f t="shared" si="50"/>
        <v>5</v>
      </c>
      <c r="D593">
        <v>38</v>
      </c>
      <c r="E593" t="str">
        <f>"269"</f>
        <v>269</v>
      </c>
      <c r="F593" t="str">
        <f t="shared" si="51"/>
        <v>0000</v>
      </c>
    </row>
    <row r="594" spans="1:6">
      <c r="C594" t="str">
        <f t="shared" si="50"/>
        <v>5</v>
      </c>
      <c r="D594">
        <v>38</v>
      </c>
      <c r="E594" t="str">
        <f>"267"</f>
        <v>267</v>
      </c>
      <c r="F594" t="str">
        <f t="shared" si="51"/>
        <v>0000</v>
      </c>
    </row>
    <row r="595" spans="1:6">
      <c r="C595" t="str">
        <f t="shared" si="50"/>
        <v>5</v>
      </c>
      <c r="D595">
        <v>38</v>
      </c>
      <c r="E595" t="str">
        <f>"266"</f>
        <v>266</v>
      </c>
      <c r="F595" t="str">
        <f t="shared" si="51"/>
        <v>0000</v>
      </c>
    </row>
    <row r="596" spans="1:6">
      <c r="C596" t="str">
        <f t="shared" si="50"/>
        <v>5</v>
      </c>
      <c r="D596">
        <v>38</v>
      </c>
      <c r="E596" t="str">
        <f>"265"</f>
        <v>265</v>
      </c>
      <c r="F596" t="str">
        <f t="shared" si="51"/>
        <v>0000</v>
      </c>
    </row>
    <row r="597" spans="1:6">
      <c r="C597" t="str">
        <f t="shared" si="50"/>
        <v>5</v>
      </c>
      <c r="D597">
        <v>38</v>
      </c>
      <c r="E597" t="str">
        <f>"264"</f>
        <v>264</v>
      </c>
      <c r="F597" t="str">
        <f t="shared" si="51"/>
        <v>0000</v>
      </c>
    </row>
    <row r="598" spans="1:6">
      <c r="C598" t="str">
        <f t="shared" si="50"/>
        <v>5</v>
      </c>
      <c r="D598">
        <v>38</v>
      </c>
      <c r="E598" t="str">
        <f>"263"</f>
        <v>263</v>
      </c>
      <c r="F598" t="str">
        <f t="shared" si="51"/>
        <v>0000</v>
      </c>
    </row>
    <row r="599" spans="1:6">
      <c r="C599" t="str">
        <f t="shared" si="50"/>
        <v>5</v>
      </c>
      <c r="D599">
        <v>38</v>
      </c>
      <c r="E599" t="str">
        <f>"33"</f>
        <v>33</v>
      </c>
      <c r="F599" t="str">
        <f t="shared" si="51"/>
        <v>0000</v>
      </c>
    </row>
    <row r="600" spans="1:6">
      <c r="C600" t="str">
        <f t="shared" si="50"/>
        <v>5</v>
      </c>
      <c r="D600">
        <v>38</v>
      </c>
      <c r="E600" t="str">
        <f>"32"</f>
        <v>32</v>
      </c>
      <c r="F600" t="str">
        <f t="shared" si="51"/>
        <v>0000</v>
      </c>
    </row>
    <row r="601" spans="1:6">
      <c r="C601" t="str">
        <f t="shared" si="50"/>
        <v>5</v>
      </c>
      <c r="D601">
        <v>38</v>
      </c>
      <c r="E601" t="str">
        <f>"227"</f>
        <v>227</v>
      </c>
      <c r="F601" t="str">
        <f t="shared" si="51"/>
        <v>0000</v>
      </c>
    </row>
    <row r="602" spans="1:6">
      <c r="C602" t="str">
        <f t="shared" si="50"/>
        <v>5</v>
      </c>
      <c r="D602">
        <v>38</v>
      </c>
      <c r="E602" t="str">
        <f>"24"</f>
        <v>24</v>
      </c>
      <c r="F602" t="str">
        <f t="shared" si="51"/>
        <v>0000</v>
      </c>
    </row>
    <row r="603" spans="1:6">
      <c r="C603" t="str">
        <f t="shared" si="50"/>
        <v>5</v>
      </c>
      <c r="D603">
        <v>38</v>
      </c>
      <c r="E603" t="str">
        <f>"259"</f>
        <v>259</v>
      </c>
      <c r="F603" t="str">
        <f t="shared" si="51"/>
        <v>0000</v>
      </c>
    </row>
    <row r="604" spans="1:6">
      <c r="C604" t="str">
        <f t="shared" si="50"/>
        <v>5</v>
      </c>
      <c r="D604">
        <v>38</v>
      </c>
      <c r="E604" t="str">
        <f>"261"</f>
        <v>261</v>
      </c>
      <c r="F604" t="str">
        <f t="shared" si="51"/>
        <v>0000</v>
      </c>
    </row>
    <row r="605" spans="1:6">
      <c r="C605" t="str">
        <f t="shared" si="50"/>
        <v>5</v>
      </c>
      <c r="D605">
        <v>38</v>
      </c>
      <c r="E605" t="str">
        <f>"260"</f>
        <v>260</v>
      </c>
      <c r="F605" t="str">
        <f t="shared" si="51"/>
        <v>0000</v>
      </c>
    </row>
    <row r="606" spans="1:6">
      <c r="C606" t="str">
        <f t="shared" si="50"/>
        <v>5</v>
      </c>
      <c r="D606">
        <v>38</v>
      </c>
      <c r="E606" t="str">
        <f>"224"</f>
        <v>224</v>
      </c>
      <c r="F606" t="str">
        <f t="shared" si="51"/>
        <v>0000</v>
      </c>
    </row>
    <row r="607" spans="1:6">
      <c r="C607" t="str">
        <f t="shared" si="50"/>
        <v>5</v>
      </c>
      <c r="D607">
        <v>38</v>
      </c>
      <c r="E607" t="str">
        <f>"220"</f>
        <v>220</v>
      </c>
      <c r="F607" t="str">
        <f t="shared" si="51"/>
        <v>0000</v>
      </c>
    </row>
    <row r="608" spans="1:6">
      <c r="A608" t="str">
        <f>"E571-17"</f>
        <v>E571-17</v>
      </c>
      <c r="B608" t="str">
        <f>"VIA GUALCO  54-"</f>
        <v>VIA GUALCO  54-</v>
      </c>
      <c r="C608" t="str">
        <f t="shared" si="50"/>
        <v>5</v>
      </c>
      <c r="D608">
        <v>38</v>
      </c>
      <c r="E608" t="str">
        <f>"22"</f>
        <v>22</v>
      </c>
      <c r="F608" t="str">
        <f t="shared" si="51"/>
        <v>0000</v>
      </c>
    </row>
    <row r="609" spans="3:6">
      <c r="C609" t="str">
        <f t="shared" si="50"/>
        <v>5</v>
      </c>
      <c r="D609">
        <v>38</v>
      </c>
      <c r="E609" t="str">
        <f>"227"</f>
        <v>227</v>
      </c>
      <c r="F609" t="str">
        <f t="shared" si="51"/>
        <v>0000</v>
      </c>
    </row>
    <row r="610" spans="3:6">
      <c r="C610" t="str">
        <f t="shared" si="50"/>
        <v>5</v>
      </c>
      <c r="D610">
        <v>38</v>
      </c>
      <c r="E610" t="str">
        <f>"259"</f>
        <v>259</v>
      </c>
      <c r="F610" t="str">
        <f t="shared" si="51"/>
        <v>0000</v>
      </c>
    </row>
    <row r="611" spans="3:6">
      <c r="C611" t="str">
        <f t="shared" si="50"/>
        <v>5</v>
      </c>
      <c r="D611">
        <v>38</v>
      </c>
      <c r="E611" t="str">
        <f>"261"</f>
        <v>261</v>
      </c>
      <c r="F611" t="str">
        <f t="shared" si="51"/>
        <v>0000</v>
      </c>
    </row>
    <row r="612" spans="3:6">
      <c r="C612" t="str">
        <f t="shared" si="50"/>
        <v>5</v>
      </c>
      <c r="D612">
        <v>38</v>
      </c>
      <c r="E612" t="str">
        <f>"264"</f>
        <v>264</v>
      </c>
      <c r="F612" t="str">
        <f t="shared" si="51"/>
        <v>0000</v>
      </c>
    </row>
    <row r="613" spans="3:6">
      <c r="C613" t="str">
        <f t="shared" si="50"/>
        <v>5</v>
      </c>
      <c r="D613">
        <v>38</v>
      </c>
      <c r="E613" t="str">
        <f>"266"</f>
        <v>266</v>
      </c>
      <c r="F613" t="str">
        <f t="shared" si="51"/>
        <v>0000</v>
      </c>
    </row>
    <row r="614" spans="3:6">
      <c r="C614" t="str">
        <f t="shared" si="50"/>
        <v>5</v>
      </c>
      <c r="D614">
        <v>38</v>
      </c>
      <c r="E614" t="str">
        <f>"269"</f>
        <v>269</v>
      </c>
      <c r="F614" t="str">
        <f t="shared" si="51"/>
        <v>0000</v>
      </c>
    </row>
    <row r="615" spans="3:6">
      <c r="C615" t="str">
        <f t="shared" si="50"/>
        <v>5</v>
      </c>
      <c r="D615">
        <v>38</v>
      </c>
      <c r="E615" t="str">
        <f>"33"</f>
        <v>33</v>
      </c>
      <c r="F615" t="str">
        <f t="shared" si="51"/>
        <v>0000</v>
      </c>
    </row>
    <row r="616" spans="3:6">
      <c r="C616" t="str">
        <f t="shared" si="50"/>
        <v>5</v>
      </c>
      <c r="D616">
        <v>38</v>
      </c>
      <c r="E616" t="str">
        <f>"32"</f>
        <v>32</v>
      </c>
      <c r="F616" t="str">
        <f t="shared" si="51"/>
        <v>0000</v>
      </c>
    </row>
    <row r="617" spans="3:6">
      <c r="C617" t="str">
        <f t="shared" si="50"/>
        <v>5</v>
      </c>
      <c r="D617">
        <v>38</v>
      </c>
      <c r="E617" t="str">
        <f>"30"</f>
        <v>30</v>
      </c>
      <c r="F617" t="str">
        <f t="shared" si="51"/>
        <v>0000</v>
      </c>
    </row>
    <row r="618" spans="3:6">
      <c r="C618" t="str">
        <f t="shared" si="50"/>
        <v>5</v>
      </c>
      <c r="D618">
        <v>38</v>
      </c>
      <c r="E618" t="str">
        <f>"283"</f>
        <v>283</v>
      </c>
      <c r="F618" t="str">
        <f t="shared" si="51"/>
        <v>0000</v>
      </c>
    </row>
    <row r="619" spans="3:6">
      <c r="C619" t="str">
        <f t="shared" si="50"/>
        <v>5</v>
      </c>
      <c r="D619">
        <v>38</v>
      </c>
      <c r="E619" t="str">
        <f>"270"</f>
        <v>270</v>
      </c>
      <c r="F619" t="str">
        <f t="shared" si="51"/>
        <v>0000</v>
      </c>
    </row>
    <row r="620" spans="3:6">
      <c r="C620" t="str">
        <f t="shared" si="50"/>
        <v>5</v>
      </c>
      <c r="D620">
        <v>38</v>
      </c>
      <c r="E620" t="str">
        <f>"267"</f>
        <v>267</v>
      </c>
      <c r="F620" t="str">
        <f t="shared" si="51"/>
        <v>0000</v>
      </c>
    </row>
    <row r="621" spans="3:6">
      <c r="C621" t="str">
        <f t="shared" si="50"/>
        <v>5</v>
      </c>
      <c r="D621">
        <v>38</v>
      </c>
      <c r="E621" t="str">
        <f>"265"</f>
        <v>265</v>
      </c>
      <c r="F621" t="str">
        <f t="shared" si="51"/>
        <v>0000</v>
      </c>
    </row>
    <row r="622" spans="3:6">
      <c r="C622" t="str">
        <f t="shared" si="50"/>
        <v>5</v>
      </c>
      <c r="D622">
        <v>38</v>
      </c>
      <c r="E622" t="str">
        <f>"263"</f>
        <v>263</v>
      </c>
      <c r="F622" t="str">
        <f t="shared" si="51"/>
        <v>0000</v>
      </c>
    </row>
    <row r="623" spans="3:6">
      <c r="C623" t="str">
        <f t="shared" si="50"/>
        <v>5</v>
      </c>
      <c r="D623">
        <v>38</v>
      </c>
      <c r="E623" t="str">
        <f>"260"</f>
        <v>260</v>
      </c>
      <c r="F623" t="str">
        <f t="shared" si="51"/>
        <v>0000</v>
      </c>
    </row>
    <row r="624" spans="3:6">
      <c r="C624" t="str">
        <f t="shared" si="50"/>
        <v>5</v>
      </c>
      <c r="D624">
        <v>38</v>
      </c>
      <c r="E624" t="str">
        <f>"24"</f>
        <v>24</v>
      </c>
      <c r="F624" t="str">
        <f t="shared" si="51"/>
        <v>0000</v>
      </c>
    </row>
    <row r="625" spans="1:6">
      <c r="C625" t="str">
        <f t="shared" si="50"/>
        <v>5</v>
      </c>
      <c r="D625">
        <v>38</v>
      </c>
      <c r="E625" t="str">
        <f>"220"</f>
        <v>220</v>
      </c>
      <c r="F625" t="str">
        <f t="shared" si="51"/>
        <v>0000</v>
      </c>
    </row>
    <row r="626" spans="1:6">
      <c r="C626" t="str">
        <f t="shared" si="50"/>
        <v>5</v>
      </c>
      <c r="D626">
        <v>38</v>
      </c>
      <c r="E626" t="str">
        <f>"224"</f>
        <v>224</v>
      </c>
      <c r="F626" t="str">
        <f t="shared" si="51"/>
        <v>0000</v>
      </c>
    </row>
    <row r="627" spans="1:6">
      <c r="A627" t="str">
        <f>"E571-18"</f>
        <v>E571-18</v>
      </c>
      <c r="B627" t="str">
        <f>"VIA GUALCO  54-"</f>
        <v>VIA GUALCO  54-</v>
      </c>
      <c r="C627" t="str">
        <f t="shared" si="50"/>
        <v>5</v>
      </c>
      <c r="D627">
        <v>38</v>
      </c>
      <c r="E627" t="str">
        <f>"22"</f>
        <v>22</v>
      </c>
      <c r="F627" t="str">
        <f t="shared" si="51"/>
        <v>0000</v>
      </c>
    </row>
    <row r="628" spans="1:6">
      <c r="C628" t="str">
        <f t="shared" si="50"/>
        <v>5</v>
      </c>
      <c r="D628">
        <v>38</v>
      </c>
      <c r="E628" t="str">
        <f>"260"</f>
        <v>260</v>
      </c>
      <c r="F628" t="str">
        <f t="shared" si="51"/>
        <v>0000</v>
      </c>
    </row>
    <row r="629" spans="1:6">
      <c r="C629" t="str">
        <f t="shared" si="50"/>
        <v>5</v>
      </c>
      <c r="D629">
        <v>38</v>
      </c>
      <c r="E629" t="str">
        <f>"263"</f>
        <v>263</v>
      </c>
      <c r="F629" t="str">
        <f t="shared" si="51"/>
        <v>0000</v>
      </c>
    </row>
    <row r="630" spans="1:6">
      <c r="C630" t="str">
        <f t="shared" si="50"/>
        <v>5</v>
      </c>
      <c r="D630">
        <v>38</v>
      </c>
      <c r="E630" t="str">
        <f>"265"</f>
        <v>265</v>
      </c>
      <c r="F630" t="str">
        <f t="shared" si="51"/>
        <v>0000</v>
      </c>
    </row>
    <row r="631" spans="1:6">
      <c r="C631" t="str">
        <f t="shared" si="50"/>
        <v>5</v>
      </c>
      <c r="D631">
        <v>38</v>
      </c>
      <c r="E631" t="str">
        <f>"33"</f>
        <v>33</v>
      </c>
      <c r="F631" t="str">
        <f t="shared" si="51"/>
        <v>0000</v>
      </c>
    </row>
    <row r="632" spans="1:6">
      <c r="C632" t="str">
        <f t="shared" si="50"/>
        <v>5</v>
      </c>
      <c r="D632">
        <v>38</v>
      </c>
      <c r="E632" t="str">
        <f>"32"</f>
        <v>32</v>
      </c>
      <c r="F632" t="str">
        <f t="shared" si="51"/>
        <v>0000</v>
      </c>
    </row>
    <row r="633" spans="1:6">
      <c r="C633" t="str">
        <f t="shared" si="50"/>
        <v>5</v>
      </c>
      <c r="D633">
        <v>38</v>
      </c>
      <c r="E633" t="str">
        <f>"30"</f>
        <v>30</v>
      </c>
      <c r="F633" t="str">
        <f t="shared" si="51"/>
        <v>0000</v>
      </c>
    </row>
    <row r="634" spans="1:6">
      <c r="C634" t="str">
        <f t="shared" si="50"/>
        <v>5</v>
      </c>
      <c r="D634">
        <v>38</v>
      </c>
      <c r="E634" t="str">
        <f>"283"</f>
        <v>283</v>
      </c>
      <c r="F634" t="str">
        <f t="shared" si="51"/>
        <v>0000</v>
      </c>
    </row>
    <row r="635" spans="1:6">
      <c r="C635" t="str">
        <f t="shared" si="50"/>
        <v>5</v>
      </c>
      <c r="D635">
        <v>38</v>
      </c>
      <c r="E635" t="str">
        <f>"270"</f>
        <v>270</v>
      </c>
      <c r="F635" t="str">
        <f t="shared" si="51"/>
        <v>0000</v>
      </c>
    </row>
    <row r="636" spans="1:6">
      <c r="C636" t="str">
        <f t="shared" si="50"/>
        <v>5</v>
      </c>
      <c r="D636">
        <v>38</v>
      </c>
      <c r="E636" t="str">
        <f>"269"</f>
        <v>269</v>
      </c>
      <c r="F636" t="str">
        <f t="shared" si="51"/>
        <v>0000</v>
      </c>
    </row>
    <row r="637" spans="1:6">
      <c r="C637" t="str">
        <f t="shared" si="50"/>
        <v>5</v>
      </c>
      <c r="D637">
        <v>38</v>
      </c>
      <c r="E637" t="str">
        <f>"267"</f>
        <v>267</v>
      </c>
      <c r="F637" t="str">
        <f t="shared" si="51"/>
        <v>0000</v>
      </c>
    </row>
    <row r="638" spans="1:6">
      <c r="C638" t="str">
        <f t="shared" si="50"/>
        <v>5</v>
      </c>
      <c r="D638">
        <v>38</v>
      </c>
      <c r="E638" t="str">
        <f>"266"</f>
        <v>266</v>
      </c>
      <c r="F638" t="str">
        <f t="shared" si="51"/>
        <v>0000</v>
      </c>
    </row>
    <row r="639" spans="1:6">
      <c r="C639" t="str">
        <f t="shared" si="50"/>
        <v>5</v>
      </c>
      <c r="D639">
        <v>38</v>
      </c>
      <c r="E639" t="str">
        <f>"264"</f>
        <v>264</v>
      </c>
      <c r="F639" t="str">
        <f t="shared" si="51"/>
        <v>0000</v>
      </c>
    </row>
    <row r="640" spans="1:6">
      <c r="C640" t="str">
        <f t="shared" si="50"/>
        <v>5</v>
      </c>
      <c r="D640">
        <v>38</v>
      </c>
      <c r="E640" t="str">
        <f>"261"</f>
        <v>261</v>
      </c>
      <c r="F640" t="str">
        <f t="shared" si="51"/>
        <v>0000</v>
      </c>
    </row>
    <row r="641" spans="1:6">
      <c r="C641" t="str">
        <f t="shared" si="50"/>
        <v>5</v>
      </c>
      <c r="D641">
        <v>38</v>
      </c>
      <c r="E641" t="str">
        <f>"259"</f>
        <v>259</v>
      </c>
      <c r="F641" t="str">
        <f t="shared" si="51"/>
        <v>0000</v>
      </c>
    </row>
    <row r="642" spans="1:6">
      <c r="C642" t="str">
        <f t="shared" si="50"/>
        <v>5</v>
      </c>
      <c r="D642">
        <v>38</v>
      </c>
      <c r="E642" t="str">
        <f>"224"</f>
        <v>224</v>
      </c>
      <c r="F642" t="str">
        <f t="shared" si="51"/>
        <v>0000</v>
      </c>
    </row>
    <row r="643" spans="1:6">
      <c r="C643" t="str">
        <f t="shared" ref="C643:C706" si="52">"5"</f>
        <v>5</v>
      </c>
      <c r="D643">
        <v>38</v>
      </c>
      <c r="E643" t="str">
        <f>"227"</f>
        <v>227</v>
      </c>
      <c r="F643" t="str">
        <f t="shared" ref="F643:F706" si="53">"0000"</f>
        <v>0000</v>
      </c>
    </row>
    <row r="644" spans="1:6">
      <c r="C644" t="str">
        <f t="shared" si="52"/>
        <v>5</v>
      </c>
      <c r="D644">
        <v>38</v>
      </c>
      <c r="E644" t="str">
        <f>"24"</f>
        <v>24</v>
      </c>
      <c r="F644" t="str">
        <f t="shared" si="53"/>
        <v>0000</v>
      </c>
    </row>
    <row r="645" spans="1:6">
      <c r="C645" t="str">
        <f t="shared" si="52"/>
        <v>5</v>
      </c>
      <c r="D645">
        <v>38</v>
      </c>
      <c r="E645" t="str">
        <f>"220"</f>
        <v>220</v>
      </c>
      <c r="F645" t="str">
        <f t="shared" si="53"/>
        <v>0000</v>
      </c>
    </row>
    <row r="646" spans="1:6">
      <c r="A646" t="str">
        <f>"E571-19"</f>
        <v>E571-19</v>
      </c>
      <c r="B646" t="str">
        <f>"VIA GUALCO  54-"</f>
        <v>VIA GUALCO  54-</v>
      </c>
      <c r="C646" t="str">
        <f t="shared" si="52"/>
        <v>5</v>
      </c>
      <c r="D646">
        <v>38</v>
      </c>
      <c r="E646" t="str">
        <f>"22"</f>
        <v>22</v>
      </c>
      <c r="F646" t="str">
        <f t="shared" si="53"/>
        <v>0000</v>
      </c>
    </row>
    <row r="647" spans="1:6">
      <c r="C647" t="str">
        <f t="shared" si="52"/>
        <v>5</v>
      </c>
      <c r="D647">
        <v>38</v>
      </c>
      <c r="E647" t="str">
        <f>"30"</f>
        <v>30</v>
      </c>
      <c r="F647" t="str">
        <f t="shared" si="53"/>
        <v>0000</v>
      </c>
    </row>
    <row r="648" spans="1:6">
      <c r="C648" t="str">
        <f t="shared" si="52"/>
        <v>5</v>
      </c>
      <c r="D648">
        <v>38</v>
      </c>
      <c r="E648" t="str">
        <f>"283"</f>
        <v>283</v>
      </c>
      <c r="F648" t="str">
        <f t="shared" si="53"/>
        <v>0000</v>
      </c>
    </row>
    <row r="649" spans="1:6">
      <c r="C649" t="str">
        <f t="shared" si="52"/>
        <v>5</v>
      </c>
      <c r="D649">
        <v>38</v>
      </c>
      <c r="E649" t="str">
        <f>"270"</f>
        <v>270</v>
      </c>
      <c r="F649" t="str">
        <f t="shared" si="53"/>
        <v>0000</v>
      </c>
    </row>
    <row r="650" spans="1:6">
      <c r="C650" t="str">
        <f t="shared" si="52"/>
        <v>5</v>
      </c>
      <c r="D650">
        <v>38</v>
      </c>
      <c r="E650" t="str">
        <f>"269"</f>
        <v>269</v>
      </c>
      <c r="F650" t="str">
        <f t="shared" si="53"/>
        <v>0000</v>
      </c>
    </row>
    <row r="651" spans="1:6">
      <c r="C651" t="str">
        <f t="shared" si="52"/>
        <v>5</v>
      </c>
      <c r="D651">
        <v>38</v>
      </c>
      <c r="E651" t="str">
        <f>"267"</f>
        <v>267</v>
      </c>
      <c r="F651" t="str">
        <f t="shared" si="53"/>
        <v>0000</v>
      </c>
    </row>
    <row r="652" spans="1:6">
      <c r="C652" t="str">
        <f t="shared" si="52"/>
        <v>5</v>
      </c>
      <c r="D652">
        <v>38</v>
      </c>
      <c r="E652" t="str">
        <f>"266"</f>
        <v>266</v>
      </c>
      <c r="F652" t="str">
        <f t="shared" si="53"/>
        <v>0000</v>
      </c>
    </row>
    <row r="653" spans="1:6">
      <c r="C653" t="str">
        <f t="shared" si="52"/>
        <v>5</v>
      </c>
      <c r="D653">
        <v>38</v>
      </c>
      <c r="E653" t="str">
        <f>"265"</f>
        <v>265</v>
      </c>
      <c r="F653" t="str">
        <f t="shared" si="53"/>
        <v>0000</v>
      </c>
    </row>
    <row r="654" spans="1:6">
      <c r="C654" t="str">
        <f t="shared" si="52"/>
        <v>5</v>
      </c>
      <c r="D654">
        <v>38</v>
      </c>
      <c r="E654" t="str">
        <f>"264"</f>
        <v>264</v>
      </c>
      <c r="F654" t="str">
        <f t="shared" si="53"/>
        <v>0000</v>
      </c>
    </row>
    <row r="655" spans="1:6">
      <c r="C655" t="str">
        <f t="shared" si="52"/>
        <v>5</v>
      </c>
      <c r="D655">
        <v>38</v>
      </c>
      <c r="E655" t="str">
        <f>"263"</f>
        <v>263</v>
      </c>
      <c r="F655" t="str">
        <f t="shared" si="53"/>
        <v>0000</v>
      </c>
    </row>
    <row r="656" spans="1:6">
      <c r="C656" t="str">
        <f t="shared" si="52"/>
        <v>5</v>
      </c>
      <c r="D656">
        <v>38</v>
      </c>
      <c r="E656" t="str">
        <f>"33"</f>
        <v>33</v>
      </c>
      <c r="F656" t="str">
        <f t="shared" si="53"/>
        <v>0000</v>
      </c>
    </row>
    <row r="657" spans="1:6">
      <c r="C657" t="str">
        <f t="shared" si="52"/>
        <v>5</v>
      </c>
      <c r="D657">
        <v>38</v>
      </c>
      <c r="E657" t="str">
        <f>"32"</f>
        <v>32</v>
      </c>
      <c r="F657" t="str">
        <f t="shared" si="53"/>
        <v>0000</v>
      </c>
    </row>
    <row r="658" spans="1:6">
      <c r="C658" t="str">
        <f t="shared" si="52"/>
        <v>5</v>
      </c>
      <c r="D658">
        <v>38</v>
      </c>
      <c r="E658" t="str">
        <f>"227"</f>
        <v>227</v>
      </c>
      <c r="F658" t="str">
        <f t="shared" si="53"/>
        <v>0000</v>
      </c>
    </row>
    <row r="659" spans="1:6">
      <c r="C659" t="str">
        <f t="shared" si="52"/>
        <v>5</v>
      </c>
      <c r="D659">
        <v>38</v>
      </c>
      <c r="E659" t="str">
        <f>"24"</f>
        <v>24</v>
      </c>
      <c r="F659" t="str">
        <f t="shared" si="53"/>
        <v>0000</v>
      </c>
    </row>
    <row r="660" spans="1:6">
      <c r="C660" t="str">
        <f t="shared" si="52"/>
        <v>5</v>
      </c>
      <c r="D660">
        <v>38</v>
      </c>
      <c r="E660" t="str">
        <f>"259"</f>
        <v>259</v>
      </c>
      <c r="F660" t="str">
        <f t="shared" si="53"/>
        <v>0000</v>
      </c>
    </row>
    <row r="661" spans="1:6">
      <c r="C661" t="str">
        <f t="shared" si="52"/>
        <v>5</v>
      </c>
      <c r="D661">
        <v>38</v>
      </c>
      <c r="E661" t="str">
        <f>"261"</f>
        <v>261</v>
      </c>
      <c r="F661" t="str">
        <f t="shared" si="53"/>
        <v>0000</v>
      </c>
    </row>
    <row r="662" spans="1:6">
      <c r="C662" t="str">
        <f t="shared" si="52"/>
        <v>5</v>
      </c>
      <c r="D662">
        <v>38</v>
      </c>
      <c r="E662" t="str">
        <f>"260"</f>
        <v>260</v>
      </c>
      <c r="F662" t="str">
        <f t="shared" si="53"/>
        <v>0000</v>
      </c>
    </row>
    <row r="663" spans="1:6">
      <c r="C663" t="str">
        <f t="shared" si="52"/>
        <v>5</v>
      </c>
      <c r="D663">
        <v>38</v>
      </c>
      <c r="E663" t="str">
        <f>"224"</f>
        <v>224</v>
      </c>
      <c r="F663" t="str">
        <f t="shared" si="53"/>
        <v>0000</v>
      </c>
    </row>
    <row r="664" spans="1:6">
      <c r="C664" t="str">
        <f t="shared" si="52"/>
        <v>5</v>
      </c>
      <c r="D664">
        <v>38</v>
      </c>
      <c r="E664" t="str">
        <f>"220"</f>
        <v>220</v>
      </c>
      <c r="F664" t="str">
        <f t="shared" si="53"/>
        <v>0000</v>
      </c>
    </row>
    <row r="665" spans="1:6">
      <c r="A665" t="str">
        <f>"E571-20"</f>
        <v>E571-20</v>
      </c>
      <c r="B665" t="str">
        <f>"VIA GUALCO  54-"</f>
        <v>VIA GUALCO  54-</v>
      </c>
      <c r="C665" t="str">
        <f t="shared" si="52"/>
        <v>5</v>
      </c>
      <c r="D665">
        <v>38</v>
      </c>
      <c r="E665" t="str">
        <f>"22"</f>
        <v>22</v>
      </c>
      <c r="F665" t="str">
        <f t="shared" si="53"/>
        <v>0000</v>
      </c>
    </row>
    <row r="666" spans="1:6">
      <c r="C666" t="str">
        <f t="shared" si="52"/>
        <v>5</v>
      </c>
      <c r="D666">
        <v>38</v>
      </c>
      <c r="E666" t="str">
        <f>"227"</f>
        <v>227</v>
      </c>
      <c r="F666" t="str">
        <f t="shared" si="53"/>
        <v>0000</v>
      </c>
    </row>
    <row r="667" spans="1:6">
      <c r="C667" t="str">
        <f t="shared" si="52"/>
        <v>5</v>
      </c>
      <c r="D667">
        <v>38</v>
      </c>
      <c r="E667" t="str">
        <f>"259"</f>
        <v>259</v>
      </c>
      <c r="F667" t="str">
        <f t="shared" si="53"/>
        <v>0000</v>
      </c>
    </row>
    <row r="668" spans="1:6">
      <c r="C668" t="str">
        <f t="shared" si="52"/>
        <v>5</v>
      </c>
      <c r="D668">
        <v>38</v>
      </c>
      <c r="E668" t="str">
        <f>"261"</f>
        <v>261</v>
      </c>
      <c r="F668" t="str">
        <f t="shared" si="53"/>
        <v>0000</v>
      </c>
    </row>
    <row r="669" spans="1:6">
      <c r="C669" t="str">
        <f t="shared" si="52"/>
        <v>5</v>
      </c>
      <c r="D669">
        <v>38</v>
      </c>
      <c r="E669" t="str">
        <f>"264"</f>
        <v>264</v>
      </c>
      <c r="F669" t="str">
        <f t="shared" si="53"/>
        <v>0000</v>
      </c>
    </row>
    <row r="670" spans="1:6">
      <c r="C670" t="str">
        <f t="shared" si="52"/>
        <v>5</v>
      </c>
      <c r="D670">
        <v>38</v>
      </c>
      <c r="E670" t="str">
        <f>"266"</f>
        <v>266</v>
      </c>
      <c r="F670" t="str">
        <f t="shared" si="53"/>
        <v>0000</v>
      </c>
    </row>
    <row r="671" spans="1:6">
      <c r="C671" t="str">
        <f t="shared" si="52"/>
        <v>5</v>
      </c>
      <c r="D671">
        <v>38</v>
      </c>
      <c r="E671" t="str">
        <f>"269"</f>
        <v>269</v>
      </c>
      <c r="F671" t="str">
        <f t="shared" si="53"/>
        <v>0000</v>
      </c>
    </row>
    <row r="672" spans="1:6">
      <c r="C672" t="str">
        <f t="shared" si="52"/>
        <v>5</v>
      </c>
      <c r="D672">
        <v>38</v>
      </c>
      <c r="E672" t="str">
        <f>"33"</f>
        <v>33</v>
      </c>
      <c r="F672" t="str">
        <f t="shared" si="53"/>
        <v>0000</v>
      </c>
    </row>
    <row r="673" spans="1:6">
      <c r="C673" t="str">
        <f t="shared" si="52"/>
        <v>5</v>
      </c>
      <c r="D673">
        <v>38</v>
      </c>
      <c r="E673" t="str">
        <f>"32"</f>
        <v>32</v>
      </c>
      <c r="F673" t="str">
        <f t="shared" si="53"/>
        <v>0000</v>
      </c>
    </row>
    <row r="674" spans="1:6">
      <c r="C674" t="str">
        <f t="shared" si="52"/>
        <v>5</v>
      </c>
      <c r="D674">
        <v>38</v>
      </c>
      <c r="E674" t="str">
        <f>"30"</f>
        <v>30</v>
      </c>
      <c r="F674" t="str">
        <f t="shared" si="53"/>
        <v>0000</v>
      </c>
    </row>
    <row r="675" spans="1:6">
      <c r="C675" t="str">
        <f t="shared" si="52"/>
        <v>5</v>
      </c>
      <c r="D675">
        <v>38</v>
      </c>
      <c r="E675" t="str">
        <f>"283"</f>
        <v>283</v>
      </c>
      <c r="F675" t="str">
        <f t="shared" si="53"/>
        <v>0000</v>
      </c>
    </row>
    <row r="676" spans="1:6">
      <c r="C676" t="str">
        <f t="shared" si="52"/>
        <v>5</v>
      </c>
      <c r="D676">
        <v>38</v>
      </c>
      <c r="E676" t="str">
        <f>"270"</f>
        <v>270</v>
      </c>
      <c r="F676" t="str">
        <f t="shared" si="53"/>
        <v>0000</v>
      </c>
    </row>
    <row r="677" spans="1:6">
      <c r="C677" t="str">
        <f t="shared" si="52"/>
        <v>5</v>
      </c>
      <c r="D677">
        <v>38</v>
      </c>
      <c r="E677" t="str">
        <f>"267"</f>
        <v>267</v>
      </c>
      <c r="F677" t="str">
        <f t="shared" si="53"/>
        <v>0000</v>
      </c>
    </row>
    <row r="678" spans="1:6">
      <c r="C678" t="str">
        <f t="shared" si="52"/>
        <v>5</v>
      </c>
      <c r="D678">
        <v>38</v>
      </c>
      <c r="E678" t="str">
        <f>"265"</f>
        <v>265</v>
      </c>
      <c r="F678" t="str">
        <f t="shared" si="53"/>
        <v>0000</v>
      </c>
    </row>
    <row r="679" spans="1:6">
      <c r="C679" t="str">
        <f t="shared" si="52"/>
        <v>5</v>
      </c>
      <c r="D679">
        <v>38</v>
      </c>
      <c r="E679" t="str">
        <f>"263"</f>
        <v>263</v>
      </c>
      <c r="F679" t="str">
        <f t="shared" si="53"/>
        <v>0000</v>
      </c>
    </row>
    <row r="680" spans="1:6">
      <c r="C680" t="str">
        <f t="shared" si="52"/>
        <v>5</v>
      </c>
      <c r="D680">
        <v>38</v>
      </c>
      <c r="E680" t="str">
        <f>"260"</f>
        <v>260</v>
      </c>
      <c r="F680" t="str">
        <f t="shared" si="53"/>
        <v>0000</v>
      </c>
    </row>
    <row r="681" spans="1:6">
      <c r="C681" t="str">
        <f t="shared" si="52"/>
        <v>5</v>
      </c>
      <c r="D681">
        <v>38</v>
      </c>
      <c r="E681" t="str">
        <f>"24"</f>
        <v>24</v>
      </c>
      <c r="F681" t="str">
        <f t="shared" si="53"/>
        <v>0000</v>
      </c>
    </row>
    <row r="682" spans="1:6">
      <c r="C682" t="str">
        <f t="shared" si="52"/>
        <v>5</v>
      </c>
      <c r="D682">
        <v>38</v>
      </c>
      <c r="E682" t="str">
        <f>"220"</f>
        <v>220</v>
      </c>
      <c r="F682" t="str">
        <f t="shared" si="53"/>
        <v>0000</v>
      </c>
    </row>
    <row r="683" spans="1:6">
      <c r="C683" t="str">
        <f t="shared" si="52"/>
        <v>5</v>
      </c>
      <c r="D683">
        <v>38</v>
      </c>
      <c r="E683" t="str">
        <f>"224"</f>
        <v>224</v>
      </c>
      <c r="F683" t="str">
        <f t="shared" si="53"/>
        <v>0000</v>
      </c>
    </row>
    <row r="684" spans="1:6">
      <c r="A684" t="str">
        <f>"E571-21"</f>
        <v>E571-21</v>
      </c>
      <c r="B684" t="str">
        <f>"VIA GUALCO  54-"</f>
        <v>VIA GUALCO  54-</v>
      </c>
      <c r="C684" t="str">
        <f t="shared" si="52"/>
        <v>5</v>
      </c>
      <c r="D684">
        <v>38</v>
      </c>
      <c r="E684" t="str">
        <f>"22"</f>
        <v>22</v>
      </c>
      <c r="F684" t="str">
        <f t="shared" si="53"/>
        <v>0000</v>
      </c>
    </row>
    <row r="685" spans="1:6">
      <c r="C685" t="str">
        <f t="shared" si="52"/>
        <v>5</v>
      </c>
      <c r="D685">
        <v>38</v>
      </c>
      <c r="E685" t="str">
        <f>"260"</f>
        <v>260</v>
      </c>
      <c r="F685" t="str">
        <f t="shared" si="53"/>
        <v>0000</v>
      </c>
    </row>
    <row r="686" spans="1:6">
      <c r="C686" t="str">
        <f t="shared" si="52"/>
        <v>5</v>
      </c>
      <c r="D686">
        <v>38</v>
      </c>
      <c r="E686" t="str">
        <f>"263"</f>
        <v>263</v>
      </c>
      <c r="F686" t="str">
        <f t="shared" si="53"/>
        <v>0000</v>
      </c>
    </row>
    <row r="687" spans="1:6">
      <c r="C687" t="str">
        <f t="shared" si="52"/>
        <v>5</v>
      </c>
      <c r="D687">
        <v>38</v>
      </c>
      <c r="E687" t="str">
        <f>"265"</f>
        <v>265</v>
      </c>
      <c r="F687" t="str">
        <f t="shared" si="53"/>
        <v>0000</v>
      </c>
    </row>
    <row r="688" spans="1:6">
      <c r="C688" t="str">
        <f t="shared" si="52"/>
        <v>5</v>
      </c>
      <c r="D688">
        <v>38</v>
      </c>
      <c r="E688" t="str">
        <f>"33"</f>
        <v>33</v>
      </c>
      <c r="F688" t="str">
        <f t="shared" si="53"/>
        <v>0000</v>
      </c>
    </row>
    <row r="689" spans="1:6">
      <c r="C689" t="str">
        <f t="shared" si="52"/>
        <v>5</v>
      </c>
      <c r="D689">
        <v>38</v>
      </c>
      <c r="E689" t="str">
        <f>"32"</f>
        <v>32</v>
      </c>
      <c r="F689" t="str">
        <f t="shared" si="53"/>
        <v>0000</v>
      </c>
    </row>
    <row r="690" spans="1:6">
      <c r="C690" t="str">
        <f t="shared" si="52"/>
        <v>5</v>
      </c>
      <c r="D690">
        <v>38</v>
      </c>
      <c r="E690" t="str">
        <f>"30"</f>
        <v>30</v>
      </c>
      <c r="F690" t="str">
        <f t="shared" si="53"/>
        <v>0000</v>
      </c>
    </row>
    <row r="691" spans="1:6">
      <c r="C691" t="str">
        <f t="shared" si="52"/>
        <v>5</v>
      </c>
      <c r="D691">
        <v>38</v>
      </c>
      <c r="E691" t="str">
        <f>"283"</f>
        <v>283</v>
      </c>
      <c r="F691" t="str">
        <f t="shared" si="53"/>
        <v>0000</v>
      </c>
    </row>
    <row r="692" spans="1:6">
      <c r="C692" t="str">
        <f t="shared" si="52"/>
        <v>5</v>
      </c>
      <c r="D692">
        <v>38</v>
      </c>
      <c r="E692" t="str">
        <f>"270"</f>
        <v>270</v>
      </c>
      <c r="F692" t="str">
        <f t="shared" si="53"/>
        <v>0000</v>
      </c>
    </row>
    <row r="693" spans="1:6">
      <c r="C693" t="str">
        <f t="shared" si="52"/>
        <v>5</v>
      </c>
      <c r="D693">
        <v>38</v>
      </c>
      <c r="E693" t="str">
        <f>"269"</f>
        <v>269</v>
      </c>
      <c r="F693" t="str">
        <f t="shared" si="53"/>
        <v>0000</v>
      </c>
    </row>
    <row r="694" spans="1:6">
      <c r="C694" t="str">
        <f t="shared" si="52"/>
        <v>5</v>
      </c>
      <c r="D694">
        <v>38</v>
      </c>
      <c r="E694" t="str">
        <f>"267"</f>
        <v>267</v>
      </c>
      <c r="F694" t="str">
        <f t="shared" si="53"/>
        <v>0000</v>
      </c>
    </row>
    <row r="695" spans="1:6">
      <c r="C695" t="str">
        <f t="shared" si="52"/>
        <v>5</v>
      </c>
      <c r="D695">
        <v>38</v>
      </c>
      <c r="E695" t="str">
        <f>"266"</f>
        <v>266</v>
      </c>
      <c r="F695" t="str">
        <f t="shared" si="53"/>
        <v>0000</v>
      </c>
    </row>
    <row r="696" spans="1:6">
      <c r="C696" t="str">
        <f t="shared" si="52"/>
        <v>5</v>
      </c>
      <c r="D696">
        <v>38</v>
      </c>
      <c r="E696" t="str">
        <f>"264"</f>
        <v>264</v>
      </c>
      <c r="F696" t="str">
        <f t="shared" si="53"/>
        <v>0000</v>
      </c>
    </row>
    <row r="697" spans="1:6">
      <c r="C697" t="str">
        <f t="shared" si="52"/>
        <v>5</v>
      </c>
      <c r="D697">
        <v>38</v>
      </c>
      <c r="E697" t="str">
        <f>"261"</f>
        <v>261</v>
      </c>
      <c r="F697" t="str">
        <f t="shared" si="53"/>
        <v>0000</v>
      </c>
    </row>
    <row r="698" spans="1:6">
      <c r="C698" t="str">
        <f t="shared" si="52"/>
        <v>5</v>
      </c>
      <c r="D698">
        <v>38</v>
      </c>
      <c r="E698" t="str">
        <f>"259"</f>
        <v>259</v>
      </c>
      <c r="F698" t="str">
        <f t="shared" si="53"/>
        <v>0000</v>
      </c>
    </row>
    <row r="699" spans="1:6">
      <c r="C699" t="str">
        <f t="shared" si="52"/>
        <v>5</v>
      </c>
      <c r="D699">
        <v>38</v>
      </c>
      <c r="E699" t="str">
        <f>"224"</f>
        <v>224</v>
      </c>
      <c r="F699" t="str">
        <f t="shared" si="53"/>
        <v>0000</v>
      </c>
    </row>
    <row r="700" spans="1:6">
      <c r="C700" t="str">
        <f t="shared" si="52"/>
        <v>5</v>
      </c>
      <c r="D700">
        <v>38</v>
      </c>
      <c r="E700" t="str">
        <f>"227"</f>
        <v>227</v>
      </c>
      <c r="F700" t="str">
        <f t="shared" si="53"/>
        <v>0000</v>
      </c>
    </row>
    <row r="701" spans="1:6">
      <c r="C701" t="str">
        <f t="shared" si="52"/>
        <v>5</v>
      </c>
      <c r="D701">
        <v>38</v>
      </c>
      <c r="E701" t="str">
        <f>"24"</f>
        <v>24</v>
      </c>
      <c r="F701" t="str">
        <f t="shared" si="53"/>
        <v>0000</v>
      </c>
    </row>
    <row r="702" spans="1:6">
      <c r="C702" t="str">
        <f t="shared" si="52"/>
        <v>5</v>
      </c>
      <c r="D702">
        <v>38</v>
      </c>
      <c r="E702" t="str">
        <f>"220"</f>
        <v>220</v>
      </c>
      <c r="F702" t="str">
        <f t="shared" si="53"/>
        <v>0000</v>
      </c>
    </row>
    <row r="703" spans="1:6">
      <c r="A703" t="str">
        <f>"E571-22"</f>
        <v>E571-22</v>
      </c>
      <c r="B703" t="str">
        <f>"VIA GUALCO  54-"</f>
        <v>VIA GUALCO  54-</v>
      </c>
      <c r="C703" t="str">
        <f t="shared" si="52"/>
        <v>5</v>
      </c>
      <c r="D703">
        <v>38</v>
      </c>
      <c r="E703" t="str">
        <f>"22"</f>
        <v>22</v>
      </c>
      <c r="F703" t="str">
        <f t="shared" si="53"/>
        <v>0000</v>
      </c>
    </row>
    <row r="704" spans="1:6">
      <c r="C704" t="str">
        <f t="shared" si="52"/>
        <v>5</v>
      </c>
      <c r="D704">
        <v>38</v>
      </c>
      <c r="E704" t="str">
        <f>"33"</f>
        <v>33</v>
      </c>
      <c r="F704" t="str">
        <f t="shared" si="53"/>
        <v>0000</v>
      </c>
    </row>
    <row r="705" spans="3:6">
      <c r="C705" t="str">
        <f t="shared" si="52"/>
        <v>5</v>
      </c>
      <c r="D705">
        <v>38</v>
      </c>
      <c r="E705" t="str">
        <f>"32"</f>
        <v>32</v>
      </c>
      <c r="F705" t="str">
        <f t="shared" si="53"/>
        <v>0000</v>
      </c>
    </row>
    <row r="706" spans="3:6">
      <c r="C706" t="str">
        <f t="shared" si="52"/>
        <v>5</v>
      </c>
      <c r="D706">
        <v>38</v>
      </c>
      <c r="E706" t="str">
        <f>"30"</f>
        <v>30</v>
      </c>
      <c r="F706" t="str">
        <f t="shared" si="53"/>
        <v>0000</v>
      </c>
    </row>
    <row r="707" spans="3:6">
      <c r="C707" t="str">
        <f t="shared" ref="C707:C759" si="54">"5"</f>
        <v>5</v>
      </c>
      <c r="D707">
        <v>38</v>
      </c>
      <c r="E707" t="str">
        <f>"283"</f>
        <v>283</v>
      </c>
      <c r="F707" t="str">
        <f t="shared" ref="F707:F759" si="55">"0000"</f>
        <v>0000</v>
      </c>
    </row>
    <row r="708" spans="3:6">
      <c r="C708" t="str">
        <f t="shared" si="54"/>
        <v>5</v>
      </c>
      <c r="D708">
        <v>38</v>
      </c>
      <c r="E708" t="str">
        <f>"270"</f>
        <v>270</v>
      </c>
      <c r="F708" t="str">
        <f t="shared" si="55"/>
        <v>0000</v>
      </c>
    </row>
    <row r="709" spans="3:6">
      <c r="C709" t="str">
        <f t="shared" si="54"/>
        <v>5</v>
      </c>
      <c r="D709">
        <v>38</v>
      </c>
      <c r="E709" t="str">
        <f>"269"</f>
        <v>269</v>
      </c>
      <c r="F709" t="str">
        <f t="shared" si="55"/>
        <v>0000</v>
      </c>
    </row>
    <row r="710" spans="3:6">
      <c r="C710" t="str">
        <f t="shared" si="54"/>
        <v>5</v>
      </c>
      <c r="D710">
        <v>38</v>
      </c>
      <c r="E710" t="str">
        <f>"267"</f>
        <v>267</v>
      </c>
      <c r="F710" t="str">
        <f t="shared" si="55"/>
        <v>0000</v>
      </c>
    </row>
    <row r="711" spans="3:6">
      <c r="C711" t="str">
        <f t="shared" si="54"/>
        <v>5</v>
      </c>
      <c r="D711">
        <v>38</v>
      </c>
      <c r="E711" t="str">
        <f>"266"</f>
        <v>266</v>
      </c>
      <c r="F711" t="str">
        <f t="shared" si="55"/>
        <v>0000</v>
      </c>
    </row>
    <row r="712" spans="3:6">
      <c r="C712" t="str">
        <f t="shared" si="54"/>
        <v>5</v>
      </c>
      <c r="D712">
        <v>38</v>
      </c>
      <c r="E712" t="str">
        <f>"265"</f>
        <v>265</v>
      </c>
      <c r="F712" t="str">
        <f t="shared" si="55"/>
        <v>0000</v>
      </c>
    </row>
    <row r="713" spans="3:6">
      <c r="C713" t="str">
        <f t="shared" si="54"/>
        <v>5</v>
      </c>
      <c r="D713">
        <v>38</v>
      </c>
      <c r="E713" t="str">
        <f>"264"</f>
        <v>264</v>
      </c>
      <c r="F713" t="str">
        <f t="shared" si="55"/>
        <v>0000</v>
      </c>
    </row>
    <row r="714" spans="3:6">
      <c r="C714" t="str">
        <f t="shared" si="54"/>
        <v>5</v>
      </c>
      <c r="D714">
        <v>38</v>
      </c>
      <c r="E714" t="str">
        <f>"263"</f>
        <v>263</v>
      </c>
      <c r="F714" t="str">
        <f t="shared" si="55"/>
        <v>0000</v>
      </c>
    </row>
    <row r="715" spans="3:6">
      <c r="C715" t="str">
        <f t="shared" si="54"/>
        <v>5</v>
      </c>
      <c r="D715">
        <v>38</v>
      </c>
      <c r="E715" t="str">
        <f>"227"</f>
        <v>227</v>
      </c>
      <c r="F715" t="str">
        <f t="shared" si="55"/>
        <v>0000</v>
      </c>
    </row>
    <row r="716" spans="3:6">
      <c r="C716" t="str">
        <f t="shared" si="54"/>
        <v>5</v>
      </c>
      <c r="D716">
        <v>38</v>
      </c>
      <c r="E716" t="str">
        <f>"24"</f>
        <v>24</v>
      </c>
      <c r="F716" t="str">
        <f t="shared" si="55"/>
        <v>0000</v>
      </c>
    </row>
    <row r="717" spans="3:6">
      <c r="C717" t="str">
        <f t="shared" si="54"/>
        <v>5</v>
      </c>
      <c r="D717">
        <v>38</v>
      </c>
      <c r="E717" t="str">
        <f>"259"</f>
        <v>259</v>
      </c>
      <c r="F717" t="str">
        <f t="shared" si="55"/>
        <v>0000</v>
      </c>
    </row>
    <row r="718" spans="3:6">
      <c r="C718" t="str">
        <f t="shared" si="54"/>
        <v>5</v>
      </c>
      <c r="D718">
        <v>38</v>
      </c>
      <c r="E718" t="str">
        <f>"261"</f>
        <v>261</v>
      </c>
      <c r="F718" t="str">
        <f t="shared" si="55"/>
        <v>0000</v>
      </c>
    </row>
    <row r="719" spans="3:6">
      <c r="C719" t="str">
        <f t="shared" si="54"/>
        <v>5</v>
      </c>
      <c r="D719">
        <v>38</v>
      </c>
      <c r="E719" t="str">
        <f>"260"</f>
        <v>260</v>
      </c>
      <c r="F719" t="str">
        <f t="shared" si="55"/>
        <v>0000</v>
      </c>
    </row>
    <row r="720" spans="3:6">
      <c r="C720" t="str">
        <f t="shared" si="54"/>
        <v>5</v>
      </c>
      <c r="D720">
        <v>38</v>
      </c>
      <c r="E720" t="str">
        <f>"224"</f>
        <v>224</v>
      </c>
      <c r="F720" t="str">
        <f t="shared" si="55"/>
        <v>0000</v>
      </c>
    </row>
    <row r="721" spans="1:6">
      <c r="C721" t="str">
        <f t="shared" si="54"/>
        <v>5</v>
      </c>
      <c r="D721">
        <v>38</v>
      </c>
      <c r="E721" t="str">
        <f>"220"</f>
        <v>220</v>
      </c>
      <c r="F721" t="str">
        <f t="shared" si="55"/>
        <v>0000</v>
      </c>
    </row>
    <row r="722" spans="1:6">
      <c r="A722" t="str">
        <f>"E571-23"</f>
        <v>E571-23</v>
      </c>
      <c r="B722" t="str">
        <f>"VIA GUALCO  54-"</f>
        <v>VIA GUALCO  54-</v>
      </c>
      <c r="C722" t="str">
        <f t="shared" si="54"/>
        <v>5</v>
      </c>
      <c r="D722">
        <v>38</v>
      </c>
      <c r="E722" t="str">
        <f>"22"</f>
        <v>22</v>
      </c>
      <c r="F722" t="str">
        <f t="shared" si="55"/>
        <v>0000</v>
      </c>
    </row>
    <row r="723" spans="1:6">
      <c r="C723" t="str">
        <f t="shared" si="54"/>
        <v>5</v>
      </c>
      <c r="D723">
        <v>38</v>
      </c>
      <c r="E723" t="str">
        <f>"30"</f>
        <v>30</v>
      </c>
      <c r="F723" t="str">
        <f t="shared" si="55"/>
        <v>0000</v>
      </c>
    </row>
    <row r="724" spans="1:6">
      <c r="C724" t="str">
        <f t="shared" si="54"/>
        <v>5</v>
      </c>
      <c r="D724">
        <v>38</v>
      </c>
      <c r="E724" t="str">
        <f>"283"</f>
        <v>283</v>
      </c>
      <c r="F724" t="str">
        <f t="shared" si="55"/>
        <v>0000</v>
      </c>
    </row>
    <row r="725" spans="1:6">
      <c r="C725" t="str">
        <f t="shared" si="54"/>
        <v>5</v>
      </c>
      <c r="D725">
        <v>38</v>
      </c>
      <c r="E725" t="str">
        <f>"270"</f>
        <v>270</v>
      </c>
      <c r="F725" t="str">
        <f t="shared" si="55"/>
        <v>0000</v>
      </c>
    </row>
    <row r="726" spans="1:6">
      <c r="C726" t="str">
        <f t="shared" si="54"/>
        <v>5</v>
      </c>
      <c r="D726">
        <v>38</v>
      </c>
      <c r="E726" t="str">
        <f>"269"</f>
        <v>269</v>
      </c>
      <c r="F726" t="str">
        <f t="shared" si="55"/>
        <v>0000</v>
      </c>
    </row>
    <row r="727" spans="1:6">
      <c r="C727" t="str">
        <f t="shared" si="54"/>
        <v>5</v>
      </c>
      <c r="D727">
        <v>38</v>
      </c>
      <c r="E727" t="str">
        <f>"267"</f>
        <v>267</v>
      </c>
      <c r="F727" t="str">
        <f t="shared" si="55"/>
        <v>0000</v>
      </c>
    </row>
    <row r="728" spans="1:6">
      <c r="C728" t="str">
        <f t="shared" si="54"/>
        <v>5</v>
      </c>
      <c r="D728">
        <v>38</v>
      </c>
      <c r="E728" t="str">
        <f>"266"</f>
        <v>266</v>
      </c>
      <c r="F728" t="str">
        <f t="shared" si="55"/>
        <v>0000</v>
      </c>
    </row>
    <row r="729" spans="1:6">
      <c r="C729" t="str">
        <f t="shared" si="54"/>
        <v>5</v>
      </c>
      <c r="D729">
        <v>38</v>
      </c>
      <c r="E729" t="str">
        <f>"265"</f>
        <v>265</v>
      </c>
      <c r="F729" t="str">
        <f t="shared" si="55"/>
        <v>0000</v>
      </c>
    </row>
    <row r="730" spans="1:6">
      <c r="C730" t="str">
        <f t="shared" si="54"/>
        <v>5</v>
      </c>
      <c r="D730">
        <v>38</v>
      </c>
      <c r="E730" t="str">
        <f>"264"</f>
        <v>264</v>
      </c>
      <c r="F730" t="str">
        <f t="shared" si="55"/>
        <v>0000</v>
      </c>
    </row>
    <row r="731" spans="1:6">
      <c r="C731" t="str">
        <f t="shared" si="54"/>
        <v>5</v>
      </c>
      <c r="D731">
        <v>38</v>
      </c>
      <c r="E731" t="str">
        <f>"263"</f>
        <v>263</v>
      </c>
      <c r="F731" t="str">
        <f t="shared" si="55"/>
        <v>0000</v>
      </c>
    </row>
    <row r="732" spans="1:6">
      <c r="C732" t="str">
        <f t="shared" si="54"/>
        <v>5</v>
      </c>
      <c r="D732">
        <v>38</v>
      </c>
      <c r="E732" t="str">
        <f>"33"</f>
        <v>33</v>
      </c>
      <c r="F732" t="str">
        <f t="shared" si="55"/>
        <v>0000</v>
      </c>
    </row>
    <row r="733" spans="1:6">
      <c r="C733" t="str">
        <f t="shared" si="54"/>
        <v>5</v>
      </c>
      <c r="D733">
        <v>38</v>
      </c>
      <c r="E733" t="str">
        <f>"32"</f>
        <v>32</v>
      </c>
      <c r="F733" t="str">
        <f t="shared" si="55"/>
        <v>0000</v>
      </c>
    </row>
    <row r="734" spans="1:6">
      <c r="C734" t="str">
        <f t="shared" si="54"/>
        <v>5</v>
      </c>
      <c r="D734">
        <v>38</v>
      </c>
      <c r="E734" t="str">
        <f>"227"</f>
        <v>227</v>
      </c>
      <c r="F734" t="str">
        <f t="shared" si="55"/>
        <v>0000</v>
      </c>
    </row>
    <row r="735" spans="1:6">
      <c r="C735" t="str">
        <f t="shared" si="54"/>
        <v>5</v>
      </c>
      <c r="D735">
        <v>38</v>
      </c>
      <c r="E735" t="str">
        <f>"24"</f>
        <v>24</v>
      </c>
      <c r="F735" t="str">
        <f t="shared" si="55"/>
        <v>0000</v>
      </c>
    </row>
    <row r="736" spans="1:6">
      <c r="C736" t="str">
        <f t="shared" si="54"/>
        <v>5</v>
      </c>
      <c r="D736">
        <v>38</v>
      </c>
      <c r="E736" t="str">
        <f>"259"</f>
        <v>259</v>
      </c>
      <c r="F736" t="str">
        <f t="shared" si="55"/>
        <v>0000</v>
      </c>
    </row>
    <row r="737" spans="1:6">
      <c r="C737" t="str">
        <f t="shared" si="54"/>
        <v>5</v>
      </c>
      <c r="D737">
        <v>38</v>
      </c>
      <c r="E737" t="str">
        <f>"261"</f>
        <v>261</v>
      </c>
      <c r="F737" t="str">
        <f t="shared" si="55"/>
        <v>0000</v>
      </c>
    </row>
    <row r="738" spans="1:6">
      <c r="C738" t="str">
        <f t="shared" si="54"/>
        <v>5</v>
      </c>
      <c r="D738">
        <v>38</v>
      </c>
      <c r="E738" t="str">
        <f>"260"</f>
        <v>260</v>
      </c>
      <c r="F738" t="str">
        <f t="shared" si="55"/>
        <v>0000</v>
      </c>
    </row>
    <row r="739" spans="1:6">
      <c r="C739" t="str">
        <f t="shared" si="54"/>
        <v>5</v>
      </c>
      <c r="D739">
        <v>38</v>
      </c>
      <c r="E739" t="str">
        <f>"224"</f>
        <v>224</v>
      </c>
      <c r="F739" t="str">
        <f t="shared" si="55"/>
        <v>0000</v>
      </c>
    </row>
    <row r="740" spans="1:6">
      <c r="C740" t="str">
        <f t="shared" si="54"/>
        <v>5</v>
      </c>
      <c r="D740">
        <v>38</v>
      </c>
      <c r="E740" t="str">
        <f>"220"</f>
        <v>220</v>
      </c>
      <c r="F740" t="str">
        <f t="shared" si="55"/>
        <v>0000</v>
      </c>
    </row>
    <row r="741" spans="1:6">
      <c r="A741" t="str">
        <f>"E571-24"</f>
        <v>E571-24</v>
      </c>
      <c r="B741" t="str">
        <f>"VIA GUALCO  54-"</f>
        <v>VIA GUALCO  54-</v>
      </c>
      <c r="C741" t="str">
        <f t="shared" si="54"/>
        <v>5</v>
      </c>
      <c r="D741">
        <v>38</v>
      </c>
      <c r="E741" t="str">
        <f>"22"</f>
        <v>22</v>
      </c>
      <c r="F741" t="str">
        <f t="shared" si="55"/>
        <v>0000</v>
      </c>
    </row>
    <row r="742" spans="1:6">
      <c r="C742" t="str">
        <f t="shared" si="54"/>
        <v>5</v>
      </c>
      <c r="D742">
        <v>38</v>
      </c>
      <c r="E742" t="str">
        <f>"227"</f>
        <v>227</v>
      </c>
      <c r="F742" t="str">
        <f t="shared" si="55"/>
        <v>0000</v>
      </c>
    </row>
    <row r="743" spans="1:6">
      <c r="C743" t="str">
        <f t="shared" si="54"/>
        <v>5</v>
      </c>
      <c r="D743">
        <v>38</v>
      </c>
      <c r="E743" t="str">
        <f>"259"</f>
        <v>259</v>
      </c>
      <c r="F743" t="str">
        <f t="shared" si="55"/>
        <v>0000</v>
      </c>
    </row>
    <row r="744" spans="1:6">
      <c r="C744" t="str">
        <f t="shared" si="54"/>
        <v>5</v>
      </c>
      <c r="D744">
        <v>38</v>
      </c>
      <c r="E744" t="str">
        <f>"261"</f>
        <v>261</v>
      </c>
      <c r="F744" t="str">
        <f t="shared" si="55"/>
        <v>0000</v>
      </c>
    </row>
    <row r="745" spans="1:6">
      <c r="C745" t="str">
        <f t="shared" si="54"/>
        <v>5</v>
      </c>
      <c r="D745">
        <v>38</v>
      </c>
      <c r="E745" t="str">
        <f>"264"</f>
        <v>264</v>
      </c>
      <c r="F745" t="str">
        <f t="shared" si="55"/>
        <v>0000</v>
      </c>
    </row>
    <row r="746" spans="1:6">
      <c r="C746" t="str">
        <f t="shared" si="54"/>
        <v>5</v>
      </c>
      <c r="D746">
        <v>38</v>
      </c>
      <c r="E746" t="str">
        <f>"266"</f>
        <v>266</v>
      </c>
      <c r="F746" t="str">
        <f t="shared" si="55"/>
        <v>0000</v>
      </c>
    </row>
    <row r="747" spans="1:6">
      <c r="C747" t="str">
        <f t="shared" si="54"/>
        <v>5</v>
      </c>
      <c r="D747">
        <v>38</v>
      </c>
      <c r="E747" t="str">
        <f>"269"</f>
        <v>269</v>
      </c>
      <c r="F747" t="str">
        <f t="shared" si="55"/>
        <v>0000</v>
      </c>
    </row>
    <row r="748" spans="1:6">
      <c r="C748" t="str">
        <f t="shared" si="54"/>
        <v>5</v>
      </c>
      <c r="D748">
        <v>38</v>
      </c>
      <c r="E748" t="str">
        <f>"33"</f>
        <v>33</v>
      </c>
      <c r="F748" t="str">
        <f t="shared" si="55"/>
        <v>0000</v>
      </c>
    </row>
    <row r="749" spans="1:6">
      <c r="C749" t="str">
        <f t="shared" si="54"/>
        <v>5</v>
      </c>
      <c r="D749">
        <v>38</v>
      </c>
      <c r="E749" t="str">
        <f>"32"</f>
        <v>32</v>
      </c>
      <c r="F749" t="str">
        <f t="shared" si="55"/>
        <v>0000</v>
      </c>
    </row>
    <row r="750" spans="1:6">
      <c r="C750" t="str">
        <f t="shared" si="54"/>
        <v>5</v>
      </c>
      <c r="D750">
        <v>38</v>
      </c>
      <c r="E750" t="str">
        <f>"30"</f>
        <v>30</v>
      </c>
      <c r="F750" t="str">
        <f t="shared" si="55"/>
        <v>0000</v>
      </c>
    </row>
    <row r="751" spans="1:6">
      <c r="C751" t="str">
        <f t="shared" si="54"/>
        <v>5</v>
      </c>
      <c r="D751">
        <v>38</v>
      </c>
      <c r="E751" t="str">
        <f>"283"</f>
        <v>283</v>
      </c>
      <c r="F751" t="str">
        <f t="shared" si="55"/>
        <v>0000</v>
      </c>
    </row>
    <row r="752" spans="1:6">
      <c r="C752" t="str">
        <f t="shared" si="54"/>
        <v>5</v>
      </c>
      <c r="D752">
        <v>38</v>
      </c>
      <c r="E752" t="str">
        <f>"270"</f>
        <v>270</v>
      </c>
      <c r="F752" t="str">
        <f t="shared" si="55"/>
        <v>0000</v>
      </c>
    </row>
    <row r="753" spans="1:6">
      <c r="C753" t="str">
        <f t="shared" si="54"/>
        <v>5</v>
      </c>
      <c r="D753">
        <v>38</v>
      </c>
      <c r="E753" t="str">
        <f>"267"</f>
        <v>267</v>
      </c>
      <c r="F753" t="str">
        <f t="shared" si="55"/>
        <v>0000</v>
      </c>
    </row>
    <row r="754" spans="1:6">
      <c r="C754" t="str">
        <f t="shared" si="54"/>
        <v>5</v>
      </c>
      <c r="D754">
        <v>38</v>
      </c>
      <c r="E754" t="str">
        <f>"265"</f>
        <v>265</v>
      </c>
      <c r="F754" t="str">
        <f t="shared" si="55"/>
        <v>0000</v>
      </c>
    </row>
    <row r="755" spans="1:6">
      <c r="C755" t="str">
        <f t="shared" si="54"/>
        <v>5</v>
      </c>
      <c r="D755">
        <v>38</v>
      </c>
      <c r="E755" t="str">
        <f>"263"</f>
        <v>263</v>
      </c>
      <c r="F755" t="str">
        <f t="shared" si="55"/>
        <v>0000</v>
      </c>
    </row>
    <row r="756" spans="1:6">
      <c r="C756" t="str">
        <f t="shared" si="54"/>
        <v>5</v>
      </c>
      <c r="D756">
        <v>38</v>
      </c>
      <c r="E756" t="str">
        <f>"260"</f>
        <v>260</v>
      </c>
      <c r="F756" t="str">
        <f t="shared" si="55"/>
        <v>0000</v>
      </c>
    </row>
    <row r="757" spans="1:6">
      <c r="C757" t="str">
        <f t="shared" si="54"/>
        <v>5</v>
      </c>
      <c r="D757">
        <v>38</v>
      </c>
      <c r="E757" t="str">
        <f>"24"</f>
        <v>24</v>
      </c>
      <c r="F757" t="str">
        <f t="shared" si="55"/>
        <v>0000</v>
      </c>
    </row>
    <row r="758" spans="1:6">
      <c r="C758" t="str">
        <f t="shared" si="54"/>
        <v>5</v>
      </c>
      <c r="D758">
        <v>38</v>
      </c>
      <c r="E758" t="str">
        <f>"220"</f>
        <v>220</v>
      </c>
      <c r="F758" t="str">
        <f t="shared" si="55"/>
        <v>0000</v>
      </c>
    </row>
    <row r="759" spans="1:6">
      <c r="C759" t="str">
        <f t="shared" si="54"/>
        <v>5</v>
      </c>
      <c r="D759">
        <v>38</v>
      </c>
      <c r="E759" t="str">
        <f>"224"</f>
        <v>224</v>
      </c>
      <c r="F759" t="str">
        <f t="shared" si="55"/>
        <v>0000</v>
      </c>
    </row>
    <row r="760" spans="1:6">
      <c r="A760" t="str">
        <f>"E660-1"</f>
        <v>E660-1</v>
      </c>
      <c r="B760" t="str">
        <f>"VIA LEONARDO MONTALDO  8-"</f>
        <v>VIA LEONARDO MONTALDO  8-</v>
      </c>
      <c r="C760" t="str">
        <f>"STA"</f>
        <v>STA</v>
      </c>
      <c r="D760">
        <v>32</v>
      </c>
      <c r="E760" t="str">
        <f>"292"</f>
        <v>292</v>
      </c>
      <c r="F760" t="str">
        <f>"1"</f>
        <v>1</v>
      </c>
    </row>
    <row r="761" spans="1:6">
      <c r="A761" t="str">
        <f>"E660-3"</f>
        <v>E660-3</v>
      </c>
      <c r="B761" t="str">
        <f>"VIA LEONARDO MONTALDO  8-"</f>
        <v>VIA LEONARDO MONTALDO  8-</v>
      </c>
      <c r="C761" t="str">
        <f>"STA"</f>
        <v>STA</v>
      </c>
      <c r="D761">
        <v>32</v>
      </c>
      <c r="E761" t="str">
        <f>"292"</f>
        <v>292</v>
      </c>
      <c r="F761" t="str">
        <f>"3"</f>
        <v>3</v>
      </c>
    </row>
    <row r="762" spans="1:6">
      <c r="A762" t="str">
        <f>"E660-4"</f>
        <v>E660-4</v>
      </c>
      <c r="B762" t="str">
        <f>"VIA BOBBIO  22-"</f>
        <v>VIA BOBBIO  22-</v>
      </c>
      <c r="C762" t="str">
        <f>"1"</f>
        <v>1</v>
      </c>
      <c r="D762">
        <v>19</v>
      </c>
      <c r="E762" t="str">
        <f>"341"</f>
        <v>341</v>
      </c>
      <c r="F762" t="str">
        <f>"0000"</f>
        <v>0000</v>
      </c>
    </row>
    <row r="763" spans="1:6">
      <c r="A763" t="str">
        <f>"E660-5"</f>
        <v>E660-5</v>
      </c>
      <c r="B763" t="str">
        <f>"VIA DEL FOSSATO  2-"</f>
        <v>VIA DEL FOSSATO  2-</v>
      </c>
      <c r="C763" t="str">
        <f>"1"</f>
        <v>1</v>
      </c>
      <c r="D763">
        <v>19</v>
      </c>
      <c r="E763" t="str">
        <f>"341"</f>
        <v>341</v>
      </c>
      <c r="F763" t="str">
        <f>"0000"</f>
        <v>0000</v>
      </c>
    </row>
    <row r="764" spans="1:6">
      <c r="A764" t="str">
        <f>"E660-6"</f>
        <v>E660-6</v>
      </c>
      <c r="B764" t="str">
        <f>"VIA BOBBIO  21D-"</f>
        <v>VIA BOBBIO  21D-</v>
      </c>
      <c r="C764" t="str">
        <f>"1"</f>
        <v>1</v>
      </c>
      <c r="D764">
        <v>19</v>
      </c>
      <c r="E764" t="str">
        <f>"341"</f>
        <v>341</v>
      </c>
      <c r="F764" t="str">
        <f>"0000"</f>
        <v>0000</v>
      </c>
    </row>
    <row r="765" spans="1:6">
      <c r="A765" t="str">
        <f>"E713-3"</f>
        <v>E713-3</v>
      </c>
      <c r="B765" t="str">
        <f t="shared" ref="B765:B773" si="56">"VIA EZIO LUCARNO  19-"</f>
        <v>VIA EZIO LUCARNO  19-</v>
      </c>
      <c r="C765" t="str">
        <f t="shared" ref="C765:C796" si="57">"STR"</f>
        <v>STR</v>
      </c>
      <c r="D765">
        <v>32</v>
      </c>
      <c r="E765" t="str">
        <f t="shared" ref="E765:E796" si="58">"400"</f>
        <v>400</v>
      </c>
      <c r="F765" t="str">
        <f>"14"</f>
        <v>14</v>
      </c>
    </row>
    <row r="766" spans="1:6">
      <c r="A766" t="str">
        <f>"E713-4"</f>
        <v>E713-4</v>
      </c>
      <c r="B766" t="str">
        <f t="shared" si="56"/>
        <v>VIA EZIO LUCARNO  19-</v>
      </c>
      <c r="C766" t="str">
        <f t="shared" si="57"/>
        <v>STR</v>
      </c>
      <c r="D766">
        <v>32</v>
      </c>
      <c r="E766" t="str">
        <f t="shared" si="58"/>
        <v>400</v>
      </c>
      <c r="F766" t="str">
        <f>"15"</f>
        <v>15</v>
      </c>
    </row>
    <row r="767" spans="1:6">
      <c r="A767" t="str">
        <f>"E713-5"</f>
        <v>E713-5</v>
      </c>
      <c r="B767" t="str">
        <f t="shared" si="56"/>
        <v>VIA EZIO LUCARNO  19-</v>
      </c>
      <c r="C767" t="str">
        <f t="shared" si="57"/>
        <v>STR</v>
      </c>
      <c r="D767">
        <v>32</v>
      </c>
      <c r="E767" t="str">
        <f t="shared" si="58"/>
        <v>400</v>
      </c>
      <c r="F767" t="str">
        <f>"16"</f>
        <v>16</v>
      </c>
    </row>
    <row r="768" spans="1:6">
      <c r="A768" t="str">
        <f>"E713-7"</f>
        <v>E713-7</v>
      </c>
      <c r="B768" t="str">
        <f t="shared" si="56"/>
        <v>VIA EZIO LUCARNO  19-</v>
      </c>
      <c r="C768" t="str">
        <f t="shared" si="57"/>
        <v>STR</v>
      </c>
      <c r="D768">
        <v>32</v>
      </c>
      <c r="E768" t="str">
        <f t="shared" si="58"/>
        <v>400</v>
      </c>
      <c r="F768" t="str">
        <f>"20"</f>
        <v>20</v>
      </c>
    </row>
    <row r="769" spans="1:6">
      <c r="A769" t="str">
        <f>"E713-8"</f>
        <v>E713-8</v>
      </c>
      <c r="B769" t="str">
        <f t="shared" si="56"/>
        <v>VIA EZIO LUCARNO  19-</v>
      </c>
      <c r="C769" t="str">
        <f t="shared" si="57"/>
        <v>STR</v>
      </c>
      <c r="D769">
        <v>32</v>
      </c>
      <c r="E769" t="str">
        <f t="shared" si="58"/>
        <v>400</v>
      </c>
      <c r="F769" t="str">
        <f>"22"</f>
        <v>22</v>
      </c>
    </row>
    <row r="770" spans="1:6">
      <c r="A770" t="str">
        <f>"E713-9"</f>
        <v>E713-9</v>
      </c>
      <c r="B770" t="str">
        <f t="shared" si="56"/>
        <v>VIA EZIO LUCARNO  19-</v>
      </c>
      <c r="C770" t="str">
        <f t="shared" si="57"/>
        <v>STR</v>
      </c>
      <c r="D770">
        <v>32</v>
      </c>
      <c r="E770" t="str">
        <f t="shared" si="58"/>
        <v>400</v>
      </c>
      <c r="F770" t="str">
        <f>"23"</f>
        <v>23</v>
      </c>
    </row>
    <row r="771" spans="1:6">
      <c r="A771" t="str">
        <f>"E713-10"</f>
        <v>E713-10</v>
      </c>
      <c r="B771" t="str">
        <f t="shared" si="56"/>
        <v>VIA EZIO LUCARNO  19-</v>
      </c>
      <c r="C771" t="str">
        <f t="shared" si="57"/>
        <v>STR</v>
      </c>
      <c r="D771">
        <v>32</v>
      </c>
      <c r="E771" t="str">
        <f t="shared" si="58"/>
        <v>400</v>
      </c>
      <c r="F771" t="str">
        <f>"24"</f>
        <v>24</v>
      </c>
    </row>
    <row r="772" spans="1:6">
      <c r="A772" t="str">
        <f>"E713-11"</f>
        <v>E713-11</v>
      </c>
      <c r="B772" t="str">
        <f t="shared" si="56"/>
        <v>VIA EZIO LUCARNO  19-</v>
      </c>
      <c r="C772" t="str">
        <f t="shared" si="57"/>
        <v>STR</v>
      </c>
      <c r="D772">
        <v>32</v>
      </c>
      <c r="E772" t="str">
        <f t="shared" si="58"/>
        <v>400</v>
      </c>
      <c r="F772" t="str">
        <f>"25"</f>
        <v>25</v>
      </c>
    </row>
    <row r="773" spans="1:6">
      <c r="A773" t="str">
        <f>"E713-12"</f>
        <v>E713-12</v>
      </c>
      <c r="B773" t="str">
        <f t="shared" si="56"/>
        <v>VIA EZIO LUCARNO  19-</v>
      </c>
      <c r="C773" t="str">
        <f t="shared" si="57"/>
        <v>STR</v>
      </c>
      <c r="D773">
        <v>32</v>
      </c>
      <c r="E773" t="str">
        <f t="shared" si="58"/>
        <v>400</v>
      </c>
      <c r="F773" t="str">
        <f>"26"</f>
        <v>26</v>
      </c>
    </row>
    <row r="774" spans="1:6">
      <c r="A774" t="str">
        <f>"E713-13"</f>
        <v>E713-13</v>
      </c>
      <c r="B774" t="str">
        <f t="shared" ref="B774:B782" si="59">"VIA EZIO LUCARNO  27-"</f>
        <v>VIA EZIO LUCARNO  27-</v>
      </c>
      <c r="C774" t="str">
        <f t="shared" si="57"/>
        <v>STR</v>
      </c>
      <c r="D774">
        <v>32</v>
      </c>
      <c r="E774" t="str">
        <f t="shared" si="58"/>
        <v>400</v>
      </c>
      <c r="F774" t="str">
        <f>"27"</f>
        <v>27</v>
      </c>
    </row>
    <row r="775" spans="1:6">
      <c r="A775" t="str">
        <f>"E713-14"</f>
        <v>E713-14</v>
      </c>
      <c r="B775" t="str">
        <f t="shared" si="59"/>
        <v>VIA EZIO LUCARNO  27-</v>
      </c>
      <c r="C775" t="str">
        <f t="shared" si="57"/>
        <v>STR</v>
      </c>
      <c r="D775">
        <v>32</v>
      </c>
      <c r="E775" t="str">
        <f t="shared" si="58"/>
        <v>400</v>
      </c>
      <c r="F775" t="str">
        <f>"28"</f>
        <v>28</v>
      </c>
    </row>
    <row r="776" spans="1:6">
      <c r="A776" t="str">
        <f>"E713-15"</f>
        <v>E713-15</v>
      </c>
      <c r="B776" t="str">
        <f t="shared" si="59"/>
        <v>VIA EZIO LUCARNO  27-</v>
      </c>
      <c r="C776" t="str">
        <f t="shared" si="57"/>
        <v>STR</v>
      </c>
      <c r="D776">
        <v>32</v>
      </c>
      <c r="E776" t="str">
        <f t="shared" si="58"/>
        <v>400</v>
      </c>
      <c r="F776" t="str">
        <f>"29"</f>
        <v>29</v>
      </c>
    </row>
    <row r="777" spans="1:6">
      <c r="A777" t="str">
        <f>"E713-17"</f>
        <v>E713-17</v>
      </c>
      <c r="B777" t="str">
        <f t="shared" si="59"/>
        <v>VIA EZIO LUCARNO  27-</v>
      </c>
      <c r="C777" t="str">
        <f t="shared" si="57"/>
        <v>STR</v>
      </c>
      <c r="D777">
        <v>32</v>
      </c>
      <c r="E777" t="str">
        <f t="shared" si="58"/>
        <v>400</v>
      </c>
      <c r="F777" t="str">
        <f>"32"</f>
        <v>32</v>
      </c>
    </row>
    <row r="778" spans="1:6">
      <c r="A778" t="str">
        <f>"E713-18"</f>
        <v>E713-18</v>
      </c>
      <c r="B778" t="str">
        <f t="shared" si="59"/>
        <v>VIA EZIO LUCARNO  27-</v>
      </c>
      <c r="C778" t="str">
        <f t="shared" si="57"/>
        <v>STR</v>
      </c>
      <c r="D778">
        <v>32</v>
      </c>
      <c r="E778" t="str">
        <f t="shared" si="58"/>
        <v>400</v>
      </c>
      <c r="F778" t="str">
        <f>"33"</f>
        <v>33</v>
      </c>
    </row>
    <row r="779" spans="1:6">
      <c r="A779" t="str">
        <f>"E713-21"</f>
        <v>E713-21</v>
      </c>
      <c r="B779" t="str">
        <f t="shared" si="59"/>
        <v>VIA EZIO LUCARNO  27-</v>
      </c>
      <c r="C779" t="str">
        <f t="shared" si="57"/>
        <v>STR</v>
      </c>
      <c r="D779">
        <v>32</v>
      </c>
      <c r="E779" t="str">
        <f t="shared" si="58"/>
        <v>400</v>
      </c>
      <c r="F779" t="str">
        <f>"37"</f>
        <v>37</v>
      </c>
    </row>
    <row r="780" spans="1:6">
      <c r="A780" t="str">
        <f>"E713-22"</f>
        <v>E713-22</v>
      </c>
      <c r="B780" t="str">
        <f t="shared" si="59"/>
        <v>VIA EZIO LUCARNO  27-</v>
      </c>
      <c r="C780" t="str">
        <f t="shared" si="57"/>
        <v>STR</v>
      </c>
      <c r="D780">
        <v>32</v>
      </c>
      <c r="E780" t="str">
        <f t="shared" si="58"/>
        <v>400</v>
      </c>
      <c r="F780" t="str">
        <f>"38"</f>
        <v>38</v>
      </c>
    </row>
    <row r="781" spans="1:6">
      <c r="A781" t="str">
        <f>"E713-24"</f>
        <v>E713-24</v>
      </c>
      <c r="B781" t="str">
        <f t="shared" si="59"/>
        <v>VIA EZIO LUCARNO  27-</v>
      </c>
      <c r="C781" t="str">
        <f t="shared" si="57"/>
        <v>STR</v>
      </c>
      <c r="D781">
        <v>32</v>
      </c>
      <c r="E781" t="str">
        <f t="shared" si="58"/>
        <v>400</v>
      </c>
      <c r="F781" t="str">
        <f>"42"</f>
        <v>42</v>
      </c>
    </row>
    <row r="782" spans="1:6">
      <c r="A782" t="str">
        <f>"E713-28"</f>
        <v>E713-28</v>
      </c>
      <c r="B782" t="str">
        <f t="shared" si="59"/>
        <v>VIA EZIO LUCARNO  27-</v>
      </c>
      <c r="C782" t="str">
        <f t="shared" si="57"/>
        <v>STR</v>
      </c>
      <c r="D782">
        <v>32</v>
      </c>
      <c r="E782" t="str">
        <f t="shared" si="58"/>
        <v>400</v>
      </c>
      <c r="F782" t="str">
        <f>"46"</f>
        <v>46</v>
      </c>
    </row>
    <row r="783" spans="1:6">
      <c r="A783" t="str">
        <f>"E713-32"</f>
        <v>E713-32</v>
      </c>
      <c r="B783" t="str">
        <f t="shared" ref="B783:B794" si="60">"VIA EZIO LUCARNO  19-"</f>
        <v>VIA EZIO LUCARNO  19-</v>
      </c>
      <c r="C783" t="str">
        <f t="shared" si="57"/>
        <v>STR</v>
      </c>
      <c r="D783">
        <v>32</v>
      </c>
      <c r="E783" t="str">
        <f t="shared" si="58"/>
        <v>400</v>
      </c>
      <c r="F783" t="str">
        <f>"57"</f>
        <v>57</v>
      </c>
    </row>
    <row r="784" spans="1:6">
      <c r="A784" t="str">
        <f>"E713-33"</f>
        <v>E713-33</v>
      </c>
      <c r="B784" t="str">
        <f t="shared" si="60"/>
        <v>VIA EZIO LUCARNO  19-</v>
      </c>
      <c r="C784" t="str">
        <f t="shared" si="57"/>
        <v>STR</v>
      </c>
      <c r="D784">
        <v>32</v>
      </c>
      <c r="E784" t="str">
        <f t="shared" si="58"/>
        <v>400</v>
      </c>
      <c r="F784" t="str">
        <f>"58"</f>
        <v>58</v>
      </c>
    </row>
    <row r="785" spans="1:6">
      <c r="A785" t="str">
        <f>"E713-34"</f>
        <v>E713-34</v>
      </c>
      <c r="B785" t="str">
        <f t="shared" si="60"/>
        <v>VIA EZIO LUCARNO  19-</v>
      </c>
      <c r="C785" t="str">
        <f t="shared" si="57"/>
        <v>STR</v>
      </c>
      <c r="D785">
        <v>32</v>
      </c>
      <c r="E785" t="str">
        <f t="shared" si="58"/>
        <v>400</v>
      </c>
      <c r="F785" t="str">
        <f>"59"</f>
        <v>59</v>
      </c>
    </row>
    <row r="786" spans="1:6">
      <c r="A786" t="str">
        <f>"E713-36"</f>
        <v>E713-36</v>
      </c>
      <c r="B786" t="str">
        <f t="shared" si="60"/>
        <v>VIA EZIO LUCARNO  19-</v>
      </c>
      <c r="C786" t="str">
        <f t="shared" si="57"/>
        <v>STR</v>
      </c>
      <c r="D786">
        <v>32</v>
      </c>
      <c r="E786" t="str">
        <f t="shared" si="58"/>
        <v>400</v>
      </c>
      <c r="F786" t="str">
        <f>"67"</f>
        <v>67</v>
      </c>
    </row>
    <row r="787" spans="1:6">
      <c r="A787" t="str">
        <f>"E713-37"</f>
        <v>E713-37</v>
      </c>
      <c r="B787" t="str">
        <f t="shared" si="60"/>
        <v>VIA EZIO LUCARNO  19-</v>
      </c>
      <c r="C787" t="str">
        <f t="shared" si="57"/>
        <v>STR</v>
      </c>
      <c r="D787">
        <v>32</v>
      </c>
      <c r="E787" t="str">
        <f t="shared" si="58"/>
        <v>400</v>
      </c>
      <c r="F787" t="str">
        <f>"68"</f>
        <v>68</v>
      </c>
    </row>
    <row r="788" spans="1:6">
      <c r="A788" t="str">
        <f>"E713-38"</f>
        <v>E713-38</v>
      </c>
      <c r="B788" t="str">
        <f t="shared" si="60"/>
        <v>VIA EZIO LUCARNO  19-</v>
      </c>
      <c r="C788" t="str">
        <f t="shared" si="57"/>
        <v>STR</v>
      </c>
      <c r="D788">
        <v>32</v>
      </c>
      <c r="E788" t="str">
        <f t="shared" si="58"/>
        <v>400</v>
      </c>
      <c r="F788" t="str">
        <f>"69"</f>
        <v>69</v>
      </c>
    </row>
    <row r="789" spans="1:6">
      <c r="A789" t="str">
        <f>"E713-39"</f>
        <v>E713-39</v>
      </c>
      <c r="B789" t="str">
        <f t="shared" si="60"/>
        <v>VIA EZIO LUCARNO  19-</v>
      </c>
      <c r="C789" t="str">
        <f t="shared" si="57"/>
        <v>STR</v>
      </c>
      <c r="D789">
        <v>32</v>
      </c>
      <c r="E789" t="str">
        <f t="shared" si="58"/>
        <v>400</v>
      </c>
      <c r="F789" t="str">
        <f>"70"</f>
        <v>70</v>
      </c>
    </row>
    <row r="790" spans="1:6">
      <c r="A790" t="str">
        <f>"E713-40"</f>
        <v>E713-40</v>
      </c>
      <c r="B790" t="str">
        <f t="shared" si="60"/>
        <v>VIA EZIO LUCARNO  19-</v>
      </c>
      <c r="C790" t="str">
        <f t="shared" si="57"/>
        <v>STR</v>
      </c>
      <c r="D790">
        <v>32</v>
      </c>
      <c r="E790" t="str">
        <f t="shared" si="58"/>
        <v>400</v>
      </c>
      <c r="F790" t="str">
        <f>"71"</f>
        <v>71</v>
      </c>
    </row>
    <row r="791" spans="1:6">
      <c r="A791" t="str">
        <f>"E713-41"</f>
        <v>E713-41</v>
      </c>
      <c r="B791" t="str">
        <f t="shared" si="60"/>
        <v>VIA EZIO LUCARNO  19-</v>
      </c>
      <c r="C791" t="str">
        <f t="shared" si="57"/>
        <v>STR</v>
      </c>
      <c r="D791">
        <v>32</v>
      </c>
      <c r="E791" t="str">
        <f t="shared" si="58"/>
        <v>400</v>
      </c>
      <c r="F791" t="str">
        <f>"72"</f>
        <v>72</v>
      </c>
    </row>
    <row r="792" spans="1:6">
      <c r="A792" t="str">
        <f>"E713-42"</f>
        <v>E713-42</v>
      </c>
      <c r="B792" t="str">
        <f t="shared" si="60"/>
        <v>VIA EZIO LUCARNO  19-</v>
      </c>
      <c r="C792" t="str">
        <f t="shared" si="57"/>
        <v>STR</v>
      </c>
      <c r="D792">
        <v>32</v>
      </c>
      <c r="E792" t="str">
        <f t="shared" si="58"/>
        <v>400</v>
      </c>
      <c r="F792" t="str">
        <f>"73"</f>
        <v>73</v>
      </c>
    </row>
    <row r="793" spans="1:6">
      <c r="A793" t="str">
        <f>"E713-43"</f>
        <v>E713-43</v>
      </c>
      <c r="B793" t="str">
        <f t="shared" si="60"/>
        <v>VIA EZIO LUCARNO  19-</v>
      </c>
      <c r="C793" t="str">
        <f t="shared" si="57"/>
        <v>STR</v>
      </c>
      <c r="D793">
        <v>32</v>
      </c>
      <c r="E793" t="str">
        <f t="shared" si="58"/>
        <v>400</v>
      </c>
      <c r="F793" t="str">
        <f>"74"</f>
        <v>74</v>
      </c>
    </row>
    <row r="794" spans="1:6">
      <c r="A794" t="str">
        <f>"E713-44"</f>
        <v>E713-44</v>
      </c>
      <c r="B794" t="str">
        <f t="shared" si="60"/>
        <v>VIA EZIO LUCARNO  19-</v>
      </c>
      <c r="C794" t="str">
        <f t="shared" si="57"/>
        <v>STR</v>
      </c>
      <c r="D794">
        <v>32</v>
      </c>
      <c r="E794" t="str">
        <f t="shared" si="58"/>
        <v>400</v>
      </c>
      <c r="F794" t="str">
        <f>"75"</f>
        <v>75</v>
      </c>
    </row>
    <row r="795" spans="1:6">
      <c r="A795" t="str">
        <f>"E713-46"</f>
        <v>E713-46</v>
      </c>
      <c r="B795" t="str">
        <f t="shared" ref="B795:B800" si="61">"VIA EZIO LUCARNO  27-"</f>
        <v>VIA EZIO LUCARNO  27-</v>
      </c>
      <c r="C795" t="str">
        <f t="shared" si="57"/>
        <v>STR</v>
      </c>
      <c r="D795">
        <v>32</v>
      </c>
      <c r="E795" t="str">
        <f t="shared" si="58"/>
        <v>400</v>
      </c>
      <c r="F795" t="str">
        <f>"78"</f>
        <v>78</v>
      </c>
    </row>
    <row r="796" spans="1:6">
      <c r="A796" t="str">
        <f>"E713-47"</f>
        <v>E713-47</v>
      </c>
      <c r="B796" t="str">
        <f t="shared" si="61"/>
        <v>VIA EZIO LUCARNO  27-</v>
      </c>
      <c r="C796" t="str">
        <f t="shared" si="57"/>
        <v>STR</v>
      </c>
      <c r="D796">
        <v>32</v>
      </c>
      <c r="E796" t="str">
        <f t="shared" si="58"/>
        <v>400</v>
      </c>
      <c r="F796" t="str">
        <f>"79"</f>
        <v>79</v>
      </c>
    </row>
    <row r="797" spans="1:6">
      <c r="A797" t="str">
        <f>"E713-50"</f>
        <v>E713-50</v>
      </c>
      <c r="B797" t="str">
        <f t="shared" si="61"/>
        <v>VIA EZIO LUCARNO  27-</v>
      </c>
      <c r="C797" t="str">
        <f t="shared" ref="C797:C828" si="62">"STR"</f>
        <v>STR</v>
      </c>
      <c r="D797">
        <v>32</v>
      </c>
      <c r="E797" t="str">
        <f t="shared" ref="E797:E823" si="63">"400"</f>
        <v>400</v>
      </c>
      <c r="F797" t="str">
        <f>"82"</f>
        <v>82</v>
      </c>
    </row>
    <row r="798" spans="1:6">
      <c r="A798" t="str">
        <f>"E713-51"</f>
        <v>E713-51</v>
      </c>
      <c r="B798" t="str">
        <f t="shared" si="61"/>
        <v>VIA EZIO LUCARNO  27-</v>
      </c>
      <c r="C798" t="str">
        <f t="shared" si="62"/>
        <v>STR</v>
      </c>
      <c r="D798">
        <v>32</v>
      </c>
      <c r="E798" t="str">
        <f t="shared" si="63"/>
        <v>400</v>
      </c>
      <c r="F798" t="str">
        <f>"83"</f>
        <v>83</v>
      </c>
    </row>
    <row r="799" spans="1:6">
      <c r="A799" t="str">
        <f>"E713-53"</f>
        <v>E713-53</v>
      </c>
      <c r="B799" t="str">
        <f t="shared" si="61"/>
        <v>VIA EZIO LUCARNO  27-</v>
      </c>
      <c r="C799" t="str">
        <f t="shared" si="62"/>
        <v>STR</v>
      </c>
      <c r="D799">
        <v>32</v>
      </c>
      <c r="E799" t="str">
        <f t="shared" si="63"/>
        <v>400</v>
      </c>
      <c r="F799" t="str">
        <f>"87"</f>
        <v>87</v>
      </c>
    </row>
    <row r="800" spans="1:6">
      <c r="A800" t="str">
        <f>"E713-57"</f>
        <v>E713-57</v>
      </c>
      <c r="B800" t="str">
        <f t="shared" si="61"/>
        <v>VIA EZIO LUCARNO  27-</v>
      </c>
      <c r="C800" t="str">
        <f t="shared" si="62"/>
        <v>STR</v>
      </c>
      <c r="D800">
        <v>32</v>
      </c>
      <c r="E800" t="str">
        <f t="shared" si="63"/>
        <v>400</v>
      </c>
      <c r="F800" t="str">
        <f>"91"</f>
        <v>91</v>
      </c>
    </row>
    <row r="801" spans="1:6">
      <c r="A801" t="str">
        <f>"E713-59"</f>
        <v>E713-59</v>
      </c>
      <c r="B801" t="str">
        <f t="shared" ref="B801:B808" si="64">"VIA EZIO LUCARNO  15-"</f>
        <v>VIA EZIO LUCARNO  15-</v>
      </c>
      <c r="C801" t="str">
        <f t="shared" si="62"/>
        <v>STR</v>
      </c>
      <c r="D801">
        <v>32</v>
      </c>
      <c r="E801" t="str">
        <f t="shared" si="63"/>
        <v>400</v>
      </c>
      <c r="F801" t="str">
        <f>"93"</f>
        <v>93</v>
      </c>
    </row>
    <row r="802" spans="1:6">
      <c r="A802" t="str">
        <f>"E713-60"</f>
        <v>E713-60</v>
      </c>
      <c r="B802" t="str">
        <f t="shared" si="64"/>
        <v>VIA EZIO LUCARNO  15-</v>
      </c>
      <c r="C802" t="str">
        <f t="shared" si="62"/>
        <v>STR</v>
      </c>
      <c r="D802">
        <v>32</v>
      </c>
      <c r="E802" t="str">
        <f t="shared" si="63"/>
        <v>400</v>
      </c>
      <c r="F802" t="str">
        <f>"94"</f>
        <v>94</v>
      </c>
    </row>
    <row r="803" spans="1:6">
      <c r="A803" t="str">
        <f>"E713-62"</f>
        <v>E713-62</v>
      </c>
      <c r="B803" t="str">
        <f t="shared" si="64"/>
        <v>VIA EZIO LUCARNO  15-</v>
      </c>
      <c r="C803" t="str">
        <f t="shared" si="62"/>
        <v>STR</v>
      </c>
      <c r="D803">
        <v>32</v>
      </c>
      <c r="E803" t="str">
        <f t="shared" si="63"/>
        <v>400</v>
      </c>
      <c r="F803" t="str">
        <f>"96"</f>
        <v>96</v>
      </c>
    </row>
    <row r="804" spans="1:6">
      <c r="A804" t="str">
        <f>"E713-63"</f>
        <v>E713-63</v>
      </c>
      <c r="B804" t="str">
        <f t="shared" si="64"/>
        <v>VIA EZIO LUCARNO  15-</v>
      </c>
      <c r="C804" t="str">
        <f t="shared" si="62"/>
        <v>STR</v>
      </c>
      <c r="D804">
        <v>32</v>
      </c>
      <c r="E804" t="str">
        <f t="shared" si="63"/>
        <v>400</v>
      </c>
      <c r="F804" t="str">
        <f>"97"</f>
        <v>97</v>
      </c>
    </row>
    <row r="805" spans="1:6">
      <c r="A805" t="str">
        <f>"E713-64"</f>
        <v>E713-64</v>
      </c>
      <c r="B805" t="str">
        <f t="shared" si="64"/>
        <v>VIA EZIO LUCARNO  15-</v>
      </c>
      <c r="C805" t="str">
        <f t="shared" si="62"/>
        <v>STR</v>
      </c>
      <c r="D805">
        <v>32</v>
      </c>
      <c r="E805" t="str">
        <f t="shared" si="63"/>
        <v>400</v>
      </c>
      <c r="F805" t="str">
        <f>"98"</f>
        <v>98</v>
      </c>
    </row>
    <row r="806" spans="1:6">
      <c r="A806" t="str">
        <f>"E713-65"</f>
        <v>E713-65</v>
      </c>
      <c r="B806" t="str">
        <f t="shared" si="64"/>
        <v>VIA EZIO LUCARNO  15-</v>
      </c>
      <c r="C806" t="str">
        <f t="shared" si="62"/>
        <v>STR</v>
      </c>
      <c r="D806">
        <v>32</v>
      </c>
      <c r="E806" t="str">
        <f t="shared" si="63"/>
        <v>400</v>
      </c>
      <c r="F806" t="str">
        <f>"101"</f>
        <v>101</v>
      </c>
    </row>
    <row r="807" spans="1:6">
      <c r="A807" t="str">
        <f>"E713-66"</f>
        <v>E713-66</v>
      </c>
      <c r="B807" t="str">
        <f t="shared" si="64"/>
        <v>VIA EZIO LUCARNO  15-</v>
      </c>
      <c r="C807" t="str">
        <f t="shared" si="62"/>
        <v>STR</v>
      </c>
      <c r="D807">
        <v>32</v>
      </c>
      <c r="E807" t="str">
        <f t="shared" si="63"/>
        <v>400</v>
      </c>
      <c r="F807" t="str">
        <f>"102"</f>
        <v>102</v>
      </c>
    </row>
    <row r="808" spans="1:6">
      <c r="A808" t="str">
        <f>"E713-67"</f>
        <v>E713-67</v>
      </c>
      <c r="B808" t="str">
        <f t="shared" si="64"/>
        <v>VIA EZIO LUCARNO  15-</v>
      </c>
      <c r="C808" t="str">
        <f t="shared" si="62"/>
        <v>STR</v>
      </c>
      <c r="D808">
        <v>32</v>
      </c>
      <c r="E808" t="str">
        <f t="shared" si="63"/>
        <v>400</v>
      </c>
      <c r="F808" t="str">
        <f>"103"</f>
        <v>103</v>
      </c>
    </row>
    <row r="809" spans="1:6">
      <c r="A809" t="str">
        <f>"E713-69"</f>
        <v>E713-69</v>
      </c>
      <c r="B809" t="str">
        <f t="shared" ref="B809:B823" si="65">"VIA EZIO LUCARNO  25-"</f>
        <v>VIA EZIO LUCARNO  25-</v>
      </c>
      <c r="C809" t="str">
        <f t="shared" si="62"/>
        <v>STR</v>
      </c>
      <c r="D809">
        <v>32</v>
      </c>
      <c r="E809" t="str">
        <f t="shared" si="63"/>
        <v>400</v>
      </c>
      <c r="F809" t="str">
        <f>"106"</f>
        <v>106</v>
      </c>
    </row>
    <row r="810" spans="1:6">
      <c r="A810" t="str">
        <f>"E713-70"</f>
        <v>E713-70</v>
      </c>
      <c r="B810" t="str">
        <f t="shared" si="65"/>
        <v>VIA EZIO LUCARNO  25-</v>
      </c>
      <c r="C810" t="str">
        <f t="shared" si="62"/>
        <v>STR</v>
      </c>
      <c r="D810">
        <v>32</v>
      </c>
      <c r="E810" t="str">
        <f t="shared" si="63"/>
        <v>400</v>
      </c>
      <c r="F810" t="str">
        <f>"107"</f>
        <v>107</v>
      </c>
    </row>
    <row r="811" spans="1:6">
      <c r="A811" t="str">
        <f>"E713-71"</f>
        <v>E713-71</v>
      </c>
      <c r="B811" t="str">
        <f t="shared" si="65"/>
        <v>VIA EZIO LUCARNO  25-</v>
      </c>
      <c r="C811" t="str">
        <f t="shared" si="62"/>
        <v>STR</v>
      </c>
      <c r="D811">
        <v>32</v>
      </c>
      <c r="E811" t="str">
        <f t="shared" si="63"/>
        <v>400</v>
      </c>
      <c r="F811" t="str">
        <f>"108"</f>
        <v>108</v>
      </c>
    </row>
    <row r="812" spans="1:6">
      <c r="A812" t="str">
        <f>"E713-72"</f>
        <v>E713-72</v>
      </c>
      <c r="B812" t="str">
        <f t="shared" si="65"/>
        <v>VIA EZIO LUCARNO  25-</v>
      </c>
      <c r="C812" t="str">
        <f t="shared" si="62"/>
        <v>STR</v>
      </c>
      <c r="D812">
        <v>32</v>
      </c>
      <c r="E812" t="str">
        <f t="shared" si="63"/>
        <v>400</v>
      </c>
      <c r="F812" t="str">
        <f>"109"</f>
        <v>109</v>
      </c>
    </row>
    <row r="813" spans="1:6">
      <c r="A813" t="str">
        <f>"E713-73"</f>
        <v>E713-73</v>
      </c>
      <c r="B813" t="str">
        <f t="shared" si="65"/>
        <v>VIA EZIO LUCARNO  25-</v>
      </c>
      <c r="C813" t="str">
        <f t="shared" si="62"/>
        <v>STR</v>
      </c>
      <c r="D813">
        <v>32</v>
      </c>
      <c r="E813" t="str">
        <f t="shared" si="63"/>
        <v>400</v>
      </c>
      <c r="F813" t="str">
        <f>"110"</f>
        <v>110</v>
      </c>
    </row>
    <row r="814" spans="1:6">
      <c r="A814" t="str">
        <f>"E713-75"</f>
        <v>E713-75</v>
      </c>
      <c r="B814" t="str">
        <f t="shared" si="65"/>
        <v>VIA EZIO LUCARNO  25-</v>
      </c>
      <c r="C814" t="str">
        <f t="shared" si="62"/>
        <v>STR</v>
      </c>
      <c r="D814">
        <v>32</v>
      </c>
      <c r="E814" t="str">
        <f t="shared" si="63"/>
        <v>400</v>
      </c>
      <c r="F814" t="str">
        <f>"112"</f>
        <v>112</v>
      </c>
    </row>
    <row r="815" spans="1:6">
      <c r="A815" t="str">
        <f>"E713-76"</f>
        <v>E713-76</v>
      </c>
      <c r="B815" t="str">
        <f t="shared" si="65"/>
        <v>VIA EZIO LUCARNO  25-</v>
      </c>
      <c r="C815" t="str">
        <f t="shared" si="62"/>
        <v>STR</v>
      </c>
      <c r="D815">
        <v>32</v>
      </c>
      <c r="E815" t="str">
        <f t="shared" si="63"/>
        <v>400</v>
      </c>
      <c r="F815" t="str">
        <f>"114"</f>
        <v>114</v>
      </c>
    </row>
    <row r="816" spans="1:6">
      <c r="A816" t="str">
        <f>"E713-77"</f>
        <v>E713-77</v>
      </c>
      <c r="B816" t="str">
        <f t="shared" si="65"/>
        <v>VIA EZIO LUCARNO  25-</v>
      </c>
      <c r="C816" t="str">
        <f t="shared" si="62"/>
        <v>STR</v>
      </c>
      <c r="D816">
        <v>32</v>
      </c>
      <c r="E816" t="str">
        <f t="shared" si="63"/>
        <v>400</v>
      </c>
      <c r="F816" t="str">
        <f>"115"</f>
        <v>115</v>
      </c>
    </row>
    <row r="817" spans="1:6">
      <c r="A817" t="str">
        <f>"E713-78"</f>
        <v>E713-78</v>
      </c>
      <c r="B817" t="str">
        <f t="shared" si="65"/>
        <v>VIA EZIO LUCARNO  25-</v>
      </c>
      <c r="C817" t="str">
        <f t="shared" si="62"/>
        <v>STR</v>
      </c>
      <c r="D817">
        <v>32</v>
      </c>
      <c r="E817" t="str">
        <f t="shared" si="63"/>
        <v>400</v>
      </c>
      <c r="F817" t="str">
        <f>"116"</f>
        <v>116</v>
      </c>
    </row>
    <row r="818" spans="1:6">
      <c r="A818" t="str">
        <f>"E713-79"</f>
        <v>E713-79</v>
      </c>
      <c r="B818" t="str">
        <f t="shared" si="65"/>
        <v>VIA EZIO LUCARNO  25-</v>
      </c>
      <c r="C818" t="str">
        <f t="shared" si="62"/>
        <v>STR</v>
      </c>
      <c r="D818">
        <v>32</v>
      </c>
      <c r="E818" t="str">
        <f t="shared" si="63"/>
        <v>400</v>
      </c>
      <c r="F818" t="str">
        <f>"117"</f>
        <v>117</v>
      </c>
    </row>
    <row r="819" spans="1:6">
      <c r="A819" t="str">
        <f>"E713-80"</f>
        <v>E713-80</v>
      </c>
      <c r="B819" t="str">
        <f t="shared" si="65"/>
        <v>VIA EZIO LUCARNO  25-</v>
      </c>
      <c r="C819" t="str">
        <f t="shared" si="62"/>
        <v>STR</v>
      </c>
      <c r="D819">
        <v>32</v>
      </c>
      <c r="E819" t="str">
        <f t="shared" si="63"/>
        <v>400</v>
      </c>
      <c r="F819" t="str">
        <f>"118"</f>
        <v>118</v>
      </c>
    </row>
    <row r="820" spans="1:6">
      <c r="A820" t="str">
        <f>"E713-81"</f>
        <v>E713-81</v>
      </c>
      <c r="B820" t="str">
        <f t="shared" si="65"/>
        <v>VIA EZIO LUCARNO  25-</v>
      </c>
      <c r="C820" t="str">
        <f t="shared" si="62"/>
        <v>STR</v>
      </c>
      <c r="D820">
        <v>32</v>
      </c>
      <c r="E820" t="str">
        <f t="shared" si="63"/>
        <v>400</v>
      </c>
      <c r="F820" t="str">
        <f>"119"</f>
        <v>119</v>
      </c>
    </row>
    <row r="821" spans="1:6">
      <c r="A821" t="str">
        <f>"E713-84"</f>
        <v>E713-84</v>
      </c>
      <c r="B821" t="str">
        <f t="shared" si="65"/>
        <v>VIA EZIO LUCARNO  25-</v>
      </c>
      <c r="C821" t="str">
        <f t="shared" si="62"/>
        <v>STR</v>
      </c>
      <c r="D821">
        <v>32</v>
      </c>
      <c r="E821" t="str">
        <f t="shared" si="63"/>
        <v>400</v>
      </c>
      <c r="F821" t="str">
        <f>"122"</f>
        <v>122</v>
      </c>
    </row>
    <row r="822" spans="1:6">
      <c r="A822" t="str">
        <f>"E713-86"</f>
        <v>E713-86</v>
      </c>
      <c r="B822" t="str">
        <f t="shared" si="65"/>
        <v>VIA EZIO LUCARNO  25-</v>
      </c>
      <c r="C822" t="str">
        <f t="shared" si="62"/>
        <v>STR</v>
      </c>
      <c r="D822">
        <v>32</v>
      </c>
      <c r="E822" t="str">
        <f t="shared" si="63"/>
        <v>400</v>
      </c>
      <c r="F822" t="str">
        <f>"124"</f>
        <v>124</v>
      </c>
    </row>
    <row r="823" spans="1:6">
      <c r="A823" t="str">
        <f>"E713-87"</f>
        <v>E713-87</v>
      </c>
      <c r="B823" t="str">
        <f t="shared" si="65"/>
        <v>VIA EZIO LUCARNO  25-</v>
      </c>
      <c r="C823" t="str">
        <f t="shared" si="62"/>
        <v>STR</v>
      </c>
      <c r="D823">
        <v>32</v>
      </c>
      <c r="E823" t="str">
        <f t="shared" si="63"/>
        <v>400</v>
      </c>
      <c r="F823" t="str">
        <f>"125"</f>
        <v>125</v>
      </c>
    </row>
    <row r="824" spans="1:6">
      <c r="A824" t="str">
        <f>"E714-4"</f>
        <v>E714-4</v>
      </c>
      <c r="B824" t="str">
        <f>"VIA EZIO LUCARNO  87-"</f>
        <v>VIA EZIO LUCARNO  87-</v>
      </c>
      <c r="C824" t="str">
        <f t="shared" si="62"/>
        <v>STR</v>
      </c>
      <c r="D824">
        <v>33</v>
      </c>
      <c r="E824" t="str">
        <f t="shared" ref="E824:E849" si="66">"957"</f>
        <v>957</v>
      </c>
      <c r="F824" t="str">
        <f>"90"</f>
        <v>90</v>
      </c>
    </row>
    <row r="825" spans="1:6">
      <c r="A825" t="str">
        <f>"E714-5"</f>
        <v>E714-5</v>
      </c>
      <c r="B825" t="str">
        <f>"VIA EZIO LUCARNO  87-"</f>
        <v>VIA EZIO LUCARNO  87-</v>
      </c>
      <c r="C825" t="str">
        <f t="shared" si="62"/>
        <v>STR</v>
      </c>
      <c r="D825">
        <v>33</v>
      </c>
      <c r="E825" t="str">
        <f t="shared" si="66"/>
        <v>957</v>
      </c>
      <c r="F825" t="str">
        <f>"92"</f>
        <v>92</v>
      </c>
    </row>
    <row r="826" spans="1:6">
      <c r="A826" t="str">
        <f>"E714-6"</f>
        <v>E714-6</v>
      </c>
      <c r="B826" t="str">
        <f>"VIA EZIO LUCARNO  87-"</f>
        <v>VIA EZIO LUCARNO  87-</v>
      </c>
      <c r="C826" t="str">
        <f t="shared" si="62"/>
        <v>STR</v>
      </c>
      <c r="D826">
        <v>33</v>
      </c>
      <c r="E826" t="str">
        <f t="shared" si="66"/>
        <v>957</v>
      </c>
      <c r="F826" t="str">
        <f>"93"</f>
        <v>93</v>
      </c>
    </row>
    <row r="827" spans="1:6">
      <c r="A827" t="str">
        <f>"E714-7"</f>
        <v>E714-7</v>
      </c>
      <c r="B827" t="str">
        <f>"VIA EZIO LUCARNO  87-"</f>
        <v>VIA EZIO LUCARNO  87-</v>
      </c>
      <c r="C827" t="str">
        <f t="shared" si="62"/>
        <v>STR</v>
      </c>
      <c r="D827">
        <v>33</v>
      </c>
      <c r="E827" t="str">
        <f t="shared" si="66"/>
        <v>957</v>
      </c>
      <c r="F827" t="str">
        <f>"94"</f>
        <v>94</v>
      </c>
    </row>
    <row r="828" spans="1:6">
      <c r="A828" t="str">
        <f>"E714-8"</f>
        <v>E714-8</v>
      </c>
      <c r="B828" t="str">
        <f>"VIA EZIO LUCARNO  87-"</f>
        <v>VIA EZIO LUCARNO  87-</v>
      </c>
      <c r="C828" t="str">
        <f t="shared" si="62"/>
        <v>STR</v>
      </c>
      <c r="D828">
        <v>33</v>
      </c>
      <c r="E828" t="str">
        <f t="shared" si="66"/>
        <v>957</v>
      </c>
      <c r="F828" t="str">
        <f>"95"</f>
        <v>95</v>
      </c>
    </row>
    <row r="829" spans="1:6">
      <c r="A829" t="str">
        <f>"E714-9"</f>
        <v>E714-9</v>
      </c>
      <c r="B829" t="str">
        <f t="shared" ref="B829:B837" si="67">"VIA EZIO LUCARNO  99-"</f>
        <v>VIA EZIO LUCARNO  99-</v>
      </c>
      <c r="C829" t="str">
        <f t="shared" ref="C829:C860" si="68">"STR"</f>
        <v>STR</v>
      </c>
      <c r="D829">
        <v>33</v>
      </c>
      <c r="E829" t="str">
        <f t="shared" si="66"/>
        <v>957</v>
      </c>
      <c r="F829" t="str">
        <f>"101"</f>
        <v>101</v>
      </c>
    </row>
    <row r="830" spans="1:6">
      <c r="A830" t="str">
        <f>"E714-10"</f>
        <v>E714-10</v>
      </c>
      <c r="B830" t="str">
        <f t="shared" si="67"/>
        <v>VIA EZIO LUCARNO  99-</v>
      </c>
      <c r="C830" t="str">
        <f t="shared" si="68"/>
        <v>STR</v>
      </c>
      <c r="D830">
        <v>33</v>
      </c>
      <c r="E830" t="str">
        <f t="shared" si="66"/>
        <v>957</v>
      </c>
      <c r="F830" t="str">
        <f>"102"</f>
        <v>102</v>
      </c>
    </row>
    <row r="831" spans="1:6">
      <c r="A831" t="str">
        <f>"E714-11"</f>
        <v>E714-11</v>
      </c>
      <c r="B831" t="str">
        <f t="shared" si="67"/>
        <v>VIA EZIO LUCARNO  99-</v>
      </c>
      <c r="C831" t="str">
        <f t="shared" si="68"/>
        <v>STR</v>
      </c>
      <c r="D831">
        <v>33</v>
      </c>
      <c r="E831" t="str">
        <f t="shared" si="66"/>
        <v>957</v>
      </c>
      <c r="F831" t="str">
        <f>"118"</f>
        <v>118</v>
      </c>
    </row>
    <row r="832" spans="1:6">
      <c r="A832" t="str">
        <f>"E714-15"</f>
        <v>E714-15</v>
      </c>
      <c r="B832" t="str">
        <f t="shared" si="67"/>
        <v>VIA EZIO LUCARNO  99-</v>
      </c>
      <c r="C832" t="str">
        <f t="shared" si="68"/>
        <v>STR</v>
      </c>
      <c r="D832">
        <v>33</v>
      </c>
      <c r="E832" t="str">
        <f t="shared" si="66"/>
        <v>957</v>
      </c>
      <c r="F832" t="str">
        <f>"110"</f>
        <v>110</v>
      </c>
    </row>
    <row r="833" spans="1:6">
      <c r="A833" t="str">
        <f>"E714-16"</f>
        <v>E714-16</v>
      </c>
      <c r="B833" t="str">
        <f t="shared" si="67"/>
        <v>VIA EZIO LUCARNO  99-</v>
      </c>
      <c r="C833" t="str">
        <f t="shared" si="68"/>
        <v>STR</v>
      </c>
      <c r="D833">
        <v>33</v>
      </c>
      <c r="E833" t="str">
        <f t="shared" si="66"/>
        <v>957</v>
      </c>
      <c r="F833" t="str">
        <f>"112"</f>
        <v>112</v>
      </c>
    </row>
    <row r="834" spans="1:6">
      <c r="A834" t="str">
        <f>"E714-17"</f>
        <v>E714-17</v>
      </c>
      <c r="B834" t="str">
        <f t="shared" si="67"/>
        <v>VIA EZIO LUCARNO  99-</v>
      </c>
      <c r="C834" t="str">
        <f t="shared" si="68"/>
        <v>STR</v>
      </c>
      <c r="D834">
        <v>33</v>
      </c>
      <c r="E834" t="str">
        <f t="shared" si="66"/>
        <v>957</v>
      </c>
      <c r="F834" t="str">
        <f>"114"</f>
        <v>114</v>
      </c>
    </row>
    <row r="835" spans="1:6">
      <c r="A835" t="str">
        <f>"E714-18"</f>
        <v>E714-18</v>
      </c>
      <c r="B835" t="str">
        <f t="shared" si="67"/>
        <v>VIA EZIO LUCARNO  99-</v>
      </c>
      <c r="C835" t="str">
        <f t="shared" si="68"/>
        <v>STR</v>
      </c>
      <c r="D835">
        <v>33</v>
      </c>
      <c r="E835" t="str">
        <f t="shared" si="66"/>
        <v>957</v>
      </c>
      <c r="F835" t="str">
        <f>"115"</f>
        <v>115</v>
      </c>
    </row>
    <row r="836" spans="1:6">
      <c r="A836" t="str">
        <f>"E714-20"</f>
        <v>E714-20</v>
      </c>
      <c r="B836" t="str">
        <f t="shared" si="67"/>
        <v>VIA EZIO LUCARNO  99-</v>
      </c>
      <c r="C836" t="str">
        <f t="shared" si="68"/>
        <v>STR</v>
      </c>
      <c r="D836">
        <v>33</v>
      </c>
      <c r="E836" t="str">
        <f t="shared" si="66"/>
        <v>957</v>
      </c>
      <c r="F836" t="str">
        <f>"126"</f>
        <v>126</v>
      </c>
    </row>
    <row r="837" spans="1:6">
      <c r="A837" t="str">
        <f>"E714-26"</f>
        <v>E714-26</v>
      </c>
      <c r="B837" t="str">
        <f t="shared" si="67"/>
        <v>VIA EZIO LUCARNO  99-</v>
      </c>
      <c r="C837" t="str">
        <f t="shared" si="68"/>
        <v>STR</v>
      </c>
      <c r="D837">
        <v>33</v>
      </c>
      <c r="E837" t="str">
        <f t="shared" si="66"/>
        <v>957</v>
      </c>
      <c r="F837" t="str">
        <f>"124"</f>
        <v>124</v>
      </c>
    </row>
    <row r="838" spans="1:6">
      <c r="A838" t="str">
        <f>"E714-28"</f>
        <v>E714-28</v>
      </c>
      <c r="B838" t="str">
        <f>"VIA EZIO LUCARNO  97-"</f>
        <v>VIA EZIO LUCARNO  97-</v>
      </c>
      <c r="C838" t="str">
        <f t="shared" si="68"/>
        <v>STR</v>
      </c>
      <c r="D838">
        <v>33</v>
      </c>
      <c r="E838" t="str">
        <f t="shared" si="66"/>
        <v>957</v>
      </c>
      <c r="F838" t="str">
        <f>"25"</f>
        <v>25</v>
      </c>
    </row>
    <row r="839" spans="1:6">
      <c r="A839" t="str">
        <f>"E714-29"</f>
        <v>E714-29</v>
      </c>
      <c r="B839" t="str">
        <f>"VIA EZIO LUCARNO  97-"</f>
        <v>VIA EZIO LUCARNO  97-</v>
      </c>
      <c r="C839" t="str">
        <f t="shared" si="68"/>
        <v>STR</v>
      </c>
      <c r="D839">
        <v>33</v>
      </c>
      <c r="E839" t="str">
        <f t="shared" si="66"/>
        <v>957</v>
      </c>
      <c r="F839" t="str">
        <f>"26"</f>
        <v>26</v>
      </c>
    </row>
    <row r="840" spans="1:6">
      <c r="A840" t="str">
        <f>"E714-30"</f>
        <v>E714-30</v>
      </c>
      <c r="B840" t="str">
        <f>"VIA EZIO LUCARNO  97-"</f>
        <v>VIA EZIO LUCARNO  97-</v>
      </c>
      <c r="C840" t="str">
        <f t="shared" si="68"/>
        <v>STR</v>
      </c>
      <c r="D840">
        <v>33</v>
      </c>
      <c r="E840" t="str">
        <f t="shared" si="66"/>
        <v>957</v>
      </c>
      <c r="F840" t="str">
        <f>"27"</f>
        <v>27</v>
      </c>
    </row>
    <row r="841" spans="1:6">
      <c r="A841" t="str">
        <f>"E714-32"</f>
        <v>E714-32</v>
      </c>
      <c r="B841" t="str">
        <f>"VIA EZIO LUCARNO  97-"</f>
        <v>VIA EZIO LUCARNO  97-</v>
      </c>
      <c r="C841" t="str">
        <f t="shared" si="68"/>
        <v>STR</v>
      </c>
      <c r="D841">
        <v>33</v>
      </c>
      <c r="E841" t="str">
        <f t="shared" si="66"/>
        <v>957</v>
      </c>
      <c r="F841" t="str">
        <f>"29"</f>
        <v>29</v>
      </c>
    </row>
    <row r="842" spans="1:6">
      <c r="A842" t="str">
        <f>"E714-35"</f>
        <v>E714-35</v>
      </c>
      <c r="B842" t="str">
        <f t="shared" ref="B842:B848" si="69">"VIA EZIO LUCARNO  95-"</f>
        <v>VIA EZIO LUCARNO  95-</v>
      </c>
      <c r="C842" t="str">
        <f t="shared" si="68"/>
        <v>STR</v>
      </c>
      <c r="D842">
        <v>33</v>
      </c>
      <c r="E842" t="str">
        <f t="shared" si="66"/>
        <v>957</v>
      </c>
      <c r="F842" t="str">
        <f>"43"</f>
        <v>43</v>
      </c>
    </row>
    <row r="843" spans="1:6">
      <c r="A843" t="str">
        <f>"E714-36"</f>
        <v>E714-36</v>
      </c>
      <c r="B843" t="str">
        <f t="shared" si="69"/>
        <v>VIA EZIO LUCARNO  95-</v>
      </c>
      <c r="C843" t="str">
        <f t="shared" si="68"/>
        <v>STR</v>
      </c>
      <c r="D843">
        <v>33</v>
      </c>
      <c r="E843" t="str">
        <f t="shared" si="66"/>
        <v>957</v>
      </c>
      <c r="F843" t="str">
        <f>"44"</f>
        <v>44</v>
      </c>
    </row>
    <row r="844" spans="1:6">
      <c r="A844" t="str">
        <f>"E714-39"</f>
        <v>E714-39</v>
      </c>
      <c r="B844" t="str">
        <f t="shared" si="69"/>
        <v>VIA EZIO LUCARNO  95-</v>
      </c>
      <c r="C844" t="str">
        <f t="shared" si="68"/>
        <v>STR</v>
      </c>
      <c r="D844">
        <v>33</v>
      </c>
      <c r="E844" t="str">
        <f t="shared" si="66"/>
        <v>957</v>
      </c>
      <c r="F844" t="str">
        <f>"47"</f>
        <v>47</v>
      </c>
    </row>
    <row r="845" spans="1:6">
      <c r="A845" t="str">
        <f>"E714-41"</f>
        <v>E714-41</v>
      </c>
      <c r="B845" t="str">
        <f t="shared" si="69"/>
        <v>VIA EZIO LUCARNO  95-</v>
      </c>
      <c r="C845" t="str">
        <f t="shared" si="68"/>
        <v>STR</v>
      </c>
      <c r="D845">
        <v>33</v>
      </c>
      <c r="E845" t="str">
        <f t="shared" si="66"/>
        <v>957</v>
      </c>
      <c r="F845" t="str">
        <f>"49"</f>
        <v>49</v>
      </c>
    </row>
    <row r="846" spans="1:6">
      <c r="A846" t="str">
        <f>"E714-44"</f>
        <v>E714-44</v>
      </c>
      <c r="B846" t="str">
        <f t="shared" si="69"/>
        <v>VIA EZIO LUCARNO  95-</v>
      </c>
      <c r="C846" t="str">
        <f t="shared" si="68"/>
        <v>STR</v>
      </c>
      <c r="D846">
        <v>33</v>
      </c>
      <c r="E846" t="str">
        <f t="shared" si="66"/>
        <v>957</v>
      </c>
      <c r="F846" t="str">
        <f>"52"</f>
        <v>52</v>
      </c>
    </row>
    <row r="847" spans="1:6">
      <c r="A847" t="str">
        <f>"E714-45"</f>
        <v>E714-45</v>
      </c>
      <c r="B847" t="str">
        <f t="shared" si="69"/>
        <v>VIA EZIO LUCARNO  95-</v>
      </c>
      <c r="C847" t="str">
        <f t="shared" si="68"/>
        <v>STR</v>
      </c>
      <c r="D847">
        <v>33</v>
      </c>
      <c r="E847" t="str">
        <f t="shared" si="66"/>
        <v>957</v>
      </c>
      <c r="F847" t="str">
        <f>"53"</f>
        <v>53</v>
      </c>
    </row>
    <row r="848" spans="1:6">
      <c r="A848" t="str">
        <f>"E714-47"</f>
        <v>E714-47</v>
      </c>
      <c r="B848" t="str">
        <f t="shared" si="69"/>
        <v>VIA EZIO LUCARNO  95-</v>
      </c>
      <c r="C848" t="str">
        <f t="shared" si="68"/>
        <v>STR</v>
      </c>
      <c r="D848">
        <v>33</v>
      </c>
      <c r="E848" t="str">
        <f t="shared" si="66"/>
        <v>957</v>
      </c>
      <c r="F848" t="str">
        <f>"55"</f>
        <v>55</v>
      </c>
    </row>
    <row r="849" spans="1:6">
      <c r="A849" t="str">
        <f>"E714-48"</f>
        <v>E714-48</v>
      </c>
      <c r="B849" t="str">
        <f>"VIA EZIO LUCARNO VICINO AL 85-"</f>
        <v>VIA EZIO LUCARNO VICINO AL 85-</v>
      </c>
      <c r="C849" t="str">
        <f t="shared" si="68"/>
        <v>STR</v>
      </c>
      <c r="D849">
        <v>33</v>
      </c>
      <c r="E849" t="str">
        <f t="shared" si="66"/>
        <v>957</v>
      </c>
      <c r="F849" t="str">
        <f>"73"</f>
        <v>73</v>
      </c>
    </row>
    <row r="850" spans="1:6">
      <c r="A850" t="str">
        <f>"E715-1"</f>
        <v>E715-1</v>
      </c>
      <c r="B850" t="str">
        <f t="shared" ref="B850:B859" si="70">"VIA EZIO LUCARNO  47-"</f>
        <v>VIA EZIO LUCARNO  47-</v>
      </c>
      <c r="C850" t="str">
        <f t="shared" si="68"/>
        <v>STR</v>
      </c>
      <c r="D850">
        <v>32</v>
      </c>
      <c r="E850" t="str">
        <f t="shared" ref="E850:E881" si="71">"405"</f>
        <v>405</v>
      </c>
      <c r="F850" t="str">
        <f>"67"</f>
        <v>67</v>
      </c>
    </row>
    <row r="851" spans="1:6">
      <c r="A851" t="str">
        <f>"E715-3"</f>
        <v>E715-3</v>
      </c>
      <c r="B851" t="str">
        <f t="shared" si="70"/>
        <v>VIA EZIO LUCARNO  47-</v>
      </c>
      <c r="C851" t="str">
        <f t="shared" si="68"/>
        <v>STR</v>
      </c>
      <c r="D851">
        <v>32</v>
      </c>
      <c r="E851" t="str">
        <f t="shared" si="71"/>
        <v>405</v>
      </c>
      <c r="F851" t="str">
        <f>"69"</f>
        <v>69</v>
      </c>
    </row>
    <row r="852" spans="1:6">
      <c r="A852" t="str">
        <f>"E715-4"</f>
        <v>E715-4</v>
      </c>
      <c r="B852" t="str">
        <f t="shared" si="70"/>
        <v>VIA EZIO LUCARNO  47-</v>
      </c>
      <c r="C852" t="str">
        <f t="shared" si="68"/>
        <v>STR</v>
      </c>
      <c r="D852">
        <v>32</v>
      </c>
      <c r="E852" t="str">
        <f t="shared" si="71"/>
        <v>405</v>
      </c>
      <c r="F852" t="str">
        <f>"70"</f>
        <v>70</v>
      </c>
    </row>
    <row r="853" spans="1:6">
      <c r="A853" t="str">
        <f>"E715-5"</f>
        <v>E715-5</v>
      </c>
      <c r="B853" t="str">
        <f t="shared" si="70"/>
        <v>VIA EZIO LUCARNO  47-</v>
      </c>
      <c r="C853" t="str">
        <f t="shared" si="68"/>
        <v>STR</v>
      </c>
      <c r="D853">
        <v>32</v>
      </c>
      <c r="E853" t="str">
        <f t="shared" si="71"/>
        <v>405</v>
      </c>
      <c r="F853" t="str">
        <f>"71"</f>
        <v>71</v>
      </c>
    </row>
    <row r="854" spans="1:6">
      <c r="A854" t="str">
        <f>"E715-6"</f>
        <v>E715-6</v>
      </c>
      <c r="B854" t="str">
        <f t="shared" si="70"/>
        <v>VIA EZIO LUCARNO  47-</v>
      </c>
      <c r="C854" t="str">
        <f t="shared" si="68"/>
        <v>STR</v>
      </c>
      <c r="D854">
        <v>32</v>
      </c>
      <c r="E854" t="str">
        <f t="shared" si="71"/>
        <v>405</v>
      </c>
      <c r="F854" t="str">
        <f>"72"</f>
        <v>72</v>
      </c>
    </row>
    <row r="855" spans="1:6">
      <c r="A855" t="str">
        <f>"E715-7"</f>
        <v>E715-7</v>
      </c>
      <c r="B855" t="str">
        <f t="shared" si="70"/>
        <v>VIA EZIO LUCARNO  47-</v>
      </c>
      <c r="C855" t="str">
        <f t="shared" si="68"/>
        <v>STR</v>
      </c>
      <c r="D855">
        <v>32</v>
      </c>
      <c r="E855" t="str">
        <f t="shared" si="71"/>
        <v>405</v>
      </c>
      <c r="F855" t="str">
        <f>"73"</f>
        <v>73</v>
      </c>
    </row>
    <row r="856" spans="1:6">
      <c r="A856" t="str">
        <f>"E715-9"</f>
        <v>E715-9</v>
      </c>
      <c r="B856" t="str">
        <f t="shared" si="70"/>
        <v>VIA EZIO LUCARNO  47-</v>
      </c>
      <c r="C856" t="str">
        <f t="shared" si="68"/>
        <v>STR</v>
      </c>
      <c r="D856">
        <v>32</v>
      </c>
      <c r="E856" t="str">
        <f t="shared" si="71"/>
        <v>405</v>
      </c>
      <c r="F856" t="str">
        <f>"75"</f>
        <v>75</v>
      </c>
    </row>
    <row r="857" spans="1:6">
      <c r="A857" t="str">
        <f>"E715-12"</f>
        <v>E715-12</v>
      </c>
      <c r="B857" t="str">
        <f t="shared" si="70"/>
        <v>VIA EZIO LUCARNO  47-</v>
      </c>
      <c r="C857" t="str">
        <f t="shared" si="68"/>
        <v>STR</v>
      </c>
      <c r="D857">
        <v>32</v>
      </c>
      <c r="E857" t="str">
        <f t="shared" si="71"/>
        <v>405</v>
      </c>
      <c r="F857" t="str">
        <f>"78"</f>
        <v>78</v>
      </c>
    </row>
    <row r="858" spans="1:6">
      <c r="A858" t="str">
        <f>"E715-13"</f>
        <v>E715-13</v>
      </c>
      <c r="B858" t="str">
        <f t="shared" si="70"/>
        <v>VIA EZIO LUCARNO  47-</v>
      </c>
      <c r="C858" t="str">
        <f t="shared" si="68"/>
        <v>STR</v>
      </c>
      <c r="D858">
        <v>32</v>
      </c>
      <c r="E858" t="str">
        <f t="shared" si="71"/>
        <v>405</v>
      </c>
      <c r="F858" t="str">
        <f>"79"</f>
        <v>79</v>
      </c>
    </row>
    <row r="859" spans="1:6">
      <c r="A859" t="str">
        <f>"E715-14"</f>
        <v>E715-14</v>
      </c>
      <c r="B859" t="str">
        <f t="shared" si="70"/>
        <v>VIA EZIO LUCARNO  47-</v>
      </c>
      <c r="C859" t="str">
        <f t="shared" si="68"/>
        <v>STR</v>
      </c>
      <c r="D859">
        <v>32</v>
      </c>
      <c r="E859" t="str">
        <f t="shared" si="71"/>
        <v>405</v>
      </c>
      <c r="F859" t="str">
        <f>"80"</f>
        <v>80</v>
      </c>
    </row>
    <row r="860" spans="1:6">
      <c r="A860" t="str">
        <f>"E715-16"</f>
        <v>E715-16</v>
      </c>
      <c r="B860" t="str">
        <f t="shared" ref="B860:B875" si="72">"VIA EZIO LUCARNO  49-"</f>
        <v>VIA EZIO LUCARNO  49-</v>
      </c>
      <c r="C860" t="str">
        <f t="shared" si="68"/>
        <v>STR</v>
      </c>
      <c r="D860">
        <v>32</v>
      </c>
      <c r="E860" t="str">
        <f t="shared" si="71"/>
        <v>405</v>
      </c>
      <c r="F860" t="str">
        <f>"105"</f>
        <v>105</v>
      </c>
    </row>
    <row r="861" spans="1:6">
      <c r="A861" t="str">
        <f>"E715-18"</f>
        <v>E715-18</v>
      </c>
      <c r="B861" t="str">
        <f t="shared" si="72"/>
        <v>VIA EZIO LUCARNO  49-</v>
      </c>
      <c r="C861" t="str">
        <f t="shared" ref="C861:C892" si="73">"STR"</f>
        <v>STR</v>
      </c>
      <c r="D861">
        <v>32</v>
      </c>
      <c r="E861" t="str">
        <f t="shared" si="71"/>
        <v>405</v>
      </c>
      <c r="F861" t="str">
        <f>"107"</f>
        <v>107</v>
      </c>
    </row>
    <row r="862" spans="1:6">
      <c r="A862" t="str">
        <f>"E715-19"</f>
        <v>E715-19</v>
      </c>
      <c r="B862" t="str">
        <f t="shared" si="72"/>
        <v>VIA EZIO LUCARNO  49-</v>
      </c>
      <c r="C862" t="str">
        <f t="shared" si="73"/>
        <v>STR</v>
      </c>
      <c r="D862">
        <v>32</v>
      </c>
      <c r="E862" t="str">
        <f t="shared" si="71"/>
        <v>405</v>
      </c>
      <c r="F862" t="str">
        <f>"108"</f>
        <v>108</v>
      </c>
    </row>
    <row r="863" spans="1:6">
      <c r="A863" t="str">
        <f>"E715-20"</f>
        <v>E715-20</v>
      </c>
      <c r="B863" t="str">
        <f t="shared" si="72"/>
        <v>VIA EZIO LUCARNO  49-</v>
      </c>
      <c r="C863" t="str">
        <f t="shared" si="73"/>
        <v>STR</v>
      </c>
      <c r="D863">
        <v>32</v>
      </c>
      <c r="E863" t="str">
        <f t="shared" si="71"/>
        <v>405</v>
      </c>
      <c r="F863" t="str">
        <f>"109"</f>
        <v>109</v>
      </c>
    </row>
    <row r="864" spans="1:6">
      <c r="A864" t="str">
        <f>"E715-21"</f>
        <v>E715-21</v>
      </c>
      <c r="B864" t="str">
        <f t="shared" si="72"/>
        <v>VIA EZIO LUCARNO  49-</v>
      </c>
      <c r="C864" t="str">
        <f t="shared" si="73"/>
        <v>STR</v>
      </c>
      <c r="D864">
        <v>32</v>
      </c>
      <c r="E864" t="str">
        <f t="shared" si="71"/>
        <v>405</v>
      </c>
      <c r="F864" t="str">
        <f>"110"</f>
        <v>110</v>
      </c>
    </row>
    <row r="865" spans="1:6">
      <c r="A865" t="str">
        <f>"E715-22"</f>
        <v>E715-22</v>
      </c>
      <c r="B865" t="str">
        <f t="shared" si="72"/>
        <v>VIA EZIO LUCARNO  49-</v>
      </c>
      <c r="C865" t="str">
        <f t="shared" si="73"/>
        <v>STR</v>
      </c>
      <c r="D865">
        <v>32</v>
      </c>
      <c r="E865" t="str">
        <f t="shared" si="71"/>
        <v>405</v>
      </c>
      <c r="F865" t="str">
        <f>"111"</f>
        <v>111</v>
      </c>
    </row>
    <row r="866" spans="1:6">
      <c r="A866" t="str">
        <f>"E715-23"</f>
        <v>E715-23</v>
      </c>
      <c r="B866" t="str">
        <f t="shared" si="72"/>
        <v>VIA EZIO LUCARNO  49-</v>
      </c>
      <c r="C866" t="str">
        <f t="shared" si="73"/>
        <v>STR</v>
      </c>
      <c r="D866">
        <v>32</v>
      </c>
      <c r="E866" t="str">
        <f t="shared" si="71"/>
        <v>405</v>
      </c>
      <c r="F866" t="str">
        <f>"112"</f>
        <v>112</v>
      </c>
    </row>
    <row r="867" spans="1:6">
      <c r="A867" t="str">
        <f>"E715-25"</f>
        <v>E715-25</v>
      </c>
      <c r="B867" t="str">
        <f t="shared" si="72"/>
        <v>VIA EZIO LUCARNO  49-</v>
      </c>
      <c r="C867" t="str">
        <f t="shared" si="73"/>
        <v>STR</v>
      </c>
      <c r="D867">
        <v>32</v>
      </c>
      <c r="E867" t="str">
        <f t="shared" si="71"/>
        <v>405</v>
      </c>
      <c r="F867" t="str">
        <f>"114"</f>
        <v>114</v>
      </c>
    </row>
    <row r="868" spans="1:6">
      <c r="A868" t="str">
        <f>"E715-26"</f>
        <v>E715-26</v>
      </c>
      <c r="B868" t="str">
        <f t="shared" si="72"/>
        <v>VIA EZIO LUCARNO  49-</v>
      </c>
      <c r="C868" t="str">
        <f t="shared" si="73"/>
        <v>STR</v>
      </c>
      <c r="D868">
        <v>32</v>
      </c>
      <c r="E868" t="str">
        <f t="shared" si="71"/>
        <v>405</v>
      </c>
      <c r="F868" t="str">
        <f>"115"</f>
        <v>115</v>
      </c>
    </row>
    <row r="869" spans="1:6">
      <c r="A869" t="str">
        <f>"E715-28"</f>
        <v>E715-28</v>
      </c>
      <c r="B869" t="str">
        <f t="shared" si="72"/>
        <v>VIA EZIO LUCARNO  49-</v>
      </c>
      <c r="C869" t="str">
        <f t="shared" si="73"/>
        <v>STR</v>
      </c>
      <c r="D869">
        <v>32</v>
      </c>
      <c r="E869" t="str">
        <f t="shared" si="71"/>
        <v>405</v>
      </c>
      <c r="F869" t="str">
        <f>"117"</f>
        <v>117</v>
      </c>
    </row>
    <row r="870" spans="1:6">
      <c r="A870" t="str">
        <f>"E715-29"</f>
        <v>E715-29</v>
      </c>
      <c r="B870" t="str">
        <f t="shared" si="72"/>
        <v>VIA EZIO LUCARNO  49-</v>
      </c>
      <c r="C870" t="str">
        <f t="shared" si="73"/>
        <v>STR</v>
      </c>
      <c r="D870">
        <v>32</v>
      </c>
      <c r="E870" t="str">
        <f t="shared" si="71"/>
        <v>405</v>
      </c>
      <c r="F870" t="str">
        <f>"118"</f>
        <v>118</v>
      </c>
    </row>
    <row r="871" spans="1:6">
      <c r="A871" t="str">
        <f>"E715-30"</f>
        <v>E715-30</v>
      </c>
      <c r="B871" t="str">
        <f t="shared" si="72"/>
        <v>VIA EZIO LUCARNO  49-</v>
      </c>
      <c r="C871" t="str">
        <f t="shared" si="73"/>
        <v>STR</v>
      </c>
      <c r="D871">
        <v>32</v>
      </c>
      <c r="E871" t="str">
        <f t="shared" si="71"/>
        <v>405</v>
      </c>
      <c r="F871" t="str">
        <f>"119"</f>
        <v>119</v>
      </c>
    </row>
    <row r="872" spans="1:6">
      <c r="A872" t="str">
        <f>"E715-31"</f>
        <v>E715-31</v>
      </c>
      <c r="B872" t="str">
        <f t="shared" si="72"/>
        <v>VIA EZIO LUCARNO  49-</v>
      </c>
      <c r="C872" t="str">
        <f t="shared" si="73"/>
        <v>STR</v>
      </c>
      <c r="D872">
        <v>32</v>
      </c>
      <c r="E872" t="str">
        <f t="shared" si="71"/>
        <v>405</v>
      </c>
      <c r="F872" t="str">
        <f>"120"</f>
        <v>120</v>
      </c>
    </row>
    <row r="873" spans="1:6">
      <c r="A873" t="str">
        <f>"E715-32"</f>
        <v>E715-32</v>
      </c>
      <c r="B873" t="str">
        <f t="shared" si="72"/>
        <v>VIA EZIO LUCARNO  49-</v>
      </c>
      <c r="C873" t="str">
        <f t="shared" si="73"/>
        <v>STR</v>
      </c>
      <c r="D873">
        <v>32</v>
      </c>
      <c r="E873" t="str">
        <f t="shared" si="71"/>
        <v>405</v>
      </c>
      <c r="F873" t="str">
        <f>"121"</f>
        <v>121</v>
      </c>
    </row>
    <row r="874" spans="1:6">
      <c r="A874" t="str">
        <f>"E715-33"</f>
        <v>E715-33</v>
      </c>
      <c r="B874" t="str">
        <f t="shared" si="72"/>
        <v>VIA EZIO LUCARNO  49-</v>
      </c>
      <c r="C874" t="str">
        <f t="shared" si="73"/>
        <v>STR</v>
      </c>
      <c r="D874">
        <v>32</v>
      </c>
      <c r="E874" t="str">
        <f t="shared" si="71"/>
        <v>405</v>
      </c>
      <c r="F874" t="str">
        <f>"122"</f>
        <v>122</v>
      </c>
    </row>
    <row r="875" spans="1:6">
      <c r="A875" t="str">
        <f>"E715-34"</f>
        <v>E715-34</v>
      </c>
      <c r="B875" t="str">
        <f t="shared" si="72"/>
        <v>VIA EZIO LUCARNO  49-</v>
      </c>
      <c r="C875" t="str">
        <f t="shared" si="73"/>
        <v>STR</v>
      </c>
      <c r="D875">
        <v>32</v>
      </c>
      <c r="E875" t="str">
        <f t="shared" si="71"/>
        <v>405</v>
      </c>
      <c r="F875" t="str">
        <f>"123"</f>
        <v>123</v>
      </c>
    </row>
    <row r="876" spans="1:6">
      <c r="A876" t="str">
        <f>"E715-35"</f>
        <v>E715-35</v>
      </c>
      <c r="B876" t="str">
        <f t="shared" ref="B876:B882" si="74">"VIA EZIO LUCARNO  51-"</f>
        <v>VIA EZIO LUCARNO  51-</v>
      </c>
      <c r="C876" t="str">
        <f t="shared" si="73"/>
        <v>STR</v>
      </c>
      <c r="D876">
        <v>32</v>
      </c>
      <c r="E876" t="str">
        <f t="shared" si="71"/>
        <v>405</v>
      </c>
      <c r="F876" t="str">
        <f>"127"</f>
        <v>127</v>
      </c>
    </row>
    <row r="877" spans="1:6">
      <c r="A877" t="str">
        <f>"E715-37"</f>
        <v>E715-37</v>
      </c>
      <c r="B877" t="str">
        <f t="shared" si="74"/>
        <v>VIA EZIO LUCARNO  51-</v>
      </c>
      <c r="C877" t="str">
        <f t="shared" si="73"/>
        <v>STR</v>
      </c>
      <c r="D877">
        <v>32</v>
      </c>
      <c r="E877" t="str">
        <f t="shared" si="71"/>
        <v>405</v>
      </c>
      <c r="F877" t="str">
        <f>"129"</f>
        <v>129</v>
      </c>
    </row>
    <row r="878" spans="1:6">
      <c r="A878" t="str">
        <f>"E715-39"</f>
        <v>E715-39</v>
      </c>
      <c r="B878" t="str">
        <f t="shared" si="74"/>
        <v>VIA EZIO LUCARNO  51-</v>
      </c>
      <c r="C878" t="str">
        <f t="shared" si="73"/>
        <v>STR</v>
      </c>
      <c r="D878">
        <v>32</v>
      </c>
      <c r="E878" t="str">
        <f t="shared" si="71"/>
        <v>405</v>
      </c>
      <c r="F878" t="str">
        <f>"131"</f>
        <v>131</v>
      </c>
    </row>
    <row r="879" spans="1:6">
      <c r="A879" t="str">
        <f>"E715-40"</f>
        <v>E715-40</v>
      </c>
      <c r="B879" t="str">
        <f t="shared" si="74"/>
        <v>VIA EZIO LUCARNO  51-</v>
      </c>
      <c r="C879" t="str">
        <f t="shared" si="73"/>
        <v>STR</v>
      </c>
      <c r="D879">
        <v>32</v>
      </c>
      <c r="E879" t="str">
        <f t="shared" si="71"/>
        <v>405</v>
      </c>
      <c r="F879" t="str">
        <f>"132"</f>
        <v>132</v>
      </c>
    </row>
    <row r="880" spans="1:6">
      <c r="A880" t="str">
        <f>"E715-41"</f>
        <v>E715-41</v>
      </c>
      <c r="B880" t="str">
        <f t="shared" si="74"/>
        <v>VIA EZIO LUCARNO  51-</v>
      </c>
      <c r="C880" t="str">
        <f t="shared" si="73"/>
        <v>STR</v>
      </c>
      <c r="D880">
        <v>32</v>
      </c>
      <c r="E880" t="str">
        <f t="shared" si="71"/>
        <v>405</v>
      </c>
      <c r="F880" t="str">
        <f>"133"</f>
        <v>133</v>
      </c>
    </row>
    <row r="881" spans="1:6">
      <c r="A881" t="str">
        <f>"E715-45"</f>
        <v>E715-45</v>
      </c>
      <c r="B881" t="str">
        <f t="shared" si="74"/>
        <v>VIA EZIO LUCARNO  51-</v>
      </c>
      <c r="C881" t="str">
        <f t="shared" si="73"/>
        <v>STR</v>
      </c>
      <c r="D881">
        <v>32</v>
      </c>
      <c r="E881" t="str">
        <f t="shared" si="71"/>
        <v>405</v>
      </c>
      <c r="F881" t="str">
        <f>"137"</f>
        <v>137</v>
      </c>
    </row>
    <row r="882" spans="1:6">
      <c r="A882" t="str">
        <f>"E715-46"</f>
        <v>E715-46</v>
      </c>
      <c r="B882" t="str">
        <f t="shared" si="74"/>
        <v>VIA EZIO LUCARNO  51-</v>
      </c>
      <c r="C882" t="str">
        <f t="shared" si="73"/>
        <v>STR</v>
      </c>
      <c r="D882">
        <v>32</v>
      </c>
      <c r="E882" t="str">
        <f t="shared" ref="E882:E913" si="75">"405"</f>
        <v>405</v>
      </c>
      <c r="F882" t="str">
        <f>"138"</f>
        <v>138</v>
      </c>
    </row>
    <row r="883" spans="1:6">
      <c r="A883" t="str">
        <f>"E715-48"</f>
        <v>E715-48</v>
      </c>
      <c r="B883" t="str">
        <f>"VIA EZIO LUCARNO  45-"</f>
        <v>VIA EZIO LUCARNO  45-</v>
      </c>
      <c r="C883" t="str">
        <f t="shared" si="73"/>
        <v>STR</v>
      </c>
      <c r="D883">
        <v>32</v>
      </c>
      <c r="E883" t="str">
        <f t="shared" si="75"/>
        <v>405</v>
      </c>
      <c r="F883" t="str">
        <f>"37"</f>
        <v>37</v>
      </c>
    </row>
    <row r="884" spans="1:6">
      <c r="A884" t="str">
        <f>"E715-50"</f>
        <v>E715-50</v>
      </c>
      <c r="B884" t="str">
        <f>"VIA EZIO LUCARNO  45-"</f>
        <v>VIA EZIO LUCARNO  45-</v>
      </c>
      <c r="C884" t="str">
        <f t="shared" si="73"/>
        <v>STR</v>
      </c>
      <c r="D884">
        <v>32</v>
      </c>
      <c r="E884" t="str">
        <f t="shared" si="75"/>
        <v>405</v>
      </c>
      <c r="F884" t="str">
        <f>"39"</f>
        <v>39</v>
      </c>
    </row>
    <row r="885" spans="1:6">
      <c r="A885" t="str">
        <f>"E715-51"</f>
        <v>E715-51</v>
      </c>
      <c r="B885" t="str">
        <f t="shared" ref="B885:B901" si="76">"VIA EZIO LUCARNO  47-"</f>
        <v>VIA EZIO LUCARNO  47-</v>
      </c>
      <c r="C885" t="str">
        <f t="shared" si="73"/>
        <v>STR</v>
      </c>
      <c r="D885">
        <v>32</v>
      </c>
      <c r="E885" t="str">
        <f t="shared" si="75"/>
        <v>405</v>
      </c>
      <c r="F885" t="str">
        <f>"42"</f>
        <v>42</v>
      </c>
    </row>
    <row r="886" spans="1:6">
      <c r="A886" t="str">
        <f>"E715-52"</f>
        <v>E715-52</v>
      </c>
      <c r="B886" t="str">
        <f t="shared" si="76"/>
        <v>VIA EZIO LUCARNO  47-</v>
      </c>
      <c r="C886" t="str">
        <f t="shared" si="73"/>
        <v>STR</v>
      </c>
      <c r="D886">
        <v>32</v>
      </c>
      <c r="E886" t="str">
        <f t="shared" si="75"/>
        <v>405</v>
      </c>
      <c r="F886" t="str">
        <f>"43"</f>
        <v>43</v>
      </c>
    </row>
    <row r="887" spans="1:6">
      <c r="A887" t="str">
        <f>"E715-53"</f>
        <v>E715-53</v>
      </c>
      <c r="B887" t="str">
        <f t="shared" si="76"/>
        <v>VIA EZIO LUCARNO  47-</v>
      </c>
      <c r="C887" t="str">
        <f t="shared" si="73"/>
        <v>STR</v>
      </c>
      <c r="D887">
        <v>32</v>
      </c>
      <c r="E887" t="str">
        <f t="shared" si="75"/>
        <v>405</v>
      </c>
      <c r="F887" t="str">
        <f>"44"</f>
        <v>44</v>
      </c>
    </row>
    <row r="888" spans="1:6">
      <c r="A888" t="str">
        <f>"E715-54"</f>
        <v>E715-54</v>
      </c>
      <c r="B888" t="str">
        <f t="shared" si="76"/>
        <v>VIA EZIO LUCARNO  47-</v>
      </c>
      <c r="C888" t="str">
        <f t="shared" si="73"/>
        <v>STR</v>
      </c>
      <c r="D888">
        <v>32</v>
      </c>
      <c r="E888" t="str">
        <f t="shared" si="75"/>
        <v>405</v>
      </c>
      <c r="F888" t="str">
        <f>"45"</f>
        <v>45</v>
      </c>
    </row>
    <row r="889" spans="1:6">
      <c r="A889" t="str">
        <f>"E715-56"</f>
        <v>E715-56</v>
      </c>
      <c r="B889" t="str">
        <f t="shared" si="76"/>
        <v>VIA EZIO LUCARNO  47-</v>
      </c>
      <c r="C889" t="str">
        <f t="shared" si="73"/>
        <v>STR</v>
      </c>
      <c r="D889">
        <v>32</v>
      </c>
      <c r="E889" t="str">
        <f t="shared" si="75"/>
        <v>405</v>
      </c>
      <c r="F889" t="str">
        <f>"47"</f>
        <v>47</v>
      </c>
    </row>
    <row r="890" spans="1:6">
      <c r="A890" t="str">
        <f>"E715-59"</f>
        <v>E715-59</v>
      </c>
      <c r="B890" t="str">
        <f t="shared" si="76"/>
        <v>VIA EZIO LUCARNO  47-</v>
      </c>
      <c r="C890" t="str">
        <f t="shared" si="73"/>
        <v>STR</v>
      </c>
      <c r="D890">
        <v>32</v>
      </c>
      <c r="E890" t="str">
        <f t="shared" si="75"/>
        <v>405</v>
      </c>
      <c r="F890" t="str">
        <f>"50"</f>
        <v>50</v>
      </c>
    </row>
    <row r="891" spans="1:6">
      <c r="A891" t="str">
        <f>"E715-60"</f>
        <v>E715-60</v>
      </c>
      <c r="B891" t="str">
        <f t="shared" si="76"/>
        <v>VIA EZIO LUCARNO  47-</v>
      </c>
      <c r="C891" t="str">
        <f t="shared" si="73"/>
        <v>STR</v>
      </c>
      <c r="D891">
        <v>32</v>
      </c>
      <c r="E891" t="str">
        <f t="shared" si="75"/>
        <v>405</v>
      </c>
      <c r="F891" t="str">
        <f>"51"</f>
        <v>51</v>
      </c>
    </row>
    <row r="892" spans="1:6">
      <c r="A892" t="str">
        <f>"E715-61"</f>
        <v>E715-61</v>
      </c>
      <c r="B892" t="str">
        <f t="shared" si="76"/>
        <v>VIA EZIO LUCARNO  47-</v>
      </c>
      <c r="C892" t="str">
        <f t="shared" si="73"/>
        <v>STR</v>
      </c>
      <c r="D892">
        <v>32</v>
      </c>
      <c r="E892" t="str">
        <f t="shared" si="75"/>
        <v>405</v>
      </c>
      <c r="F892" t="str">
        <f>"52"</f>
        <v>52</v>
      </c>
    </row>
    <row r="893" spans="1:6">
      <c r="A893" t="str">
        <f>"E715-63"</f>
        <v>E715-63</v>
      </c>
      <c r="B893" t="str">
        <f t="shared" si="76"/>
        <v>VIA EZIO LUCARNO  47-</v>
      </c>
      <c r="C893" t="str">
        <f t="shared" ref="C893:C924" si="77">"STR"</f>
        <v>STR</v>
      </c>
      <c r="D893">
        <v>32</v>
      </c>
      <c r="E893" t="str">
        <f t="shared" si="75"/>
        <v>405</v>
      </c>
      <c r="F893" t="str">
        <f>"55"</f>
        <v>55</v>
      </c>
    </row>
    <row r="894" spans="1:6">
      <c r="A894" t="str">
        <f>"E715-65"</f>
        <v>E715-65</v>
      </c>
      <c r="B894" t="str">
        <f t="shared" si="76"/>
        <v>VIA EZIO LUCARNO  47-</v>
      </c>
      <c r="C894" t="str">
        <f t="shared" si="77"/>
        <v>STR</v>
      </c>
      <c r="D894">
        <v>32</v>
      </c>
      <c r="E894" t="str">
        <f t="shared" si="75"/>
        <v>405</v>
      </c>
      <c r="F894" t="str">
        <f>"57"</f>
        <v>57</v>
      </c>
    </row>
    <row r="895" spans="1:6">
      <c r="A895" t="str">
        <f>"E715-66"</f>
        <v>E715-66</v>
      </c>
      <c r="B895" t="str">
        <f t="shared" si="76"/>
        <v>VIA EZIO LUCARNO  47-</v>
      </c>
      <c r="C895" t="str">
        <f t="shared" si="77"/>
        <v>STR</v>
      </c>
      <c r="D895">
        <v>32</v>
      </c>
      <c r="E895" t="str">
        <f t="shared" si="75"/>
        <v>405</v>
      </c>
      <c r="F895" t="str">
        <f>"58"</f>
        <v>58</v>
      </c>
    </row>
    <row r="896" spans="1:6">
      <c r="A896" t="str">
        <f>"E715-67"</f>
        <v>E715-67</v>
      </c>
      <c r="B896" t="str">
        <f t="shared" si="76"/>
        <v>VIA EZIO LUCARNO  47-</v>
      </c>
      <c r="C896" t="str">
        <f t="shared" si="77"/>
        <v>STR</v>
      </c>
      <c r="D896">
        <v>32</v>
      </c>
      <c r="E896" t="str">
        <f t="shared" si="75"/>
        <v>405</v>
      </c>
      <c r="F896" t="str">
        <f>"59"</f>
        <v>59</v>
      </c>
    </row>
    <row r="897" spans="1:6">
      <c r="A897" t="str">
        <f>"E715-68"</f>
        <v>E715-68</v>
      </c>
      <c r="B897" t="str">
        <f t="shared" si="76"/>
        <v>VIA EZIO LUCARNO  47-</v>
      </c>
      <c r="C897" t="str">
        <f t="shared" si="77"/>
        <v>STR</v>
      </c>
      <c r="D897">
        <v>32</v>
      </c>
      <c r="E897" t="str">
        <f t="shared" si="75"/>
        <v>405</v>
      </c>
      <c r="F897" t="str">
        <f>"60"</f>
        <v>60</v>
      </c>
    </row>
    <row r="898" spans="1:6">
      <c r="A898" t="str">
        <f>"E715-69"</f>
        <v>E715-69</v>
      </c>
      <c r="B898" t="str">
        <f t="shared" si="76"/>
        <v>VIA EZIO LUCARNO  47-</v>
      </c>
      <c r="C898" t="str">
        <f t="shared" si="77"/>
        <v>STR</v>
      </c>
      <c r="D898">
        <v>32</v>
      </c>
      <c r="E898" t="str">
        <f t="shared" si="75"/>
        <v>405</v>
      </c>
      <c r="F898" t="str">
        <f>"61"</f>
        <v>61</v>
      </c>
    </row>
    <row r="899" spans="1:6">
      <c r="A899" t="str">
        <f>"E715-70"</f>
        <v>E715-70</v>
      </c>
      <c r="B899" t="str">
        <f t="shared" si="76"/>
        <v>VIA EZIO LUCARNO  47-</v>
      </c>
      <c r="C899" t="str">
        <f t="shared" si="77"/>
        <v>STR</v>
      </c>
      <c r="D899">
        <v>32</v>
      </c>
      <c r="E899" t="str">
        <f t="shared" si="75"/>
        <v>405</v>
      </c>
      <c r="F899" t="str">
        <f>"62"</f>
        <v>62</v>
      </c>
    </row>
    <row r="900" spans="1:6">
      <c r="A900" t="str">
        <f>"E715-72"</f>
        <v>E715-72</v>
      </c>
      <c r="B900" t="str">
        <f t="shared" si="76"/>
        <v>VIA EZIO LUCARNO  47-</v>
      </c>
      <c r="C900" t="str">
        <f t="shared" si="77"/>
        <v>STR</v>
      </c>
      <c r="D900">
        <v>32</v>
      </c>
      <c r="E900" t="str">
        <f t="shared" si="75"/>
        <v>405</v>
      </c>
      <c r="F900" t="str">
        <f>"64"</f>
        <v>64</v>
      </c>
    </row>
    <row r="901" spans="1:6">
      <c r="A901" t="str">
        <f>"E715-73"</f>
        <v>E715-73</v>
      </c>
      <c r="B901" t="str">
        <f t="shared" si="76"/>
        <v>VIA EZIO LUCARNO  47-</v>
      </c>
      <c r="C901" t="str">
        <f t="shared" si="77"/>
        <v>STR</v>
      </c>
      <c r="D901">
        <v>32</v>
      </c>
      <c r="E901" t="str">
        <f t="shared" si="75"/>
        <v>405</v>
      </c>
      <c r="F901" t="str">
        <f>"65"</f>
        <v>65</v>
      </c>
    </row>
    <row r="902" spans="1:6">
      <c r="A902" t="str">
        <f>"E715-75"</f>
        <v>E715-75</v>
      </c>
      <c r="B902" t="str">
        <f t="shared" ref="B902:B915" si="78">"VIA EZIO LUCARNO  49-"</f>
        <v>VIA EZIO LUCARNO  49-</v>
      </c>
      <c r="C902" t="str">
        <f t="shared" si="77"/>
        <v>STR</v>
      </c>
      <c r="D902">
        <v>32</v>
      </c>
      <c r="E902" t="str">
        <f t="shared" si="75"/>
        <v>405</v>
      </c>
      <c r="F902" t="str">
        <f>"84"</f>
        <v>84</v>
      </c>
    </row>
    <row r="903" spans="1:6">
      <c r="A903" t="str">
        <f>"E715-76"</f>
        <v>E715-76</v>
      </c>
      <c r="B903" t="str">
        <f t="shared" si="78"/>
        <v>VIA EZIO LUCARNO  49-</v>
      </c>
      <c r="C903" t="str">
        <f t="shared" si="77"/>
        <v>STR</v>
      </c>
      <c r="D903">
        <v>32</v>
      </c>
      <c r="E903" t="str">
        <f t="shared" si="75"/>
        <v>405</v>
      </c>
      <c r="F903" t="str">
        <f>"85"</f>
        <v>85</v>
      </c>
    </row>
    <row r="904" spans="1:6">
      <c r="A904" t="str">
        <f>"E715-77"</f>
        <v>E715-77</v>
      </c>
      <c r="B904" t="str">
        <f t="shared" si="78"/>
        <v>VIA EZIO LUCARNO  49-</v>
      </c>
      <c r="C904" t="str">
        <f t="shared" si="77"/>
        <v>STR</v>
      </c>
      <c r="D904">
        <v>32</v>
      </c>
      <c r="E904" t="str">
        <f t="shared" si="75"/>
        <v>405</v>
      </c>
      <c r="F904" t="str">
        <f>"86"</f>
        <v>86</v>
      </c>
    </row>
    <row r="905" spans="1:6">
      <c r="A905" t="str">
        <f>"E715-78"</f>
        <v>E715-78</v>
      </c>
      <c r="B905" t="str">
        <f t="shared" si="78"/>
        <v>VIA EZIO LUCARNO  49-</v>
      </c>
      <c r="C905" t="str">
        <f t="shared" si="77"/>
        <v>STR</v>
      </c>
      <c r="D905">
        <v>32</v>
      </c>
      <c r="E905" t="str">
        <f t="shared" si="75"/>
        <v>405</v>
      </c>
      <c r="F905" t="str">
        <f>"87"</f>
        <v>87</v>
      </c>
    </row>
    <row r="906" spans="1:6">
      <c r="A906" t="str">
        <f>"E715-79"</f>
        <v>E715-79</v>
      </c>
      <c r="B906" t="str">
        <f t="shared" si="78"/>
        <v>VIA EZIO LUCARNO  49-</v>
      </c>
      <c r="C906" t="str">
        <f t="shared" si="77"/>
        <v>STR</v>
      </c>
      <c r="D906">
        <v>32</v>
      </c>
      <c r="E906" t="str">
        <f t="shared" si="75"/>
        <v>405</v>
      </c>
      <c r="F906" t="str">
        <f>"88"</f>
        <v>88</v>
      </c>
    </row>
    <row r="907" spans="1:6">
      <c r="A907" t="str">
        <f>"E715-80"</f>
        <v>E715-80</v>
      </c>
      <c r="B907" t="str">
        <f t="shared" si="78"/>
        <v>VIA EZIO LUCARNO  49-</v>
      </c>
      <c r="C907" t="str">
        <f t="shared" si="77"/>
        <v>STR</v>
      </c>
      <c r="D907">
        <v>32</v>
      </c>
      <c r="E907" t="str">
        <f t="shared" si="75"/>
        <v>405</v>
      </c>
      <c r="F907" t="str">
        <f>"89"</f>
        <v>89</v>
      </c>
    </row>
    <row r="908" spans="1:6">
      <c r="A908" t="str">
        <f>"E715-81"</f>
        <v>E715-81</v>
      </c>
      <c r="B908" t="str">
        <f t="shared" si="78"/>
        <v>VIA EZIO LUCARNO  49-</v>
      </c>
      <c r="C908" t="str">
        <f t="shared" si="77"/>
        <v>STR</v>
      </c>
      <c r="D908">
        <v>32</v>
      </c>
      <c r="E908" t="str">
        <f t="shared" si="75"/>
        <v>405</v>
      </c>
      <c r="F908" t="str">
        <f>"90"</f>
        <v>90</v>
      </c>
    </row>
    <row r="909" spans="1:6">
      <c r="A909" t="str">
        <f>"E715-82"</f>
        <v>E715-82</v>
      </c>
      <c r="B909" t="str">
        <f t="shared" si="78"/>
        <v>VIA EZIO LUCARNO  49-</v>
      </c>
      <c r="C909" t="str">
        <f t="shared" si="77"/>
        <v>STR</v>
      </c>
      <c r="D909">
        <v>32</v>
      </c>
      <c r="E909" t="str">
        <f t="shared" si="75"/>
        <v>405</v>
      </c>
      <c r="F909" t="str">
        <f>"91"</f>
        <v>91</v>
      </c>
    </row>
    <row r="910" spans="1:6">
      <c r="A910" t="str">
        <f>"E715-84"</f>
        <v>E715-84</v>
      </c>
      <c r="B910" t="str">
        <f t="shared" si="78"/>
        <v>VIA EZIO LUCARNO  49-</v>
      </c>
      <c r="C910" t="str">
        <f t="shared" si="77"/>
        <v>STR</v>
      </c>
      <c r="D910">
        <v>32</v>
      </c>
      <c r="E910" t="str">
        <f t="shared" si="75"/>
        <v>405</v>
      </c>
      <c r="F910" t="str">
        <f>"94"</f>
        <v>94</v>
      </c>
    </row>
    <row r="911" spans="1:6">
      <c r="A911" t="str">
        <f>"E715-86"</f>
        <v>E715-86</v>
      </c>
      <c r="B911" t="str">
        <f t="shared" si="78"/>
        <v>VIA EZIO LUCARNO  49-</v>
      </c>
      <c r="C911" t="str">
        <f t="shared" si="77"/>
        <v>STR</v>
      </c>
      <c r="D911">
        <v>32</v>
      </c>
      <c r="E911" t="str">
        <f t="shared" si="75"/>
        <v>405</v>
      </c>
      <c r="F911" t="str">
        <f>"96"</f>
        <v>96</v>
      </c>
    </row>
    <row r="912" spans="1:6">
      <c r="A912" t="str">
        <f>"E715-87"</f>
        <v>E715-87</v>
      </c>
      <c r="B912" t="str">
        <f t="shared" si="78"/>
        <v>VIA EZIO LUCARNO  49-</v>
      </c>
      <c r="C912" t="str">
        <f t="shared" si="77"/>
        <v>STR</v>
      </c>
      <c r="D912">
        <v>32</v>
      </c>
      <c r="E912" t="str">
        <f t="shared" si="75"/>
        <v>405</v>
      </c>
      <c r="F912" t="str">
        <f>"97"</f>
        <v>97</v>
      </c>
    </row>
    <row r="913" spans="1:6">
      <c r="A913" t="str">
        <f>"E715-88"</f>
        <v>E715-88</v>
      </c>
      <c r="B913" t="str">
        <f t="shared" si="78"/>
        <v>VIA EZIO LUCARNO  49-</v>
      </c>
      <c r="C913" t="str">
        <f t="shared" si="77"/>
        <v>STR</v>
      </c>
      <c r="D913">
        <v>32</v>
      </c>
      <c r="E913" t="str">
        <f t="shared" si="75"/>
        <v>405</v>
      </c>
      <c r="F913" t="str">
        <f>"98"</f>
        <v>98</v>
      </c>
    </row>
    <row r="914" spans="1:6">
      <c r="A914" t="str">
        <f>"E715-92"</f>
        <v>E715-92</v>
      </c>
      <c r="B914" t="str">
        <f t="shared" si="78"/>
        <v>VIA EZIO LUCARNO  49-</v>
      </c>
      <c r="C914" t="str">
        <f t="shared" si="77"/>
        <v>STR</v>
      </c>
      <c r="D914">
        <v>32</v>
      </c>
      <c r="E914" t="str">
        <f t="shared" ref="E914:E945" si="79">"405"</f>
        <v>405</v>
      </c>
      <c r="F914" t="str">
        <f>"102"</f>
        <v>102</v>
      </c>
    </row>
    <row r="915" spans="1:6">
      <c r="A915" t="str">
        <f>"E715-93"</f>
        <v>E715-93</v>
      </c>
      <c r="B915" t="str">
        <f t="shared" si="78"/>
        <v>VIA EZIO LUCARNO  49-</v>
      </c>
      <c r="C915" t="str">
        <f t="shared" si="77"/>
        <v>STR</v>
      </c>
      <c r="D915">
        <v>32</v>
      </c>
      <c r="E915" t="str">
        <f t="shared" si="79"/>
        <v>405</v>
      </c>
      <c r="F915" t="str">
        <f>"103"</f>
        <v>103</v>
      </c>
    </row>
    <row r="916" spans="1:6">
      <c r="A916" t="str">
        <f>"E715-95"</f>
        <v>E715-95</v>
      </c>
      <c r="B916" t="str">
        <f t="shared" ref="B916:B945" si="80">"VIA EZIO LUCARNO  45-"</f>
        <v>VIA EZIO LUCARNO  45-</v>
      </c>
      <c r="C916" t="str">
        <f t="shared" si="77"/>
        <v>STR</v>
      </c>
      <c r="D916">
        <v>32</v>
      </c>
      <c r="E916" t="str">
        <f t="shared" si="79"/>
        <v>405</v>
      </c>
      <c r="F916" t="str">
        <f>"3"</f>
        <v>3</v>
      </c>
    </row>
    <row r="917" spans="1:6">
      <c r="A917" t="str">
        <f>"E715-96"</f>
        <v>E715-96</v>
      </c>
      <c r="B917" t="str">
        <f t="shared" si="80"/>
        <v>VIA EZIO LUCARNO  45-</v>
      </c>
      <c r="C917" t="str">
        <f t="shared" si="77"/>
        <v>STR</v>
      </c>
      <c r="D917">
        <v>32</v>
      </c>
      <c r="E917" t="str">
        <f t="shared" si="79"/>
        <v>405</v>
      </c>
      <c r="F917" t="str">
        <f>"4"</f>
        <v>4</v>
      </c>
    </row>
    <row r="918" spans="1:6">
      <c r="A918" t="str">
        <f>"E715-97"</f>
        <v>E715-97</v>
      </c>
      <c r="B918" t="str">
        <f t="shared" si="80"/>
        <v>VIA EZIO LUCARNO  45-</v>
      </c>
      <c r="C918" t="str">
        <f t="shared" si="77"/>
        <v>STR</v>
      </c>
      <c r="D918">
        <v>32</v>
      </c>
      <c r="E918" t="str">
        <f t="shared" si="79"/>
        <v>405</v>
      </c>
      <c r="F918" t="str">
        <f>"5"</f>
        <v>5</v>
      </c>
    </row>
    <row r="919" spans="1:6">
      <c r="A919" t="str">
        <f>"E715-98"</f>
        <v>E715-98</v>
      </c>
      <c r="B919" t="str">
        <f t="shared" si="80"/>
        <v>VIA EZIO LUCARNO  45-</v>
      </c>
      <c r="C919" t="str">
        <f t="shared" si="77"/>
        <v>STR</v>
      </c>
      <c r="D919">
        <v>32</v>
      </c>
      <c r="E919" t="str">
        <f t="shared" si="79"/>
        <v>405</v>
      </c>
      <c r="F919" t="str">
        <f>"6"</f>
        <v>6</v>
      </c>
    </row>
    <row r="920" spans="1:6">
      <c r="A920" t="str">
        <f>"E715-99"</f>
        <v>E715-99</v>
      </c>
      <c r="B920" t="str">
        <f t="shared" si="80"/>
        <v>VIA EZIO LUCARNO  45-</v>
      </c>
      <c r="C920" t="str">
        <f t="shared" si="77"/>
        <v>STR</v>
      </c>
      <c r="D920">
        <v>32</v>
      </c>
      <c r="E920" t="str">
        <f t="shared" si="79"/>
        <v>405</v>
      </c>
      <c r="F920" t="str">
        <f>"7"</f>
        <v>7</v>
      </c>
    </row>
    <row r="921" spans="1:6">
      <c r="A921" t="str">
        <f>"E715-100"</f>
        <v>E715-100</v>
      </c>
      <c r="B921" t="str">
        <f t="shared" si="80"/>
        <v>VIA EZIO LUCARNO  45-</v>
      </c>
      <c r="C921" t="str">
        <f t="shared" si="77"/>
        <v>STR</v>
      </c>
      <c r="D921">
        <v>32</v>
      </c>
      <c r="E921" t="str">
        <f t="shared" si="79"/>
        <v>405</v>
      </c>
      <c r="F921" t="str">
        <f>"8"</f>
        <v>8</v>
      </c>
    </row>
    <row r="922" spans="1:6">
      <c r="A922" t="str">
        <f>"E715-101"</f>
        <v>E715-101</v>
      </c>
      <c r="B922" t="str">
        <f t="shared" si="80"/>
        <v>VIA EZIO LUCARNO  45-</v>
      </c>
      <c r="C922" t="str">
        <f t="shared" si="77"/>
        <v>STR</v>
      </c>
      <c r="D922">
        <v>32</v>
      </c>
      <c r="E922" t="str">
        <f t="shared" si="79"/>
        <v>405</v>
      </c>
      <c r="F922" t="str">
        <f>"9"</f>
        <v>9</v>
      </c>
    </row>
    <row r="923" spans="1:6">
      <c r="A923" t="str">
        <f>"E715-102"</f>
        <v>E715-102</v>
      </c>
      <c r="B923" t="str">
        <f t="shared" si="80"/>
        <v>VIA EZIO LUCARNO  45-</v>
      </c>
      <c r="C923" t="str">
        <f t="shared" si="77"/>
        <v>STR</v>
      </c>
      <c r="D923">
        <v>32</v>
      </c>
      <c r="E923" t="str">
        <f t="shared" si="79"/>
        <v>405</v>
      </c>
      <c r="F923" t="str">
        <f>"10"</f>
        <v>10</v>
      </c>
    </row>
    <row r="924" spans="1:6">
      <c r="A924" t="str">
        <f>"E715-103"</f>
        <v>E715-103</v>
      </c>
      <c r="B924" t="str">
        <f t="shared" si="80"/>
        <v>VIA EZIO LUCARNO  45-</v>
      </c>
      <c r="C924" t="str">
        <f t="shared" si="77"/>
        <v>STR</v>
      </c>
      <c r="D924">
        <v>32</v>
      </c>
      <c r="E924" t="str">
        <f t="shared" si="79"/>
        <v>405</v>
      </c>
      <c r="F924" t="str">
        <f>"11"</f>
        <v>11</v>
      </c>
    </row>
    <row r="925" spans="1:6">
      <c r="A925" t="str">
        <f>"E715-106"</f>
        <v>E715-106</v>
      </c>
      <c r="B925" t="str">
        <f t="shared" si="80"/>
        <v>VIA EZIO LUCARNO  45-</v>
      </c>
      <c r="C925" t="str">
        <f t="shared" ref="C925:C945" si="81">"STR"</f>
        <v>STR</v>
      </c>
      <c r="D925">
        <v>32</v>
      </c>
      <c r="E925" t="str">
        <f t="shared" si="79"/>
        <v>405</v>
      </c>
      <c r="F925" t="str">
        <f>"14"</f>
        <v>14</v>
      </c>
    </row>
    <row r="926" spans="1:6">
      <c r="A926" t="str">
        <f>"E715-107"</f>
        <v>E715-107</v>
      </c>
      <c r="B926" t="str">
        <f t="shared" si="80"/>
        <v>VIA EZIO LUCARNO  45-</v>
      </c>
      <c r="C926" t="str">
        <f t="shared" si="81"/>
        <v>STR</v>
      </c>
      <c r="D926">
        <v>32</v>
      </c>
      <c r="E926" t="str">
        <f t="shared" si="79"/>
        <v>405</v>
      </c>
      <c r="F926" t="str">
        <f>"15"</f>
        <v>15</v>
      </c>
    </row>
    <row r="927" spans="1:6">
      <c r="A927" t="str">
        <f>"E715-108"</f>
        <v>E715-108</v>
      </c>
      <c r="B927" t="str">
        <f t="shared" si="80"/>
        <v>VIA EZIO LUCARNO  45-</v>
      </c>
      <c r="C927" t="str">
        <f t="shared" si="81"/>
        <v>STR</v>
      </c>
      <c r="D927">
        <v>32</v>
      </c>
      <c r="E927" t="str">
        <f t="shared" si="79"/>
        <v>405</v>
      </c>
      <c r="F927" t="str">
        <f>"16"</f>
        <v>16</v>
      </c>
    </row>
    <row r="928" spans="1:6">
      <c r="A928" t="str">
        <f>"E715-109"</f>
        <v>E715-109</v>
      </c>
      <c r="B928" t="str">
        <f t="shared" si="80"/>
        <v>VIA EZIO LUCARNO  45-</v>
      </c>
      <c r="C928" t="str">
        <f t="shared" si="81"/>
        <v>STR</v>
      </c>
      <c r="D928">
        <v>32</v>
      </c>
      <c r="E928" t="str">
        <f t="shared" si="79"/>
        <v>405</v>
      </c>
      <c r="F928" t="str">
        <f>"17"</f>
        <v>17</v>
      </c>
    </row>
    <row r="929" spans="1:6">
      <c r="A929" t="str">
        <f>"E715-110"</f>
        <v>E715-110</v>
      </c>
      <c r="B929" t="str">
        <f t="shared" si="80"/>
        <v>VIA EZIO LUCARNO  45-</v>
      </c>
      <c r="C929" t="str">
        <f t="shared" si="81"/>
        <v>STR</v>
      </c>
      <c r="D929">
        <v>32</v>
      </c>
      <c r="E929" t="str">
        <f t="shared" si="79"/>
        <v>405</v>
      </c>
      <c r="F929" t="str">
        <f>"18"</f>
        <v>18</v>
      </c>
    </row>
    <row r="930" spans="1:6">
      <c r="A930" t="str">
        <f>"E715-111"</f>
        <v>E715-111</v>
      </c>
      <c r="B930" t="str">
        <f t="shared" si="80"/>
        <v>VIA EZIO LUCARNO  45-</v>
      </c>
      <c r="C930" t="str">
        <f t="shared" si="81"/>
        <v>STR</v>
      </c>
      <c r="D930">
        <v>32</v>
      </c>
      <c r="E930" t="str">
        <f t="shared" si="79"/>
        <v>405</v>
      </c>
      <c r="F930" t="str">
        <f>"19"</f>
        <v>19</v>
      </c>
    </row>
    <row r="931" spans="1:6">
      <c r="A931" t="str">
        <f>"E715-112"</f>
        <v>E715-112</v>
      </c>
      <c r="B931" t="str">
        <f t="shared" si="80"/>
        <v>VIA EZIO LUCARNO  45-</v>
      </c>
      <c r="C931" t="str">
        <f t="shared" si="81"/>
        <v>STR</v>
      </c>
      <c r="D931">
        <v>32</v>
      </c>
      <c r="E931" t="str">
        <f t="shared" si="79"/>
        <v>405</v>
      </c>
      <c r="F931" t="str">
        <f>"20"</f>
        <v>20</v>
      </c>
    </row>
    <row r="932" spans="1:6">
      <c r="A932" t="str">
        <f>"E715-113"</f>
        <v>E715-113</v>
      </c>
      <c r="B932" t="str">
        <f t="shared" si="80"/>
        <v>VIA EZIO LUCARNO  45-</v>
      </c>
      <c r="C932" t="str">
        <f t="shared" si="81"/>
        <v>STR</v>
      </c>
      <c r="D932">
        <v>32</v>
      </c>
      <c r="E932" t="str">
        <f t="shared" si="79"/>
        <v>405</v>
      </c>
      <c r="F932" t="str">
        <f>"21"</f>
        <v>21</v>
      </c>
    </row>
    <row r="933" spans="1:6">
      <c r="A933" t="str">
        <f>"E715-114"</f>
        <v>E715-114</v>
      </c>
      <c r="B933" t="str">
        <f t="shared" si="80"/>
        <v>VIA EZIO LUCARNO  45-</v>
      </c>
      <c r="C933" t="str">
        <f t="shared" si="81"/>
        <v>STR</v>
      </c>
      <c r="D933">
        <v>32</v>
      </c>
      <c r="E933" t="str">
        <f t="shared" si="79"/>
        <v>405</v>
      </c>
      <c r="F933" t="str">
        <f>"22"</f>
        <v>22</v>
      </c>
    </row>
    <row r="934" spans="1:6">
      <c r="A934" t="str">
        <f>"E715-115"</f>
        <v>E715-115</v>
      </c>
      <c r="B934" t="str">
        <f t="shared" si="80"/>
        <v>VIA EZIO LUCARNO  45-</v>
      </c>
      <c r="C934" t="str">
        <f t="shared" si="81"/>
        <v>STR</v>
      </c>
      <c r="D934">
        <v>32</v>
      </c>
      <c r="E934" t="str">
        <f t="shared" si="79"/>
        <v>405</v>
      </c>
      <c r="F934" t="str">
        <f>"23"</f>
        <v>23</v>
      </c>
    </row>
    <row r="935" spans="1:6">
      <c r="A935" t="str">
        <f>"E715-116"</f>
        <v>E715-116</v>
      </c>
      <c r="B935" t="str">
        <f t="shared" si="80"/>
        <v>VIA EZIO LUCARNO  45-</v>
      </c>
      <c r="C935" t="str">
        <f t="shared" si="81"/>
        <v>STR</v>
      </c>
      <c r="D935">
        <v>32</v>
      </c>
      <c r="E935" t="str">
        <f t="shared" si="79"/>
        <v>405</v>
      </c>
      <c r="F935" t="str">
        <f>"24"</f>
        <v>24</v>
      </c>
    </row>
    <row r="936" spans="1:6">
      <c r="A936" t="str">
        <f>"E715-117"</f>
        <v>E715-117</v>
      </c>
      <c r="B936" t="str">
        <f t="shared" si="80"/>
        <v>VIA EZIO LUCARNO  45-</v>
      </c>
      <c r="C936" t="str">
        <f t="shared" si="81"/>
        <v>STR</v>
      </c>
      <c r="D936">
        <v>32</v>
      </c>
      <c r="E936" t="str">
        <f t="shared" si="79"/>
        <v>405</v>
      </c>
      <c r="F936" t="str">
        <f>"25"</f>
        <v>25</v>
      </c>
    </row>
    <row r="937" spans="1:6">
      <c r="A937" t="str">
        <f>"E715-118"</f>
        <v>E715-118</v>
      </c>
      <c r="B937" t="str">
        <f t="shared" si="80"/>
        <v>VIA EZIO LUCARNO  45-</v>
      </c>
      <c r="C937" t="str">
        <f t="shared" si="81"/>
        <v>STR</v>
      </c>
      <c r="D937">
        <v>32</v>
      </c>
      <c r="E937" t="str">
        <f t="shared" si="79"/>
        <v>405</v>
      </c>
      <c r="F937" t="str">
        <f>"26"</f>
        <v>26</v>
      </c>
    </row>
    <row r="938" spans="1:6">
      <c r="A938" t="str">
        <f>"E715-119"</f>
        <v>E715-119</v>
      </c>
      <c r="B938" t="str">
        <f t="shared" si="80"/>
        <v>VIA EZIO LUCARNO  45-</v>
      </c>
      <c r="C938" t="str">
        <f t="shared" si="81"/>
        <v>STR</v>
      </c>
      <c r="D938">
        <v>32</v>
      </c>
      <c r="E938" t="str">
        <f t="shared" si="79"/>
        <v>405</v>
      </c>
      <c r="F938" t="str">
        <f>"27"</f>
        <v>27</v>
      </c>
    </row>
    <row r="939" spans="1:6">
      <c r="A939" t="str">
        <f>"E715-120"</f>
        <v>E715-120</v>
      </c>
      <c r="B939" t="str">
        <f t="shared" si="80"/>
        <v>VIA EZIO LUCARNO  45-</v>
      </c>
      <c r="C939" t="str">
        <f t="shared" si="81"/>
        <v>STR</v>
      </c>
      <c r="D939">
        <v>32</v>
      </c>
      <c r="E939" t="str">
        <f t="shared" si="79"/>
        <v>405</v>
      </c>
      <c r="F939" t="str">
        <f>"28"</f>
        <v>28</v>
      </c>
    </row>
    <row r="940" spans="1:6">
      <c r="A940" t="str">
        <f>"E715-121"</f>
        <v>E715-121</v>
      </c>
      <c r="B940" t="str">
        <f t="shared" si="80"/>
        <v>VIA EZIO LUCARNO  45-</v>
      </c>
      <c r="C940" t="str">
        <f t="shared" si="81"/>
        <v>STR</v>
      </c>
      <c r="D940">
        <v>32</v>
      </c>
      <c r="E940" t="str">
        <f t="shared" si="79"/>
        <v>405</v>
      </c>
      <c r="F940" t="str">
        <f>"29"</f>
        <v>29</v>
      </c>
    </row>
    <row r="941" spans="1:6">
      <c r="A941" t="str">
        <f>"E715-122"</f>
        <v>E715-122</v>
      </c>
      <c r="B941" t="str">
        <f t="shared" si="80"/>
        <v>VIA EZIO LUCARNO  45-</v>
      </c>
      <c r="C941" t="str">
        <f t="shared" si="81"/>
        <v>STR</v>
      </c>
      <c r="D941">
        <v>32</v>
      </c>
      <c r="E941" t="str">
        <f t="shared" si="79"/>
        <v>405</v>
      </c>
      <c r="F941" t="str">
        <f>"30"</f>
        <v>30</v>
      </c>
    </row>
    <row r="942" spans="1:6">
      <c r="A942" t="str">
        <f>"E715-123"</f>
        <v>E715-123</v>
      </c>
      <c r="B942" t="str">
        <f t="shared" si="80"/>
        <v>VIA EZIO LUCARNO  45-</v>
      </c>
      <c r="C942" t="str">
        <f t="shared" si="81"/>
        <v>STR</v>
      </c>
      <c r="D942">
        <v>32</v>
      </c>
      <c r="E942" t="str">
        <f t="shared" si="79"/>
        <v>405</v>
      </c>
      <c r="F942" t="str">
        <f>"31"</f>
        <v>31</v>
      </c>
    </row>
    <row r="943" spans="1:6">
      <c r="A943" t="str">
        <f>"E715-124"</f>
        <v>E715-124</v>
      </c>
      <c r="B943" t="str">
        <f t="shared" si="80"/>
        <v>VIA EZIO LUCARNO  45-</v>
      </c>
      <c r="C943" t="str">
        <f t="shared" si="81"/>
        <v>STR</v>
      </c>
      <c r="D943">
        <v>32</v>
      </c>
      <c r="E943" t="str">
        <f t="shared" si="79"/>
        <v>405</v>
      </c>
      <c r="F943" t="str">
        <f>"32"</f>
        <v>32</v>
      </c>
    </row>
    <row r="944" spans="1:6">
      <c r="A944" t="str">
        <f>"E715-125"</f>
        <v>E715-125</v>
      </c>
      <c r="B944" t="str">
        <f t="shared" si="80"/>
        <v>VIA EZIO LUCARNO  45-</v>
      </c>
      <c r="C944" t="str">
        <f t="shared" si="81"/>
        <v>STR</v>
      </c>
      <c r="D944">
        <v>32</v>
      </c>
      <c r="E944" t="str">
        <f t="shared" si="79"/>
        <v>405</v>
      </c>
      <c r="F944" t="str">
        <f>"33"</f>
        <v>33</v>
      </c>
    </row>
    <row r="945" spans="1:6">
      <c r="A945" t="str">
        <f>"E715-127"</f>
        <v>E715-127</v>
      </c>
      <c r="B945" t="str">
        <f t="shared" si="80"/>
        <v>VIA EZIO LUCARNO  45-</v>
      </c>
      <c r="C945" t="str">
        <f t="shared" si="81"/>
        <v>STR</v>
      </c>
      <c r="D945">
        <v>32</v>
      </c>
      <c r="E945" t="str">
        <f t="shared" si="79"/>
        <v>405</v>
      </c>
      <c r="F945" t="str">
        <f>"35"</f>
        <v>35</v>
      </c>
    </row>
    <row r="946" spans="1:6">
      <c r="A946" t="str">
        <f>"E717-1"</f>
        <v>E717-1</v>
      </c>
      <c r="B946" t="str">
        <f t="shared" ref="B946:B972" si="82">"VIA DEI PLATANI  20-"</f>
        <v>VIA DEI PLATANI  20-</v>
      </c>
      <c r="C946" t="str">
        <f t="shared" ref="C946:C977" si="83">"GED"</f>
        <v>GED</v>
      </c>
      <c r="D946">
        <v>33</v>
      </c>
      <c r="E946" t="str">
        <f>"619"</f>
        <v>619</v>
      </c>
      <c r="F946" t="str">
        <f>"1"</f>
        <v>1</v>
      </c>
    </row>
    <row r="947" spans="1:6">
      <c r="C947" t="str">
        <f t="shared" si="83"/>
        <v>GED</v>
      </c>
      <c r="D947">
        <v>33</v>
      </c>
      <c r="E947" t="str">
        <f>"620"</f>
        <v>620</v>
      </c>
      <c r="F947" t="str">
        <f>"0000"</f>
        <v>0000</v>
      </c>
    </row>
    <row r="948" spans="1:6">
      <c r="A948" t="str">
        <f>"E717-2"</f>
        <v>E717-2</v>
      </c>
      <c r="B948" t="str">
        <f t="shared" si="82"/>
        <v>VIA DEI PLATANI  20-</v>
      </c>
      <c r="C948" t="str">
        <f t="shared" si="83"/>
        <v>GED</v>
      </c>
      <c r="D948">
        <v>33</v>
      </c>
      <c r="E948" t="str">
        <f>"619"</f>
        <v>619</v>
      </c>
      <c r="F948" t="str">
        <f>"2"</f>
        <v>2</v>
      </c>
    </row>
    <row r="949" spans="1:6">
      <c r="C949" t="str">
        <f t="shared" si="83"/>
        <v>GED</v>
      </c>
      <c r="D949">
        <v>33</v>
      </c>
      <c r="E949" t="str">
        <f>"621"</f>
        <v>621</v>
      </c>
      <c r="F949" t="str">
        <f>"0000"</f>
        <v>0000</v>
      </c>
    </row>
    <row r="950" spans="1:6">
      <c r="A950" t="str">
        <f>"E717-3"</f>
        <v>E717-3</v>
      </c>
      <c r="B950" t="str">
        <f t="shared" si="82"/>
        <v>VIA DEI PLATANI  20-</v>
      </c>
      <c r="C950" t="str">
        <f t="shared" si="83"/>
        <v>GED</v>
      </c>
      <c r="D950">
        <v>33</v>
      </c>
      <c r="E950" t="str">
        <f>"619"</f>
        <v>619</v>
      </c>
      <c r="F950" t="str">
        <f>"3"</f>
        <v>3</v>
      </c>
    </row>
    <row r="951" spans="1:6">
      <c r="C951" t="str">
        <f t="shared" si="83"/>
        <v>GED</v>
      </c>
      <c r="D951">
        <v>33</v>
      </c>
      <c r="E951" t="str">
        <f>"622"</f>
        <v>622</v>
      </c>
      <c r="F951" t="str">
        <f>"0000"</f>
        <v>0000</v>
      </c>
    </row>
    <row r="952" spans="1:6">
      <c r="A952" t="str">
        <f>"E717-4"</f>
        <v>E717-4</v>
      </c>
      <c r="B952" t="str">
        <f t="shared" si="82"/>
        <v>VIA DEI PLATANI  20-</v>
      </c>
      <c r="C952" t="str">
        <f t="shared" si="83"/>
        <v>GED</v>
      </c>
      <c r="D952">
        <v>33</v>
      </c>
      <c r="E952" t="str">
        <f t="shared" ref="E952:E973" si="84">"619"</f>
        <v>619</v>
      </c>
      <c r="F952" t="str">
        <f>"4"</f>
        <v>4</v>
      </c>
    </row>
    <row r="953" spans="1:6">
      <c r="A953" t="str">
        <f>"E717-5"</f>
        <v>E717-5</v>
      </c>
      <c r="B953" t="str">
        <f t="shared" si="82"/>
        <v>VIA DEI PLATANI  20-</v>
      </c>
      <c r="C953" t="str">
        <f t="shared" si="83"/>
        <v>GED</v>
      </c>
      <c r="D953">
        <v>33</v>
      </c>
      <c r="E953" t="str">
        <f t="shared" si="84"/>
        <v>619</v>
      </c>
      <c r="F953" t="str">
        <f>"5"</f>
        <v>5</v>
      </c>
    </row>
    <row r="954" spans="1:6">
      <c r="A954" t="str">
        <f>"E717-6"</f>
        <v>E717-6</v>
      </c>
      <c r="B954" t="str">
        <f t="shared" si="82"/>
        <v>VIA DEI PLATANI  20-</v>
      </c>
      <c r="C954" t="str">
        <f t="shared" si="83"/>
        <v>GED</v>
      </c>
      <c r="D954">
        <v>33</v>
      </c>
      <c r="E954" t="str">
        <f t="shared" si="84"/>
        <v>619</v>
      </c>
      <c r="F954" t="str">
        <f>"6"</f>
        <v>6</v>
      </c>
    </row>
    <row r="955" spans="1:6">
      <c r="A955" t="str">
        <f>"E717-7"</f>
        <v>E717-7</v>
      </c>
      <c r="B955" t="str">
        <f t="shared" si="82"/>
        <v>VIA DEI PLATANI  20-</v>
      </c>
      <c r="C955" t="str">
        <f t="shared" si="83"/>
        <v>GED</v>
      </c>
      <c r="D955">
        <v>33</v>
      </c>
      <c r="E955" t="str">
        <f t="shared" si="84"/>
        <v>619</v>
      </c>
      <c r="F955" t="str">
        <f>"7"</f>
        <v>7</v>
      </c>
    </row>
    <row r="956" spans="1:6">
      <c r="A956" t="str">
        <f>"E717-8"</f>
        <v>E717-8</v>
      </c>
      <c r="B956" t="str">
        <f t="shared" si="82"/>
        <v>VIA DEI PLATANI  20-</v>
      </c>
      <c r="C956" t="str">
        <f t="shared" si="83"/>
        <v>GED</v>
      </c>
      <c r="D956">
        <v>33</v>
      </c>
      <c r="E956" t="str">
        <f t="shared" si="84"/>
        <v>619</v>
      </c>
      <c r="F956" t="str">
        <f>"8"</f>
        <v>8</v>
      </c>
    </row>
    <row r="957" spans="1:6">
      <c r="A957" t="str">
        <f>"E717-9"</f>
        <v>E717-9</v>
      </c>
      <c r="B957" t="str">
        <f t="shared" si="82"/>
        <v>VIA DEI PLATANI  20-</v>
      </c>
      <c r="C957" t="str">
        <f t="shared" si="83"/>
        <v>GED</v>
      </c>
      <c r="D957">
        <v>33</v>
      </c>
      <c r="E957" t="str">
        <f t="shared" si="84"/>
        <v>619</v>
      </c>
      <c r="F957" t="str">
        <f>"9"</f>
        <v>9</v>
      </c>
    </row>
    <row r="958" spans="1:6">
      <c r="A958" t="str">
        <f>"E717-10"</f>
        <v>E717-10</v>
      </c>
      <c r="B958" t="str">
        <f t="shared" si="82"/>
        <v>VIA DEI PLATANI  20-</v>
      </c>
      <c r="C958" t="str">
        <f t="shared" si="83"/>
        <v>GED</v>
      </c>
      <c r="D958">
        <v>33</v>
      </c>
      <c r="E958" t="str">
        <f t="shared" si="84"/>
        <v>619</v>
      </c>
      <c r="F958" t="str">
        <f>"10"</f>
        <v>10</v>
      </c>
    </row>
    <row r="959" spans="1:6">
      <c r="A959" t="str">
        <f>"E717-11"</f>
        <v>E717-11</v>
      </c>
      <c r="B959" t="str">
        <f t="shared" si="82"/>
        <v>VIA DEI PLATANI  20-</v>
      </c>
      <c r="C959" t="str">
        <f t="shared" si="83"/>
        <v>GED</v>
      </c>
      <c r="D959">
        <v>33</v>
      </c>
      <c r="E959" t="str">
        <f t="shared" si="84"/>
        <v>619</v>
      </c>
      <c r="F959" t="str">
        <f>"11"</f>
        <v>11</v>
      </c>
    </row>
    <row r="960" spans="1:6">
      <c r="A960" t="str">
        <f>"E717-12"</f>
        <v>E717-12</v>
      </c>
      <c r="B960" t="str">
        <f t="shared" si="82"/>
        <v>VIA DEI PLATANI  20-</v>
      </c>
      <c r="C960" t="str">
        <f t="shared" si="83"/>
        <v>GED</v>
      </c>
      <c r="D960">
        <v>33</v>
      </c>
      <c r="E960" t="str">
        <f t="shared" si="84"/>
        <v>619</v>
      </c>
      <c r="F960" t="str">
        <f>"12"</f>
        <v>12</v>
      </c>
    </row>
    <row r="961" spans="1:6">
      <c r="A961" t="str">
        <f>"E717-13"</f>
        <v>E717-13</v>
      </c>
      <c r="B961" t="str">
        <f t="shared" si="82"/>
        <v>VIA DEI PLATANI  20-</v>
      </c>
      <c r="C961" t="str">
        <f t="shared" si="83"/>
        <v>GED</v>
      </c>
      <c r="D961">
        <v>33</v>
      </c>
      <c r="E961" t="str">
        <f t="shared" si="84"/>
        <v>619</v>
      </c>
      <c r="F961" t="str">
        <f>"13"</f>
        <v>13</v>
      </c>
    </row>
    <row r="962" spans="1:6">
      <c r="A962" t="str">
        <f>"E717-14"</f>
        <v>E717-14</v>
      </c>
      <c r="B962" t="str">
        <f t="shared" si="82"/>
        <v>VIA DEI PLATANI  20-</v>
      </c>
      <c r="C962" t="str">
        <f t="shared" si="83"/>
        <v>GED</v>
      </c>
      <c r="D962">
        <v>33</v>
      </c>
      <c r="E962" t="str">
        <f t="shared" si="84"/>
        <v>619</v>
      </c>
      <c r="F962" t="str">
        <f>"14"</f>
        <v>14</v>
      </c>
    </row>
    <row r="963" spans="1:6">
      <c r="A963" t="str">
        <f>"E717-15"</f>
        <v>E717-15</v>
      </c>
      <c r="B963" t="str">
        <f t="shared" si="82"/>
        <v>VIA DEI PLATANI  20-</v>
      </c>
      <c r="C963" t="str">
        <f t="shared" si="83"/>
        <v>GED</v>
      </c>
      <c r="D963">
        <v>33</v>
      </c>
      <c r="E963" t="str">
        <f t="shared" si="84"/>
        <v>619</v>
      </c>
      <c r="F963" t="str">
        <f>"15"</f>
        <v>15</v>
      </c>
    </row>
    <row r="964" spans="1:6">
      <c r="A964" t="str">
        <f>"E717-16"</f>
        <v>E717-16</v>
      </c>
      <c r="B964" t="str">
        <f t="shared" si="82"/>
        <v>VIA DEI PLATANI  20-</v>
      </c>
      <c r="C964" t="str">
        <f t="shared" si="83"/>
        <v>GED</v>
      </c>
      <c r="D964">
        <v>33</v>
      </c>
      <c r="E964" t="str">
        <f t="shared" si="84"/>
        <v>619</v>
      </c>
      <c r="F964" t="str">
        <f>"16"</f>
        <v>16</v>
      </c>
    </row>
    <row r="965" spans="1:6">
      <c r="A965" t="str">
        <f>"E717-17"</f>
        <v>E717-17</v>
      </c>
      <c r="B965" t="str">
        <f t="shared" si="82"/>
        <v>VIA DEI PLATANI  20-</v>
      </c>
      <c r="C965" t="str">
        <f t="shared" si="83"/>
        <v>GED</v>
      </c>
      <c r="D965">
        <v>33</v>
      </c>
      <c r="E965" t="str">
        <f t="shared" si="84"/>
        <v>619</v>
      </c>
      <c r="F965" t="str">
        <f>"17"</f>
        <v>17</v>
      </c>
    </row>
    <row r="966" spans="1:6">
      <c r="A966" t="str">
        <f>"E717-18"</f>
        <v>E717-18</v>
      </c>
      <c r="B966" t="str">
        <f t="shared" si="82"/>
        <v>VIA DEI PLATANI  20-</v>
      </c>
      <c r="C966" t="str">
        <f t="shared" si="83"/>
        <v>GED</v>
      </c>
      <c r="D966">
        <v>33</v>
      </c>
      <c r="E966" t="str">
        <f t="shared" si="84"/>
        <v>619</v>
      </c>
      <c r="F966" t="str">
        <f>"18"</f>
        <v>18</v>
      </c>
    </row>
    <row r="967" spans="1:6">
      <c r="A967" t="str">
        <f>"E717-19"</f>
        <v>E717-19</v>
      </c>
      <c r="B967" t="str">
        <f t="shared" si="82"/>
        <v>VIA DEI PLATANI  20-</v>
      </c>
      <c r="C967" t="str">
        <f t="shared" si="83"/>
        <v>GED</v>
      </c>
      <c r="D967">
        <v>33</v>
      </c>
      <c r="E967" t="str">
        <f t="shared" si="84"/>
        <v>619</v>
      </c>
      <c r="F967" t="str">
        <f>"19"</f>
        <v>19</v>
      </c>
    </row>
    <row r="968" spans="1:6">
      <c r="A968" t="str">
        <f>"E717-20"</f>
        <v>E717-20</v>
      </c>
      <c r="B968" t="str">
        <f t="shared" si="82"/>
        <v>VIA DEI PLATANI  20-</v>
      </c>
      <c r="C968" t="str">
        <f t="shared" si="83"/>
        <v>GED</v>
      </c>
      <c r="D968">
        <v>33</v>
      </c>
      <c r="E968" t="str">
        <f t="shared" si="84"/>
        <v>619</v>
      </c>
      <c r="F968" t="str">
        <f>"20"</f>
        <v>20</v>
      </c>
    </row>
    <row r="969" spans="1:6">
      <c r="A969" t="str">
        <f>"E717-21"</f>
        <v>E717-21</v>
      </c>
      <c r="B969" t="str">
        <f t="shared" si="82"/>
        <v>VIA DEI PLATANI  20-</v>
      </c>
      <c r="C969" t="str">
        <f t="shared" si="83"/>
        <v>GED</v>
      </c>
      <c r="D969">
        <v>33</v>
      </c>
      <c r="E969" t="str">
        <f t="shared" si="84"/>
        <v>619</v>
      </c>
      <c r="F969" t="str">
        <f>"21"</f>
        <v>21</v>
      </c>
    </row>
    <row r="970" spans="1:6">
      <c r="A970" t="str">
        <f>"E717-22"</f>
        <v>E717-22</v>
      </c>
      <c r="B970" t="str">
        <f t="shared" si="82"/>
        <v>VIA DEI PLATANI  20-</v>
      </c>
      <c r="C970" t="str">
        <f t="shared" si="83"/>
        <v>GED</v>
      </c>
      <c r="D970">
        <v>33</v>
      </c>
      <c r="E970" t="str">
        <f t="shared" si="84"/>
        <v>619</v>
      </c>
      <c r="F970" t="str">
        <f>"22"</f>
        <v>22</v>
      </c>
    </row>
    <row r="971" spans="1:6">
      <c r="A971" t="str">
        <f>"E717-23"</f>
        <v>E717-23</v>
      </c>
      <c r="B971" t="str">
        <f t="shared" si="82"/>
        <v>VIA DEI PLATANI  20-</v>
      </c>
      <c r="C971" t="str">
        <f t="shared" si="83"/>
        <v>GED</v>
      </c>
      <c r="D971">
        <v>33</v>
      </c>
      <c r="E971" t="str">
        <f t="shared" si="84"/>
        <v>619</v>
      </c>
      <c r="F971" t="str">
        <f>"23"</f>
        <v>23</v>
      </c>
    </row>
    <row r="972" spans="1:6">
      <c r="A972" t="str">
        <f>"E717-24"</f>
        <v>E717-24</v>
      </c>
      <c r="B972" t="str">
        <f t="shared" si="82"/>
        <v>VIA DEI PLATANI  20-</v>
      </c>
      <c r="C972" t="str">
        <f t="shared" si="83"/>
        <v>GED</v>
      </c>
      <c r="D972">
        <v>33</v>
      </c>
      <c r="E972" t="str">
        <f t="shared" si="84"/>
        <v>619</v>
      </c>
      <c r="F972" t="str">
        <f>"24"</f>
        <v>24</v>
      </c>
    </row>
    <row r="973" spans="1:6">
      <c r="A973" t="str">
        <f>"E717-25"</f>
        <v>E717-25</v>
      </c>
      <c r="B973" t="str">
        <f t="shared" ref="B973:B999" si="85">"VIA DEI PLATANI  20A-"</f>
        <v>VIA DEI PLATANI  20A-</v>
      </c>
      <c r="C973" t="str">
        <f t="shared" si="83"/>
        <v>GED</v>
      </c>
      <c r="D973">
        <v>33</v>
      </c>
      <c r="E973" t="str">
        <f t="shared" si="84"/>
        <v>619</v>
      </c>
      <c r="F973" t="str">
        <f>"25"</f>
        <v>25</v>
      </c>
    </row>
    <row r="974" spans="1:6">
      <c r="C974" t="str">
        <f t="shared" si="83"/>
        <v>GED</v>
      </c>
      <c r="D974">
        <v>33</v>
      </c>
      <c r="E974" t="str">
        <f>"623"</f>
        <v>623</v>
      </c>
      <c r="F974" t="str">
        <f>"0000"</f>
        <v>0000</v>
      </c>
    </row>
    <row r="975" spans="1:6">
      <c r="A975" t="str">
        <f>"E717-26"</f>
        <v>E717-26</v>
      </c>
      <c r="B975" t="str">
        <f t="shared" si="85"/>
        <v>VIA DEI PLATANI  20A-</v>
      </c>
      <c r="C975" t="str">
        <f t="shared" si="83"/>
        <v>GED</v>
      </c>
      <c r="D975">
        <v>33</v>
      </c>
      <c r="E975" t="str">
        <f>"619"</f>
        <v>619</v>
      </c>
      <c r="F975" t="str">
        <f>"26"</f>
        <v>26</v>
      </c>
    </row>
    <row r="976" spans="1:6">
      <c r="A976" t="str">
        <f>"E717-27"</f>
        <v>E717-27</v>
      </c>
      <c r="B976" t="str">
        <f t="shared" si="85"/>
        <v>VIA DEI PLATANI  20A-</v>
      </c>
      <c r="C976" t="str">
        <f t="shared" si="83"/>
        <v>GED</v>
      </c>
      <c r="D976">
        <v>33</v>
      </c>
      <c r="E976" t="str">
        <f>"619"</f>
        <v>619</v>
      </c>
      <c r="F976" t="str">
        <f>"27"</f>
        <v>27</v>
      </c>
    </row>
    <row r="977" spans="1:6">
      <c r="C977" t="str">
        <f t="shared" si="83"/>
        <v>GED</v>
      </c>
      <c r="D977">
        <v>33</v>
      </c>
      <c r="E977" t="str">
        <f>"624"</f>
        <v>624</v>
      </c>
      <c r="F977" t="str">
        <f>"0000"</f>
        <v>0000</v>
      </c>
    </row>
    <row r="978" spans="1:6">
      <c r="A978" t="str">
        <f>"E717-28"</f>
        <v>E717-28</v>
      </c>
      <c r="B978" t="str">
        <f t="shared" si="85"/>
        <v>VIA DEI PLATANI  20A-</v>
      </c>
      <c r="C978" t="str">
        <f t="shared" ref="C978:C1000" si="86">"GED"</f>
        <v>GED</v>
      </c>
      <c r="D978">
        <v>33</v>
      </c>
      <c r="E978" t="str">
        <f>"619"</f>
        <v>619</v>
      </c>
      <c r="F978" t="str">
        <f>"28"</f>
        <v>28</v>
      </c>
    </row>
    <row r="979" spans="1:6">
      <c r="C979" t="str">
        <f t="shared" si="86"/>
        <v>GED</v>
      </c>
      <c r="D979">
        <v>33</v>
      </c>
      <c r="E979" t="str">
        <f>"625"</f>
        <v>625</v>
      </c>
      <c r="F979" t="str">
        <f>"0000"</f>
        <v>0000</v>
      </c>
    </row>
    <row r="980" spans="1:6">
      <c r="A980" t="str">
        <f>"E717-29"</f>
        <v>E717-29</v>
      </c>
      <c r="B980" t="str">
        <f t="shared" si="85"/>
        <v>VIA DEI PLATANI  20A-</v>
      </c>
      <c r="C980" t="str">
        <f t="shared" si="86"/>
        <v>GED</v>
      </c>
      <c r="D980">
        <v>33</v>
      </c>
      <c r="E980" t="str">
        <f t="shared" ref="E980:E1000" si="87">"619"</f>
        <v>619</v>
      </c>
      <c r="F980" t="str">
        <f>"29"</f>
        <v>29</v>
      </c>
    </row>
    <row r="981" spans="1:6">
      <c r="A981" t="str">
        <f>"E717-30"</f>
        <v>E717-30</v>
      </c>
      <c r="B981" t="str">
        <f t="shared" si="85"/>
        <v>VIA DEI PLATANI  20A-</v>
      </c>
      <c r="C981" t="str">
        <f t="shared" si="86"/>
        <v>GED</v>
      </c>
      <c r="D981">
        <v>33</v>
      </c>
      <c r="E981" t="str">
        <f t="shared" si="87"/>
        <v>619</v>
      </c>
      <c r="F981" t="str">
        <f>"30"</f>
        <v>30</v>
      </c>
    </row>
    <row r="982" spans="1:6">
      <c r="A982" t="str">
        <f>"E717-31"</f>
        <v>E717-31</v>
      </c>
      <c r="B982" t="str">
        <f t="shared" si="85"/>
        <v>VIA DEI PLATANI  20A-</v>
      </c>
      <c r="C982" t="str">
        <f t="shared" si="86"/>
        <v>GED</v>
      </c>
      <c r="D982">
        <v>33</v>
      </c>
      <c r="E982" t="str">
        <f t="shared" si="87"/>
        <v>619</v>
      </c>
      <c r="F982" t="str">
        <f>"31"</f>
        <v>31</v>
      </c>
    </row>
    <row r="983" spans="1:6">
      <c r="A983" t="str">
        <f>"E717-32"</f>
        <v>E717-32</v>
      </c>
      <c r="B983" t="str">
        <f t="shared" si="85"/>
        <v>VIA DEI PLATANI  20A-</v>
      </c>
      <c r="C983" t="str">
        <f t="shared" si="86"/>
        <v>GED</v>
      </c>
      <c r="D983">
        <v>33</v>
      </c>
      <c r="E983" t="str">
        <f t="shared" si="87"/>
        <v>619</v>
      </c>
      <c r="F983" t="str">
        <f>"32"</f>
        <v>32</v>
      </c>
    </row>
    <row r="984" spans="1:6">
      <c r="A984" t="str">
        <f>"E717-33"</f>
        <v>E717-33</v>
      </c>
      <c r="B984" t="str">
        <f t="shared" si="85"/>
        <v>VIA DEI PLATANI  20A-</v>
      </c>
      <c r="C984" t="str">
        <f t="shared" si="86"/>
        <v>GED</v>
      </c>
      <c r="D984">
        <v>33</v>
      </c>
      <c r="E984" t="str">
        <f t="shared" si="87"/>
        <v>619</v>
      </c>
      <c r="F984" t="str">
        <f>"33"</f>
        <v>33</v>
      </c>
    </row>
    <row r="985" spans="1:6">
      <c r="A985" t="str">
        <f>"E717-34"</f>
        <v>E717-34</v>
      </c>
      <c r="B985" t="str">
        <f t="shared" si="85"/>
        <v>VIA DEI PLATANI  20A-</v>
      </c>
      <c r="C985" t="str">
        <f t="shared" si="86"/>
        <v>GED</v>
      </c>
      <c r="D985">
        <v>33</v>
      </c>
      <c r="E985" t="str">
        <f t="shared" si="87"/>
        <v>619</v>
      </c>
      <c r="F985" t="str">
        <f>"34"</f>
        <v>34</v>
      </c>
    </row>
    <row r="986" spans="1:6">
      <c r="A986" t="str">
        <f>"E717-35"</f>
        <v>E717-35</v>
      </c>
      <c r="B986" t="str">
        <f t="shared" si="85"/>
        <v>VIA DEI PLATANI  20A-</v>
      </c>
      <c r="C986" t="str">
        <f t="shared" si="86"/>
        <v>GED</v>
      </c>
      <c r="D986">
        <v>33</v>
      </c>
      <c r="E986" t="str">
        <f t="shared" si="87"/>
        <v>619</v>
      </c>
      <c r="F986" t="str">
        <f>"35"</f>
        <v>35</v>
      </c>
    </row>
    <row r="987" spans="1:6">
      <c r="A987" t="str">
        <f>"E717-36"</f>
        <v>E717-36</v>
      </c>
      <c r="B987" t="str">
        <f t="shared" si="85"/>
        <v>VIA DEI PLATANI  20A-</v>
      </c>
      <c r="C987" t="str">
        <f t="shared" si="86"/>
        <v>GED</v>
      </c>
      <c r="D987">
        <v>33</v>
      </c>
      <c r="E987" t="str">
        <f t="shared" si="87"/>
        <v>619</v>
      </c>
      <c r="F987" t="str">
        <f>"36"</f>
        <v>36</v>
      </c>
    </row>
    <row r="988" spans="1:6">
      <c r="A988" t="str">
        <f>"E717-37"</f>
        <v>E717-37</v>
      </c>
      <c r="B988" t="str">
        <f t="shared" si="85"/>
        <v>VIA DEI PLATANI  20A-</v>
      </c>
      <c r="C988" t="str">
        <f t="shared" si="86"/>
        <v>GED</v>
      </c>
      <c r="D988">
        <v>33</v>
      </c>
      <c r="E988" t="str">
        <f t="shared" si="87"/>
        <v>619</v>
      </c>
      <c r="F988" t="str">
        <f>"37"</f>
        <v>37</v>
      </c>
    </row>
    <row r="989" spans="1:6">
      <c r="A989" t="str">
        <f>"E717-38"</f>
        <v>E717-38</v>
      </c>
      <c r="B989" t="str">
        <f t="shared" si="85"/>
        <v>VIA DEI PLATANI  20A-</v>
      </c>
      <c r="C989" t="str">
        <f t="shared" si="86"/>
        <v>GED</v>
      </c>
      <c r="D989">
        <v>33</v>
      </c>
      <c r="E989" t="str">
        <f t="shared" si="87"/>
        <v>619</v>
      </c>
      <c r="F989" t="str">
        <f>"38"</f>
        <v>38</v>
      </c>
    </row>
    <row r="990" spans="1:6">
      <c r="A990" t="str">
        <f>"E717-39"</f>
        <v>E717-39</v>
      </c>
      <c r="B990" t="str">
        <f t="shared" si="85"/>
        <v>VIA DEI PLATANI  20A-</v>
      </c>
      <c r="C990" t="str">
        <f t="shared" si="86"/>
        <v>GED</v>
      </c>
      <c r="D990">
        <v>33</v>
      </c>
      <c r="E990" t="str">
        <f t="shared" si="87"/>
        <v>619</v>
      </c>
      <c r="F990" t="str">
        <f>"39"</f>
        <v>39</v>
      </c>
    </row>
    <row r="991" spans="1:6">
      <c r="A991" t="str">
        <f>"E717-40"</f>
        <v>E717-40</v>
      </c>
      <c r="B991" t="str">
        <f t="shared" si="85"/>
        <v>VIA DEI PLATANI  20A-</v>
      </c>
      <c r="C991" t="str">
        <f t="shared" si="86"/>
        <v>GED</v>
      </c>
      <c r="D991">
        <v>33</v>
      </c>
      <c r="E991" t="str">
        <f t="shared" si="87"/>
        <v>619</v>
      </c>
      <c r="F991" t="str">
        <f>"40"</f>
        <v>40</v>
      </c>
    </row>
    <row r="992" spans="1:6">
      <c r="A992" t="str">
        <f>"E717-41"</f>
        <v>E717-41</v>
      </c>
      <c r="B992" t="str">
        <f t="shared" si="85"/>
        <v>VIA DEI PLATANI  20A-</v>
      </c>
      <c r="C992" t="str">
        <f t="shared" si="86"/>
        <v>GED</v>
      </c>
      <c r="D992">
        <v>33</v>
      </c>
      <c r="E992" t="str">
        <f t="shared" si="87"/>
        <v>619</v>
      </c>
      <c r="F992" t="str">
        <f>"41"</f>
        <v>41</v>
      </c>
    </row>
    <row r="993" spans="1:6">
      <c r="A993" t="str">
        <f>"E717-42"</f>
        <v>E717-42</v>
      </c>
      <c r="B993" t="str">
        <f t="shared" si="85"/>
        <v>VIA DEI PLATANI  20A-</v>
      </c>
      <c r="C993" t="str">
        <f t="shared" si="86"/>
        <v>GED</v>
      </c>
      <c r="D993">
        <v>33</v>
      </c>
      <c r="E993" t="str">
        <f t="shared" si="87"/>
        <v>619</v>
      </c>
      <c r="F993" t="str">
        <f>"42"</f>
        <v>42</v>
      </c>
    </row>
    <row r="994" spans="1:6">
      <c r="A994" t="str">
        <f>"E717-43"</f>
        <v>E717-43</v>
      </c>
      <c r="B994" t="str">
        <f t="shared" si="85"/>
        <v>VIA DEI PLATANI  20A-</v>
      </c>
      <c r="C994" t="str">
        <f t="shared" si="86"/>
        <v>GED</v>
      </c>
      <c r="D994">
        <v>33</v>
      </c>
      <c r="E994" t="str">
        <f t="shared" si="87"/>
        <v>619</v>
      </c>
      <c r="F994" t="str">
        <f>"43"</f>
        <v>43</v>
      </c>
    </row>
    <row r="995" spans="1:6">
      <c r="A995" t="str">
        <f>"E717-44"</f>
        <v>E717-44</v>
      </c>
      <c r="B995" t="str">
        <f t="shared" si="85"/>
        <v>VIA DEI PLATANI  20A-</v>
      </c>
      <c r="C995" t="str">
        <f t="shared" si="86"/>
        <v>GED</v>
      </c>
      <c r="D995">
        <v>33</v>
      </c>
      <c r="E995" t="str">
        <f t="shared" si="87"/>
        <v>619</v>
      </c>
      <c r="F995" t="str">
        <f>"44"</f>
        <v>44</v>
      </c>
    </row>
    <row r="996" spans="1:6">
      <c r="A996" t="str">
        <f>"E717-45"</f>
        <v>E717-45</v>
      </c>
      <c r="B996" t="str">
        <f t="shared" si="85"/>
        <v>VIA DEI PLATANI  20A-</v>
      </c>
      <c r="C996" t="str">
        <f t="shared" si="86"/>
        <v>GED</v>
      </c>
      <c r="D996">
        <v>33</v>
      </c>
      <c r="E996" t="str">
        <f t="shared" si="87"/>
        <v>619</v>
      </c>
      <c r="F996" t="str">
        <f>"45"</f>
        <v>45</v>
      </c>
    </row>
    <row r="997" spans="1:6">
      <c r="A997" t="str">
        <f>"E717-46"</f>
        <v>E717-46</v>
      </c>
      <c r="B997" t="str">
        <f t="shared" si="85"/>
        <v>VIA DEI PLATANI  20A-</v>
      </c>
      <c r="C997" t="str">
        <f t="shared" si="86"/>
        <v>GED</v>
      </c>
      <c r="D997">
        <v>33</v>
      </c>
      <c r="E997" t="str">
        <f t="shared" si="87"/>
        <v>619</v>
      </c>
      <c r="F997" t="str">
        <f>"46"</f>
        <v>46</v>
      </c>
    </row>
    <row r="998" spans="1:6">
      <c r="A998" t="str">
        <f>"E717-47"</f>
        <v>E717-47</v>
      </c>
      <c r="B998" t="str">
        <f t="shared" si="85"/>
        <v>VIA DEI PLATANI  20A-</v>
      </c>
      <c r="C998" t="str">
        <f t="shared" si="86"/>
        <v>GED</v>
      </c>
      <c r="D998">
        <v>33</v>
      </c>
      <c r="E998" t="str">
        <f t="shared" si="87"/>
        <v>619</v>
      </c>
      <c r="F998" t="str">
        <f>"47"</f>
        <v>47</v>
      </c>
    </row>
    <row r="999" spans="1:6">
      <c r="A999" t="str">
        <f>"E717-48"</f>
        <v>E717-48</v>
      </c>
      <c r="B999" t="str">
        <f t="shared" si="85"/>
        <v>VIA DEI PLATANI  20A-</v>
      </c>
      <c r="C999" t="str">
        <f t="shared" si="86"/>
        <v>GED</v>
      </c>
      <c r="D999">
        <v>33</v>
      </c>
      <c r="E999" t="str">
        <f t="shared" si="87"/>
        <v>619</v>
      </c>
      <c r="F999" t="str">
        <f>"48"</f>
        <v>48</v>
      </c>
    </row>
    <row r="1000" spans="1:6">
      <c r="A1000" t="str">
        <f>"E717-49"</f>
        <v>E717-49</v>
      </c>
      <c r="B1000" t="str">
        <f>"VIA DEI PLATANI  76R-"</f>
        <v>VIA DEI PLATANI  76R-</v>
      </c>
      <c r="C1000" t="str">
        <f t="shared" si="86"/>
        <v>GED</v>
      </c>
      <c r="D1000">
        <v>33</v>
      </c>
      <c r="E1000" t="str">
        <f t="shared" si="87"/>
        <v>619</v>
      </c>
      <c r="F1000" t="str">
        <f>"50"</f>
        <v>50</v>
      </c>
    </row>
    <row r="1001" spans="1:6">
      <c r="A1001" t="str">
        <f>"E718-2"</f>
        <v>E718-2</v>
      </c>
      <c r="B1001" t="str">
        <f>"VIA DEL FOSSATO  1-"</f>
        <v>VIA DEL FOSSATO  1-</v>
      </c>
      <c r="C1001" t="str">
        <f>"STA"</f>
        <v>STA</v>
      </c>
      <c r="D1001">
        <v>32</v>
      </c>
      <c r="E1001" t="str">
        <f>"290"</f>
        <v>290</v>
      </c>
      <c r="F1001" t="str">
        <f>"2"</f>
        <v>2</v>
      </c>
    </row>
    <row r="1002" spans="1:6">
      <c r="A1002" t="str">
        <f>"E718-3"</f>
        <v>E718-3</v>
      </c>
      <c r="B1002" t="str">
        <f>"VIA DEL FOSSATO  1-"</f>
        <v>VIA DEL FOSSATO  1-</v>
      </c>
      <c r="C1002" t="str">
        <f>"1"</f>
        <v>1</v>
      </c>
      <c r="D1002">
        <v>19</v>
      </c>
      <c r="E1002" t="str">
        <f>"290"</f>
        <v>290</v>
      </c>
      <c r="F1002" t="str">
        <f>"0000"</f>
        <v>0000</v>
      </c>
    </row>
    <row r="1003" spans="1:6">
      <c r="A1003" t="str">
        <f>"E719-8"</f>
        <v>E719-8</v>
      </c>
      <c r="B1003" t="str">
        <f>"VIA FRANCESCO MONTEBRUNO  1-"</f>
        <v>VIA FRANCESCO MONTEBRUNO  1-</v>
      </c>
      <c r="C1003" t="str">
        <f>"GED"</f>
        <v>GED</v>
      </c>
      <c r="D1003">
        <v>33</v>
      </c>
      <c r="E1003" t="str">
        <f>"225"</f>
        <v>225</v>
      </c>
      <c r="F1003" t="str">
        <f>"20"</f>
        <v>20</v>
      </c>
    </row>
    <row r="1004" spans="1:6">
      <c r="A1004" t="str">
        <f>"E721-1"</f>
        <v>E721-1</v>
      </c>
      <c r="B1004" t="str">
        <f>"PIAZZALE PAUL VALERY  5-"</f>
        <v>PIAZZALE PAUL VALERY  5-</v>
      </c>
      <c r="C1004" t="str">
        <f>"GED"</f>
        <v>GED</v>
      </c>
      <c r="D1004">
        <v>34</v>
      </c>
      <c r="E1004" t="str">
        <f>"52"</f>
        <v>52</v>
      </c>
      <c r="F1004" t="str">
        <f t="shared" ref="F1004:F1012" si="88">"0000"</f>
        <v>0000</v>
      </c>
    </row>
    <row r="1005" spans="1:6">
      <c r="C1005" t="str">
        <f>"GED"</f>
        <v>GED</v>
      </c>
      <c r="D1005">
        <v>34</v>
      </c>
      <c r="E1005" t="str">
        <f>"53"</f>
        <v>53</v>
      </c>
      <c r="F1005" t="str">
        <f t="shared" si="88"/>
        <v>0000</v>
      </c>
    </row>
    <row r="1006" spans="1:6">
      <c r="A1006" t="str">
        <f>"E721-2"</f>
        <v>E721-2</v>
      </c>
      <c r="B1006" t="str">
        <f>"PIAZZALE PAUL VALERY  5-"</f>
        <v>PIAZZALE PAUL VALERY  5-</v>
      </c>
      <c r="C1006" t="str">
        <f>"1"</f>
        <v>1</v>
      </c>
      <c r="D1006">
        <v>21</v>
      </c>
      <c r="E1006" t="str">
        <f>"51"</f>
        <v>51</v>
      </c>
      <c r="F1006" t="str">
        <f t="shared" si="88"/>
        <v>0000</v>
      </c>
    </row>
    <row r="1007" spans="1:6">
      <c r="C1007" t="str">
        <f>"1"</f>
        <v>1</v>
      </c>
      <c r="D1007">
        <v>21</v>
      </c>
      <c r="E1007" t="str">
        <f>"856"</f>
        <v>856</v>
      </c>
      <c r="F1007" t="str">
        <f t="shared" si="88"/>
        <v>0000</v>
      </c>
    </row>
    <row r="1008" spans="1:6">
      <c r="C1008" t="str">
        <f>"1"</f>
        <v>1</v>
      </c>
      <c r="D1008">
        <v>21</v>
      </c>
      <c r="E1008" t="str">
        <f>"52"</f>
        <v>52</v>
      </c>
      <c r="F1008" t="str">
        <f t="shared" si="88"/>
        <v>0000</v>
      </c>
    </row>
    <row r="1009" spans="1:6">
      <c r="C1009" t="str">
        <f>"1"</f>
        <v>1</v>
      </c>
      <c r="D1009">
        <v>21</v>
      </c>
      <c r="E1009" t="str">
        <f>"54"</f>
        <v>54</v>
      </c>
      <c r="F1009" t="str">
        <f t="shared" si="88"/>
        <v>0000</v>
      </c>
    </row>
    <row r="1010" spans="1:6">
      <c r="A1010" t="str">
        <f>"E722-1"</f>
        <v>E722-1</v>
      </c>
      <c r="B1010" t="str">
        <f>"PIAZZALE PAUL VALERY  9-"</f>
        <v>PIAZZALE PAUL VALERY  9-</v>
      </c>
      <c r="C1010" t="str">
        <f>"GED"</f>
        <v>GED</v>
      </c>
      <c r="D1010">
        <v>34</v>
      </c>
      <c r="E1010" t="str">
        <f>"1164"</f>
        <v>1164</v>
      </c>
      <c r="F1010" t="str">
        <f t="shared" si="88"/>
        <v>0000</v>
      </c>
    </row>
    <row r="1011" spans="1:6">
      <c r="A1011" t="str">
        <f>"E723-1"</f>
        <v>E723-1</v>
      </c>
      <c r="B1011" t="str">
        <f>"PIAZZALE PARENZO  51R-"</f>
        <v>PIAZZALE PARENZO  51R-</v>
      </c>
      <c r="C1011" t="str">
        <f>"GED"</f>
        <v>GED</v>
      </c>
      <c r="D1011">
        <v>33</v>
      </c>
      <c r="E1011" t="str">
        <f>"18"</f>
        <v>18</v>
      </c>
      <c r="F1011" t="str">
        <f t="shared" si="88"/>
        <v>0000</v>
      </c>
    </row>
    <row r="1012" spans="1:6">
      <c r="A1012" t="str">
        <f>"E724-1"</f>
        <v>E724-1</v>
      </c>
      <c r="B1012" t="str">
        <f>"CORSO ALES DE STEFANIS  56-"</f>
        <v>CORSO ALES DE STEFANIS  56-</v>
      </c>
      <c r="C1012" t="str">
        <f>"GED"</f>
        <v>GED</v>
      </c>
      <c r="D1012">
        <v>33</v>
      </c>
      <c r="E1012" t="str">
        <f>"1121"</f>
        <v>1121</v>
      </c>
      <c r="F1012" t="str">
        <f t="shared" si="88"/>
        <v>0000</v>
      </c>
    </row>
    <row r="1013" spans="1:6">
      <c r="A1013" t="str">
        <f>"E758-1"</f>
        <v>E758-1</v>
      </c>
      <c r="B1013" t="str">
        <f>"VIA ANTONIO BURLANDO  48-"</f>
        <v>VIA ANTONIO BURLANDO  48-</v>
      </c>
      <c r="C1013" t="str">
        <f>"STA"</f>
        <v>STA</v>
      </c>
      <c r="D1013">
        <v>32</v>
      </c>
      <c r="E1013" t="str">
        <f>"167"</f>
        <v>167</v>
      </c>
      <c r="F1013" t="str">
        <f>"1"</f>
        <v>1</v>
      </c>
    </row>
    <row r="1014" spans="1:6">
      <c r="A1014" t="str">
        <f>"E758-2"</f>
        <v>E758-2</v>
      </c>
      <c r="B1014" t="str">
        <f>"VIA ANTONIO BURLANDO  48-"</f>
        <v>VIA ANTONIO BURLANDO  48-</v>
      </c>
      <c r="C1014" t="str">
        <f>"STA"</f>
        <v>STA</v>
      </c>
      <c r="D1014">
        <v>32</v>
      </c>
      <c r="E1014" t="str">
        <f>"167"</f>
        <v>167</v>
      </c>
      <c r="F1014" t="str">
        <f>"2"</f>
        <v>2</v>
      </c>
    </row>
    <row r="1015" spans="1:6">
      <c r="A1015" t="str">
        <f>"E759-2"</f>
        <v>E759-2</v>
      </c>
      <c r="B1015" t="str">
        <f>"CORSO ALES DE STEFANIS  239R-"</f>
        <v>CORSO ALES DE STEFANIS  239R-</v>
      </c>
      <c r="C1015" t="str">
        <f>"1"</f>
        <v>1</v>
      </c>
      <c r="D1015">
        <v>20</v>
      </c>
      <c r="E1015" t="str">
        <f>"A"</f>
        <v>A</v>
      </c>
      <c r="F1015" t="str">
        <f t="shared" ref="F1015:F1023" si="89">"0000"</f>
        <v>0000</v>
      </c>
    </row>
    <row r="1016" spans="1:6">
      <c r="A1016" t="str">
        <f>"E759-3"</f>
        <v>E759-3</v>
      </c>
      <c r="B1016" t="str">
        <f>"CORSO ALES DE STEFANIS  63-"</f>
        <v>CORSO ALES DE STEFANIS  63-</v>
      </c>
      <c r="C1016" t="str">
        <f>"1"</f>
        <v>1</v>
      </c>
      <c r="D1016">
        <v>20</v>
      </c>
      <c r="E1016" t="str">
        <f>"A"</f>
        <v>A</v>
      </c>
      <c r="F1016" t="str">
        <f t="shared" si="89"/>
        <v>0000</v>
      </c>
    </row>
    <row r="1017" spans="1:6">
      <c r="A1017" t="str">
        <f>"E791-1"</f>
        <v>E791-1</v>
      </c>
      <c r="B1017" t="str">
        <f>"PIAZZALE G B RESASCO  0-"</f>
        <v>PIAZZALE G B RESASCO  0-</v>
      </c>
      <c r="C1017" t="str">
        <f t="shared" ref="C1017:C1026" si="90">"STA"</f>
        <v>STA</v>
      </c>
      <c r="D1017">
        <v>25</v>
      </c>
      <c r="E1017" t="str">
        <f>"B"</f>
        <v>B</v>
      </c>
      <c r="F1017" t="str">
        <f t="shared" si="89"/>
        <v>0000</v>
      </c>
    </row>
    <row r="1018" spans="1:6">
      <c r="A1018" t="str">
        <f>"E791-2"</f>
        <v>E791-2</v>
      </c>
      <c r="B1018" t="str">
        <f>"PIAZZALE G B RESASCO  0-"</f>
        <v>PIAZZALE G B RESASCO  0-</v>
      </c>
      <c r="C1018" t="str">
        <f t="shared" si="90"/>
        <v>STA</v>
      </c>
      <c r="D1018">
        <v>25</v>
      </c>
      <c r="E1018" t="str">
        <f>"390"</f>
        <v>390</v>
      </c>
      <c r="F1018" t="str">
        <f t="shared" si="89"/>
        <v>0000</v>
      </c>
    </row>
    <row r="1019" spans="1:6">
      <c r="C1019" t="str">
        <f t="shared" si="90"/>
        <v>STA</v>
      </c>
      <c r="D1019">
        <v>25</v>
      </c>
      <c r="E1019" t="str">
        <f>"392"</f>
        <v>392</v>
      </c>
      <c r="F1019" t="str">
        <f t="shared" si="89"/>
        <v>0000</v>
      </c>
    </row>
    <row r="1020" spans="1:6">
      <c r="C1020" t="str">
        <f t="shared" si="90"/>
        <v>STA</v>
      </c>
      <c r="D1020">
        <v>25</v>
      </c>
      <c r="E1020" t="str">
        <f>"394"</f>
        <v>394</v>
      </c>
      <c r="F1020" t="str">
        <f t="shared" si="89"/>
        <v>0000</v>
      </c>
    </row>
    <row r="1021" spans="1:6">
      <c r="C1021" t="str">
        <f t="shared" si="90"/>
        <v>STA</v>
      </c>
      <c r="D1021">
        <v>25</v>
      </c>
      <c r="E1021" t="str">
        <f>"C"</f>
        <v>C</v>
      </c>
      <c r="F1021" t="str">
        <f t="shared" si="89"/>
        <v>0000</v>
      </c>
    </row>
    <row r="1022" spans="1:6">
      <c r="C1022" t="str">
        <f t="shared" si="90"/>
        <v>STA</v>
      </c>
      <c r="D1022">
        <v>25</v>
      </c>
      <c r="E1022" t="str">
        <f>"393"</f>
        <v>393</v>
      </c>
      <c r="F1022" t="str">
        <f t="shared" si="89"/>
        <v>0000</v>
      </c>
    </row>
    <row r="1023" spans="1:6">
      <c r="C1023" t="str">
        <f t="shared" si="90"/>
        <v>STA</v>
      </c>
      <c r="D1023">
        <v>25</v>
      </c>
      <c r="E1023" t="str">
        <f>"391"</f>
        <v>391</v>
      </c>
      <c r="F1023" t="str">
        <f t="shared" si="89"/>
        <v>0000</v>
      </c>
    </row>
    <row r="1024" spans="1:6">
      <c r="A1024" t="str">
        <f>"E793-1"</f>
        <v>E793-1</v>
      </c>
      <c r="B1024" t="str">
        <f>"VIA CA DE MUSSI  21-"</f>
        <v>VIA CA DE MUSSI  21-</v>
      </c>
      <c r="C1024" t="str">
        <f t="shared" si="90"/>
        <v>STA</v>
      </c>
      <c r="D1024">
        <v>25</v>
      </c>
      <c r="E1024" t="str">
        <f>"86"</f>
        <v>86</v>
      </c>
      <c r="F1024" t="str">
        <f>"1"</f>
        <v>1</v>
      </c>
    </row>
    <row r="1025" spans="1:6">
      <c r="A1025" t="str">
        <f>"E793-2"</f>
        <v>E793-2</v>
      </c>
      <c r="B1025" t="str">
        <f>"VIA CA DE MUSSI  23-"</f>
        <v>VIA CA DE MUSSI  23-</v>
      </c>
      <c r="C1025" t="str">
        <f t="shared" si="90"/>
        <v>STA</v>
      </c>
      <c r="D1025">
        <v>25</v>
      </c>
      <c r="E1025" t="str">
        <f>"86"</f>
        <v>86</v>
      </c>
      <c r="F1025" t="str">
        <f>"2"</f>
        <v>2</v>
      </c>
    </row>
    <row r="1026" spans="1:6">
      <c r="A1026" t="str">
        <f>"E793-3"</f>
        <v>E793-3</v>
      </c>
      <c r="B1026" t="str">
        <f>"VIA CA DE MUSSI  25-"</f>
        <v>VIA CA DE MUSSI  25-</v>
      </c>
      <c r="C1026" t="str">
        <f t="shared" si="90"/>
        <v>STA</v>
      </c>
      <c r="D1026">
        <v>25</v>
      </c>
      <c r="E1026" t="str">
        <f>"86"</f>
        <v>86</v>
      </c>
      <c r="F1026" t="str">
        <f>"3"</f>
        <v>3</v>
      </c>
    </row>
    <row r="1027" spans="1:6">
      <c r="A1027" t="str">
        <f>"E793-4"</f>
        <v>E793-4</v>
      </c>
      <c r="B1027" t="str">
        <f>"VIA CA DE MUSSI  27-"</f>
        <v>VIA CA DE MUSSI  27-</v>
      </c>
      <c r="C1027" t="str">
        <f>"1"</f>
        <v>1</v>
      </c>
      <c r="D1027">
        <v>8</v>
      </c>
      <c r="E1027" t="str">
        <f>"86"</f>
        <v>86</v>
      </c>
      <c r="F1027" t="str">
        <f t="shared" ref="F1027:F1035" si="91">"0000"</f>
        <v>0000</v>
      </c>
    </row>
    <row r="1028" spans="1:6">
      <c r="A1028" t="str">
        <f>"E794-1"</f>
        <v>E794-1</v>
      </c>
      <c r="B1028" t="str">
        <f>"VIA CA DE MUSSI  19-"</f>
        <v>VIA CA DE MUSSI  19-</v>
      </c>
      <c r="C1028" t="str">
        <f t="shared" ref="C1028:C1034" si="92">"STA"</f>
        <v>STA</v>
      </c>
      <c r="D1028">
        <v>25</v>
      </c>
      <c r="E1028" t="str">
        <f>"87"</f>
        <v>87</v>
      </c>
      <c r="F1028" t="str">
        <f t="shared" si="91"/>
        <v>0000</v>
      </c>
    </row>
    <row r="1029" spans="1:6">
      <c r="A1029" t="str">
        <f>"E795-1"</f>
        <v>E795-1</v>
      </c>
      <c r="B1029" t="str">
        <f>"SALITA DEL MONTINO  19-"</f>
        <v>SALITA DEL MONTINO  19-</v>
      </c>
      <c r="C1029" t="str">
        <f t="shared" si="92"/>
        <v>STA</v>
      </c>
      <c r="D1029">
        <v>25</v>
      </c>
      <c r="E1029" t="str">
        <f>"195"</f>
        <v>195</v>
      </c>
      <c r="F1029" t="str">
        <f t="shared" si="91"/>
        <v>0000</v>
      </c>
    </row>
    <row r="1030" spans="1:6">
      <c r="A1030" t="str">
        <f>"E798-1"</f>
        <v>E798-1</v>
      </c>
      <c r="B1030" t="str">
        <f>"PIAZZALE G B RESASCO  45-"</f>
        <v>PIAZZALE G B RESASCO  45-</v>
      </c>
      <c r="C1030" t="str">
        <f t="shared" si="92"/>
        <v>STA</v>
      </c>
      <c r="D1030">
        <v>25</v>
      </c>
      <c r="E1030" t="str">
        <f>"388"</f>
        <v>388</v>
      </c>
      <c r="F1030" t="str">
        <f t="shared" si="91"/>
        <v>0000</v>
      </c>
    </row>
    <row r="1031" spans="1:6">
      <c r="A1031" t="str">
        <f>"E799-1"</f>
        <v>E799-1</v>
      </c>
      <c r="B1031" t="str">
        <f>"PIAZZALE G B RESASCO  42-"</f>
        <v>PIAZZALE G B RESASCO  42-</v>
      </c>
      <c r="C1031" t="str">
        <f t="shared" si="92"/>
        <v>STA</v>
      </c>
      <c r="D1031">
        <v>25</v>
      </c>
      <c r="E1031" t="str">
        <f>"397"</f>
        <v>397</v>
      </c>
      <c r="F1031" t="str">
        <f t="shared" si="91"/>
        <v>0000</v>
      </c>
    </row>
    <row r="1032" spans="1:6">
      <c r="A1032" t="str">
        <f>"E800-1"</f>
        <v>E800-1</v>
      </c>
      <c r="B1032" t="str">
        <f>"PIAZZALE G B RESASCO  43-"</f>
        <v>PIAZZALE G B RESASCO  43-</v>
      </c>
      <c r="C1032" t="str">
        <f t="shared" si="92"/>
        <v>STA</v>
      </c>
      <c r="D1032">
        <v>25</v>
      </c>
      <c r="E1032" t="str">
        <f>"387"</f>
        <v>387</v>
      </c>
      <c r="F1032" t="str">
        <f t="shared" si="91"/>
        <v>0000</v>
      </c>
    </row>
    <row r="1033" spans="1:6">
      <c r="A1033" t="str">
        <f>"E801-1"</f>
        <v>E801-1</v>
      </c>
      <c r="B1033" t="str">
        <f>"PIAZZALE G B RESASCO  44-"</f>
        <v>PIAZZALE G B RESASCO  44-</v>
      </c>
      <c r="C1033" t="str">
        <f t="shared" si="92"/>
        <v>STA</v>
      </c>
      <c r="D1033">
        <v>25</v>
      </c>
      <c r="E1033" t="str">
        <f>"398"</f>
        <v>398</v>
      </c>
      <c r="F1033" t="str">
        <f t="shared" si="91"/>
        <v>0000</v>
      </c>
    </row>
    <row r="1034" spans="1:6">
      <c r="A1034" t="str">
        <f>"E802-1"</f>
        <v>E802-1</v>
      </c>
      <c r="B1034" t="str">
        <f>"PIAZZALE G B RESASCO  41-"</f>
        <v>PIAZZALE G B RESASCO  41-</v>
      </c>
      <c r="C1034" t="str">
        <f t="shared" si="92"/>
        <v>STA</v>
      </c>
      <c r="D1034">
        <v>25</v>
      </c>
      <c r="E1034" t="str">
        <f>"288"</f>
        <v>288</v>
      </c>
      <c r="F1034" t="str">
        <f t="shared" si="91"/>
        <v>0000</v>
      </c>
    </row>
    <row r="1035" spans="1:6">
      <c r="A1035" t="str">
        <f>"E879-1"</f>
        <v>E879-1</v>
      </c>
      <c r="B1035" t="str">
        <f>"VIA DELLE GINESTRE  18-"</f>
        <v>VIA DELLE GINESTRE  18-</v>
      </c>
      <c r="C1035" t="str">
        <f>"1"</f>
        <v>1</v>
      </c>
      <c r="D1035">
        <v>19</v>
      </c>
      <c r="E1035" t="str">
        <f>"943"</f>
        <v>943</v>
      </c>
      <c r="F1035" t="str">
        <f t="shared" si="91"/>
        <v>0000</v>
      </c>
    </row>
    <row r="1036" spans="1:6">
      <c r="A1036" t="str">
        <f>"E880-1"</f>
        <v>E880-1</v>
      </c>
      <c r="B1036" t="str">
        <f>"VIA DI SAN PANTALEO  2-"</f>
        <v>VIA DI SAN PANTALEO  2-</v>
      </c>
      <c r="C1036" t="str">
        <f>"GEC"</f>
        <v>GEC</v>
      </c>
      <c r="D1036">
        <v>36</v>
      </c>
      <c r="E1036" t="str">
        <f>"683"</f>
        <v>683</v>
      </c>
      <c r="F1036" t="str">
        <f>"1"</f>
        <v>1</v>
      </c>
    </row>
    <row r="1037" spans="1:6">
      <c r="C1037" t="str">
        <f>"GEC"</f>
        <v>GEC</v>
      </c>
      <c r="D1037">
        <v>36</v>
      </c>
      <c r="E1037" t="str">
        <f>"688"</f>
        <v>688</v>
      </c>
      <c r="F1037" t="str">
        <f>"1"</f>
        <v>1</v>
      </c>
    </row>
    <row r="1038" spans="1:6">
      <c r="A1038" t="str">
        <f>"E897-3"</f>
        <v>E897-3</v>
      </c>
      <c r="B1038" t="str">
        <f>"LUNGOBISAGNO ISTRIA  15R-"</f>
        <v>LUNGOBISAGNO ISTRIA  15R-</v>
      </c>
      <c r="C1038" t="str">
        <f>"STA"</f>
        <v>STA</v>
      </c>
      <c r="D1038">
        <v>28</v>
      </c>
      <c r="E1038" t="str">
        <f>"218"</f>
        <v>218</v>
      </c>
      <c r="F1038" t="str">
        <f>"1"</f>
        <v>1</v>
      </c>
    </row>
    <row r="1039" spans="1:6">
      <c r="A1039" t="str">
        <f>"E898-1"</f>
        <v>E898-1</v>
      </c>
      <c r="B1039" t="str">
        <f>"VIA DI PINO  35-"</f>
        <v>VIA DI PINO  35-</v>
      </c>
      <c r="C1039" t="str">
        <f>"MOL"</f>
        <v>MOL</v>
      </c>
      <c r="D1039">
        <v>9</v>
      </c>
      <c r="E1039" t="str">
        <f>"938"</f>
        <v>938</v>
      </c>
      <c r="F1039" t="str">
        <f>"1"</f>
        <v>1</v>
      </c>
    </row>
    <row r="1040" spans="1:6">
      <c r="A1040" t="str">
        <f>"E898-2"</f>
        <v>E898-2</v>
      </c>
      <c r="B1040" t="str">
        <f>"VIA DI PINO  35-"</f>
        <v>VIA DI PINO  35-</v>
      </c>
      <c r="C1040" t="str">
        <f>"MOL"</f>
        <v>MOL</v>
      </c>
      <c r="D1040">
        <v>9</v>
      </c>
      <c r="E1040" t="str">
        <f>"171"</f>
        <v>171</v>
      </c>
      <c r="F1040" t="str">
        <f>"0000"</f>
        <v>0000</v>
      </c>
    </row>
    <row r="1041" spans="1:6">
      <c r="C1041" t="str">
        <f>"MOL"</f>
        <v>MOL</v>
      </c>
      <c r="D1041">
        <v>9</v>
      </c>
      <c r="E1041" t="str">
        <f>"938"</f>
        <v>938</v>
      </c>
      <c r="F1041" t="str">
        <f>"2"</f>
        <v>2</v>
      </c>
    </row>
    <row r="1042" spans="1:6">
      <c r="A1042" t="str">
        <f>"E898-3"</f>
        <v>E898-3</v>
      </c>
      <c r="B1042" t="str">
        <f>"VIA GEIRATO VICINO AL 18-"</f>
        <v>VIA GEIRATO VICINO AL 18-</v>
      </c>
      <c r="C1042" t="str">
        <f>"MOL"</f>
        <v>MOL</v>
      </c>
      <c r="D1042">
        <v>9</v>
      </c>
      <c r="E1042" t="str">
        <f>"1118"</f>
        <v>1118</v>
      </c>
      <c r="F1042" t="str">
        <f>"0000"</f>
        <v>0000</v>
      </c>
    </row>
    <row r="1043" spans="1:6">
      <c r="A1043" t="str">
        <f>"E916-1"</f>
        <v>E916-1</v>
      </c>
      <c r="B1043" t="str">
        <f>"VIA MONTE DI PINO VICINO AL 1-"</f>
        <v>VIA MONTE DI PINO VICINO AL 1-</v>
      </c>
      <c r="C1043" t="str">
        <f>"MOL"</f>
        <v>MOL</v>
      </c>
      <c r="D1043">
        <v>1</v>
      </c>
      <c r="E1043" t="str">
        <f>"394"</f>
        <v>394</v>
      </c>
      <c r="F1043" t="str">
        <f>"0000"</f>
        <v>0000</v>
      </c>
    </row>
    <row r="1044" spans="1:6">
      <c r="A1044" t="str">
        <f>"E918-2"</f>
        <v>E918-2</v>
      </c>
      <c r="B1044" t="str">
        <f>"VIA DELLE GAVETTE  25-"</f>
        <v>VIA DELLE GAVETTE  25-</v>
      </c>
      <c r="C1044" t="str">
        <f>"STA"</f>
        <v>STA</v>
      </c>
      <c r="D1044">
        <v>24</v>
      </c>
      <c r="E1044" t="str">
        <f>"250"</f>
        <v>250</v>
      </c>
      <c r="F1044" t="str">
        <f>"3"</f>
        <v>3</v>
      </c>
    </row>
    <row r="1045" spans="1:6">
      <c r="A1045" t="str">
        <f>"E925-1"</f>
        <v>E925-1</v>
      </c>
      <c r="B1045" t="str">
        <f>"VIA RUBALDO MERELLO  50-"</f>
        <v>VIA RUBALDO MERELLO  50-</v>
      </c>
      <c r="C1045" t="str">
        <f>"BAV"</f>
        <v>BAV</v>
      </c>
      <c r="D1045">
        <v>40</v>
      </c>
      <c r="E1045" t="str">
        <f>"156"</f>
        <v>156</v>
      </c>
      <c r="F1045" t="str">
        <f>"105"</f>
        <v>105</v>
      </c>
    </row>
    <row r="1046" spans="1:6">
      <c r="C1046" t="str">
        <f>"BAV"</f>
        <v>BAV</v>
      </c>
      <c r="D1046">
        <v>40</v>
      </c>
      <c r="E1046" t="str">
        <f>"156"</f>
        <v>156</v>
      </c>
      <c r="F1046" t="str">
        <f>"174"</f>
        <v>174</v>
      </c>
    </row>
    <row r="1047" spans="1:6">
      <c r="A1047" t="str">
        <f>"E1115-1"</f>
        <v>E1115-1</v>
      </c>
      <c r="B1047" t="str">
        <f>"LUNGOBISAGNO ISTRIA VICINO AL 35-"</f>
        <v>LUNGOBISAGNO ISTRIA VICINO AL 35-</v>
      </c>
      <c r="C1047" t="str">
        <f t="shared" ref="C1047:C1052" si="93">"1"</f>
        <v>1</v>
      </c>
      <c r="D1047">
        <v>10</v>
      </c>
      <c r="E1047" t="str">
        <f>"115"</f>
        <v>115</v>
      </c>
      <c r="F1047" t="str">
        <f t="shared" ref="F1047:F1056" si="94">"0000"</f>
        <v>0000</v>
      </c>
    </row>
    <row r="1048" spans="1:6">
      <c r="C1048" t="str">
        <f t="shared" si="93"/>
        <v>1</v>
      </c>
      <c r="D1048">
        <v>10</v>
      </c>
      <c r="E1048" t="str">
        <f>"120"</f>
        <v>120</v>
      </c>
      <c r="F1048" t="str">
        <f t="shared" si="94"/>
        <v>0000</v>
      </c>
    </row>
    <row r="1049" spans="1:6">
      <c r="C1049" t="str">
        <f t="shared" si="93"/>
        <v>1</v>
      </c>
      <c r="D1049">
        <v>10</v>
      </c>
      <c r="E1049" t="str">
        <f>"119"</f>
        <v>119</v>
      </c>
      <c r="F1049" t="str">
        <f t="shared" si="94"/>
        <v>0000</v>
      </c>
    </row>
    <row r="1050" spans="1:6">
      <c r="C1050" t="str">
        <f t="shared" si="93"/>
        <v>1</v>
      </c>
      <c r="D1050">
        <v>10</v>
      </c>
      <c r="E1050" t="str">
        <f>"116"</f>
        <v>116</v>
      </c>
      <c r="F1050" t="str">
        <f t="shared" si="94"/>
        <v>0000</v>
      </c>
    </row>
    <row r="1051" spans="1:6">
      <c r="C1051" t="str">
        <f t="shared" si="93"/>
        <v>1</v>
      </c>
      <c r="D1051">
        <v>10</v>
      </c>
      <c r="E1051" t="str">
        <f>"118"</f>
        <v>118</v>
      </c>
      <c r="F1051" t="str">
        <f t="shared" si="94"/>
        <v>0000</v>
      </c>
    </row>
    <row r="1052" spans="1:6">
      <c r="C1052" t="str">
        <f t="shared" si="93"/>
        <v>1</v>
      </c>
      <c r="D1052">
        <v>10</v>
      </c>
      <c r="E1052" t="str">
        <f>"117"</f>
        <v>117</v>
      </c>
      <c r="F1052" t="str">
        <f t="shared" si="94"/>
        <v>0000</v>
      </c>
    </row>
    <row r="1053" spans="1:6">
      <c r="A1053" t="str">
        <f>"E1173-1"</f>
        <v>E1173-1</v>
      </c>
      <c r="B1053" t="str">
        <f>"VIA SAN FELICE VICINO AL 19-"</f>
        <v>VIA SAN FELICE VICINO AL 19-</v>
      </c>
      <c r="C1053" t="str">
        <f>"5"</f>
        <v>5</v>
      </c>
      <c r="D1053">
        <v>9</v>
      </c>
      <c r="E1053" t="str">
        <f>"1585"</f>
        <v>1585</v>
      </c>
      <c r="F1053" t="str">
        <f t="shared" si="94"/>
        <v>0000</v>
      </c>
    </row>
    <row r="1054" spans="1:6">
      <c r="A1054" t="str">
        <f>"E1585-1"</f>
        <v>E1585-1</v>
      </c>
      <c r="B1054" t="str">
        <f>"VIA ANTONIO BURLANDO  25-"</f>
        <v>VIA ANTONIO BURLANDO  25-</v>
      </c>
      <c r="C1054" t="str">
        <f>"STA"</f>
        <v>STA</v>
      </c>
      <c r="D1054">
        <v>32</v>
      </c>
      <c r="E1054" t="str">
        <f>"184"</f>
        <v>184</v>
      </c>
      <c r="F1054" t="str">
        <f t="shared" si="94"/>
        <v>0000</v>
      </c>
    </row>
    <row r="1055" spans="1:6">
      <c r="A1055" t="str">
        <f>"E1854-1"</f>
        <v>E1854-1</v>
      </c>
      <c r="B1055" t="str">
        <f>"FOSSATO DI CICALA  22R-"</f>
        <v>FOSSATO DI CICALA  22R-</v>
      </c>
      <c r="C1055" t="str">
        <f>"STA"</f>
        <v>STA</v>
      </c>
      <c r="D1055">
        <v>21</v>
      </c>
      <c r="E1055" t="str">
        <f>"320"</f>
        <v>320</v>
      </c>
      <c r="F1055" t="str">
        <f t="shared" si="94"/>
        <v>0000</v>
      </c>
    </row>
    <row r="1056" spans="1:6">
      <c r="A1056" t="str">
        <f>"E1854-2"</f>
        <v>E1854-2</v>
      </c>
      <c r="B1056" t="str">
        <f>"FOSSATO DI CICALA  22R-"</f>
        <v>FOSSATO DI CICALA  22R-</v>
      </c>
      <c r="C1056" t="str">
        <f>"STA"</f>
        <v>STA</v>
      </c>
      <c r="D1056">
        <v>21</v>
      </c>
      <c r="E1056" t="str">
        <f>"321"</f>
        <v>321</v>
      </c>
      <c r="F1056" t="str">
        <f t="shared" si="94"/>
        <v>0000</v>
      </c>
    </row>
    <row r="1057" spans="1:6">
      <c r="A1057" t="str">
        <f>"E1871-1"</f>
        <v>E1871-1</v>
      </c>
      <c r="B1057" t="str">
        <f>"VIA CARSO  2-"</f>
        <v>VIA CARSO  2-</v>
      </c>
      <c r="C1057" t="str">
        <f>"GEC"</f>
        <v>GEC</v>
      </c>
      <c r="D1057">
        <v>36</v>
      </c>
      <c r="E1057" t="str">
        <f>"110"</f>
        <v>110</v>
      </c>
      <c r="F1057" t="str">
        <f>"13"</f>
        <v>13</v>
      </c>
    </row>
    <row r="1058" spans="1:6">
      <c r="A1058" t="str">
        <f>"E1874-1"</f>
        <v>E1874-1</v>
      </c>
      <c r="B1058" t="str">
        <f>"VIA ENRICO BUSCAGLIA VICINO AL 2-"</f>
        <v>VIA ENRICO BUSCAGLIA VICINO AL 2-</v>
      </c>
      <c r="C1058" t="str">
        <f>"STR"</f>
        <v>STR</v>
      </c>
      <c r="D1058">
        <v>31</v>
      </c>
      <c r="E1058" t="str">
        <f>"934"</f>
        <v>934</v>
      </c>
      <c r="F1058" t="str">
        <f>"0000"</f>
        <v>0000</v>
      </c>
    </row>
    <row r="1059" spans="1:6">
      <c r="A1059" t="str">
        <f>"E1881-1"</f>
        <v>E1881-1</v>
      </c>
      <c r="B1059" t="str">
        <f>"PIAZZA GIULIANO SUPPINI  2-"</f>
        <v>PIAZZA GIULIANO SUPPINI  2-</v>
      </c>
      <c r="C1059" t="str">
        <f>"5"</f>
        <v>5</v>
      </c>
      <c r="D1059">
        <v>35</v>
      </c>
      <c r="E1059" t="str">
        <f>"337"</f>
        <v>337</v>
      </c>
      <c r="F1059" t="str">
        <f>"0000"</f>
        <v>0000</v>
      </c>
    </row>
    <row r="1060" spans="1:6">
      <c r="A1060" t="str">
        <f>"E1883-1"</f>
        <v>E1883-1</v>
      </c>
      <c r="B1060" t="str">
        <f>"VIA RIO TORBIDO VICINO AL 1-"</f>
        <v>VIA RIO TORBIDO VICINO AL 1-</v>
      </c>
      <c r="C1060" t="str">
        <f>"5"</f>
        <v>5</v>
      </c>
      <c r="D1060">
        <v>34</v>
      </c>
      <c r="E1060" t="str">
        <f>"382"</f>
        <v>382</v>
      </c>
      <c r="F1060" t="str">
        <f>"0000"</f>
        <v>0000</v>
      </c>
    </row>
    <row r="1061" spans="1:6">
      <c r="A1061" t="str">
        <f>"E1908-1"</f>
        <v>E1908-1</v>
      </c>
      <c r="B1061" t="str">
        <f>"VIA STRUPPA  148-"</f>
        <v>VIA STRUPPA  148-</v>
      </c>
      <c r="C1061" t="str">
        <f>"STR"</f>
        <v>STR</v>
      </c>
      <c r="D1061">
        <v>33</v>
      </c>
      <c r="E1061" t="str">
        <f>"355"</f>
        <v>355</v>
      </c>
      <c r="F1061" t="str">
        <f>"3"</f>
        <v>3</v>
      </c>
    </row>
    <row r="1062" spans="1:6">
      <c r="A1062" t="str">
        <f>"E1909-1"</f>
        <v>E1909-1</v>
      </c>
      <c r="B1062" t="str">
        <f>"VIA STRUPPA VICINO AL 150-"</f>
        <v>VIA STRUPPA VICINO AL 150-</v>
      </c>
      <c r="C1062" t="str">
        <f>"STR"</f>
        <v>STR</v>
      </c>
      <c r="D1062">
        <v>33</v>
      </c>
      <c r="E1062" t="str">
        <f>"919"</f>
        <v>919</v>
      </c>
      <c r="F1062" t="str">
        <f>"1"</f>
        <v>1</v>
      </c>
    </row>
    <row r="1063" spans="1:6">
      <c r="A1063" t="str">
        <f>"E1914-1"</f>
        <v>E1914-1</v>
      </c>
      <c r="B1063" t="str">
        <f t="shared" ref="B1063:B1069" si="95">"VIA MOGADISCIO  40-"</f>
        <v>VIA MOGADISCIO  40-</v>
      </c>
      <c r="C1063" t="str">
        <f t="shared" ref="C1063:C1070" si="96">"BAV"</f>
        <v>BAV</v>
      </c>
      <c r="D1063">
        <v>42</v>
      </c>
      <c r="E1063" t="str">
        <f t="shared" ref="E1063:E1069" si="97">"1847"</f>
        <v>1847</v>
      </c>
      <c r="F1063" t="str">
        <f>"1"</f>
        <v>1</v>
      </c>
    </row>
    <row r="1064" spans="1:6">
      <c r="A1064" t="str">
        <f>"E1914-2"</f>
        <v>E1914-2</v>
      </c>
      <c r="B1064" t="str">
        <f t="shared" si="95"/>
        <v>VIA MOGADISCIO  40-</v>
      </c>
      <c r="C1064" t="str">
        <f t="shared" si="96"/>
        <v>BAV</v>
      </c>
      <c r="D1064">
        <v>42</v>
      </c>
      <c r="E1064" t="str">
        <f t="shared" si="97"/>
        <v>1847</v>
      </c>
      <c r="F1064" t="str">
        <f>"2"</f>
        <v>2</v>
      </c>
    </row>
    <row r="1065" spans="1:6">
      <c r="A1065" t="str">
        <f>"E1914-3"</f>
        <v>E1914-3</v>
      </c>
      <c r="B1065" t="str">
        <f t="shared" si="95"/>
        <v>VIA MOGADISCIO  40-</v>
      </c>
      <c r="C1065" t="str">
        <f t="shared" si="96"/>
        <v>BAV</v>
      </c>
      <c r="D1065">
        <v>42</v>
      </c>
      <c r="E1065" t="str">
        <f t="shared" si="97"/>
        <v>1847</v>
      </c>
      <c r="F1065" t="str">
        <f>"3"</f>
        <v>3</v>
      </c>
    </row>
    <row r="1066" spans="1:6">
      <c r="A1066" t="str">
        <f>"E1914-4"</f>
        <v>E1914-4</v>
      </c>
      <c r="B1066" t="str">
        <f t="shared" si="95"/>
        <v>VIA MOGADISCIO  40-</v>
      </c>
      <c r="C1066" t="str">
        <f t="shared" si="96"/>
        <v>BAV</v>
      </c>
      <c r="D1066">
        <v>42</v>
      </c>
      <c r="E1066" t="str">
        <f t="shared" si="97"/>
        <v>1847</v>
      </c>
      <c r="F1066" t="str">
        <f>"4"</f>
        <v>4</v>
      </c>
    </row>
    <row r="1067" spans="1:6">
      <c r="A1067" t="str">
        <f>"E1914-5"</f>
        <v>E1914-5</v>
      </c>
      <c r="B1067" t="str">
        <f t="shared" si="95"/>
        <v>VIA MOGADISCIO  40-</v>
      </c>
      <c r="C1067" t="str">
        <f t="shared" si="96"/>
        <v>BAV</v>
      </c>
      <c r="D1067">
        <v>42</v>
      </c>
      <c r="E1067" t="str">
        <f t="shared" si="97"/>
        <v>1847</v>
      </c>
      <c r="F1067" t="str">
        <f>"5"</f>
        <v>5</v>
      </c>
    </row>
    <row r="1068" spans="1:6">
      <c r="A1068" t="str">
        <f>"E1914-6"</f>
        <v>E1914-6</v>
      </c>
      <c r="B1068" t="str">
        <f t="shared" si="95"/>
        <v>VIA MOGADISCIO  40-</v>
      </c>
      <c r="C1068" t="str">
        <f t="shared" si="96"/>
        <v>BAV</v>
      </c>
      <c r="D1068">
        <v>42</v>
      </c>
      <c r="E1068" t="str">
        <f t="shared" si="97"/>
        <v>1847</v>
      </c>
      <c r="F1068" t="str">
        <f>"6"</f>
        <v>6</v>
      </c>
    </row>
    <row r="1069" spans="1:6">
      <c r="A1069" t="str">
        <f>"E1914-7"</f>
        <v>E1914-7</v>
      </c>
      <c r="B1069" t="str">
        <f t="shared" si="95"/>
        <v>VIA MOGADISCIO  40-</v>
      </c>
      <c r="C1069" t="str">
        <f t="shared" si="96"/>
        <v>BAV</v>
      </c>
      <c r="D1069">
        <v>42</v>
      </c>
      <c r="E1069" t="str">
        <f t="shared" si="97"/>
        <v>1847</v>
      </c>
      <c r="F1069" t="str">
        <f>"7"</f>
        <v>7</v>
      </c>
    </row>
    <row r="1070" spans="1:6">
      <c r="A1070" t="str">
        <f>"E1940-1"</f>
        <v>E1940-1</v>
      </c>
      <c r="B1070" t="str">
        <f>"VIA SUP ROCCHE DI BAVARI  44-"</f>
        <v>VIA SUP ROCCHE DI BAVARI  44-</v>
      </c>
      <c r="C1070" t="str">
        <f t="shared" si="96"/>
        <v>BAV</v>
      </c>
      <c r="D1070">
        <v>42</v>
      </c>
      <c r="E1070" t="str">
        <f>"1898"</f>
        <v>1898</v>
      </c>
      <c r="F1070" t="str">
        <f>"1"</f>
        <v>1</v>
      </c>
    </row>
    <row r="1071" spans="1:6">
      <c r="A1071" t="str">
        <f>"E1942-1"</f>
        <v>E1942-1</v>
      </c>
      <c r="B1071" t="str">
        <f>"FOSSATO DI CICALA  7-"</f>
        <v>FOSSATO DI CICALA  7-</v>
      </c>
      <c r="C1071" t="str">
        <f>"STA"</f>
        <v>STA</v>
      </c>
      <c r="D1071">
        <v>21</v>
      </c>
      <c r="E1071" t="str">
        <f>"1506"</f>
        <v>1506</v>
      </c>
      <c r="F1071" t="str">
        <f>"1"</f>
        <v>1</v>
      </c>
    </row>
    <row r="1072" spans="1:6">
      <c r="A1072" t="str">
        <f>"E1942-2"</f>
        <v>E1942-2</v>
      </c>
      <c r="B1072" t="str">
        <f>"FOSSATO DI CICALA  7-"</f>
        <v>FOSSATO DI CICALA  7-</v>
      </c>
      <c r="C1072" t="str">
        <f>"STA"</f>
        <v>STA</v>
      </c>
      <c r="D1072">
        <v>21</v>
      </c>
      <c r="E1072" t="str">
        <f>"1506"</f>
        <v>1506</v>
      </c>
      <c r="F1072" t="str">
        <f>"2"</f>
        <v>2</v>
      </c>
    </row>
    <row r="1073" spans="1:6">
      <c r="A1073" t="str">
        <f>"E1943-1"</f>
        <v>E1943-1</v>
      </c>
      <c r="B1073" t="str">
        <f>"FOSSATO DI CICALA  7CR-"</f>
        <v>FOSSATO DI CICALA  7CR-</v>
      </c>
      <c r="C1073" t="str">
        <f>"STA"</f>
        <v>STA</v>
      </c>
      <c r="D1073">
        <v>21</v>
      </c>
      <c r="E1073" t="str">
        <f>"1179"</f>
        <v>1179</v>
      </c>
      <c r="F1073" t="str">
        <f>"0000"</f>
        <v>0000</v>
      </c>
    </row>
    <row r="1074" spans="1:6">
      <c r="A1074" t="str">
        <f>"E1944-1"</f>
        <v>E1944-1</v>
      </c>
      <c r="B1074" t="str">
        <f>"FOSSATO DI CICALA  7DR-"</f>
        <v>FOSSATO DI CICALA  7DR-</v>
      </c>
      <c r="C1074" t="str">
        <f>"STA"</f>
        <v>STA</v>
      </c>
      <c r="D1074">
        <v>21</v>
      </c>
      <c r="E1074" t="str">
        <f>"330"</f>
        <v>330</v>
      </c>
      <c r="F1074" t="str">
        <f>"5"</f>
        <v>5</v>
      </c>
    </row>
    <row r="1075" spans="1:6">
      <c r="A1075" t="str">
        <f>"E1945-1"</f>
        <v>E1945-1</v>
      </c>
      <c r="B1075" t="str">
        <f>"VIA VECCHIA  5-"</f>
        <v>VIA VECCHIA  5-</v>
      </c>
      <c r="C1075" t="str">
        <f>"STA"</f>
        <v>STA</v>
      </c>
      <c r="D1075">
        <v>32</v>
      </c>
      <c r="E1075" t="str">
        <f>"194"</f>
        <v>194</v>
      </c>
      <c r="F1075" t="str">
        <f>"9"</f>
        <v>9</v>
      </c>
    </row>
    <row r="1076" spans="1:6">
      <c r="A1076" t="str">
        <f>"E1959-1"</f>
        <v>E1959-1</v>
      </c>
      <c r="B1076" t="str">
        <f>"VIA GELASIO ADAMOLI  57-"</f>
        <v>VIA GELASIO ADAMOLI  57-</v>
      </c>
      <c r="C1076" t="str">
        <f>"BAV"</f>
        <v>BAV</v>
      </c>
      <c r="D1076">
        <v>40</v>
      </c>
      <c r="E1076" t="str">
        <f>"513"</f>
        <v>513</v>
      </c>
      <c r="F1076" t="str">
        <f>"1"</f>
        <v>1</v>
      </c>
    </row>
    <row r="1077" spans="1:6">
      <c r="A1077" t="str">
        <f>"E1959-2"</f>
        <v>E1959-2</v>
      </c>
      <c r="B1077" t="str">
        <f>"VIA GELASIO ADAMOLI  39-"</f>
        <v>VIA GELASIO ADAMOLI  39-</v>
      </c>
      <c r="C1077" t="str">
        <f>"BAV"</f>
        <v>BAV</v>
      </c>
      <c r="D1077">
        <v>40</v>
      </c>
      <c r="E1077" t="str">
        <f>"513"</f>
        <v>513</v>
      </c>
      <c r="F1077" t="str">
        <f>"2"</f>
        <v>2</v>
      </c>
    </row>
    <row r="1078" spans="1:6">
      <c r="A1078" t="str">
        <f>"E1959-3"</f>
        <v>E1959-3</v>
      </c>
      <c r="B1078" t="str">
        <f>"VIA GELASIO ADAMOLI  53-"</f>
        <v>VIA GELASIO ADAMOLI  53-</v>
      </c>
      <c r="C1078" t="str">
        <f>"BAV"</f>
        <v>BAV</v>
      </c>
      <c r="D1078">
        <v>40</v>
      </c>
      <c r="E1078" t="str">
        <f>"513"</f>
        <v>513</v>
      </c>
      <c r="F1078" t="str">
        <f>"3"</f>
        <v>3</v>
      </c>
    </row>
    <row r="1079" spans="1:6">
      <c r="A1079" t="str">
        <f>"E1959-4"</f>
        <v>E1959-4</v>
      </c>
      <c r="B1079" t="str">
        <f>"VIA GELASIO ADAMOLI  57-"</f>
        <v>VIA GELASIO ADAMOLI  57-</v>
      </c>
      <c r="C1079" t="str">
        <f>"BAV"</f>
        <v>BAV</v>
      </c>
      <c r="D1079">
        <v>40</v>
      </c>
      <c r="E1079" t="str">
        <f>"513"</f>
        <v>513</v>
      </c>
      <c r="F1079" t="str">
        <f>"4"</f>
        <v>4</v>
      </c>
    </row>
    <row r="1080" spans="1:6">
      <c r="A1080" t="str">
        <f>"E1959-5"</f>
        <v>E1959-5</v>
      </c>
      <c r="B1080" t="str">
        <f>"VIA GELASIO ADAMOLI  53-"</f>
        <v>VIA GELASIO ADAMOLI  53-</v>
      </c>
      <c r="C1080" t="str">
        <f>"BAV"</f>
        <v>BAV</v>
      </c>
      <c r="D1080">
        <v>40</v>
      </c>
      <c r="E1080" t="str">
        <f>"513"</f>
        <v>513</v>
      </c>
      <c r="F1080" t="str">
        <f>"5"</f>
        <v>5</v>
      </c>
    </row>
    <row r="1081" spans="1:6">
      <c r="A1081" t="str">
        <f>"E1963-1"</f>
        <v>E1963-1</v>
      </c>
      <c r="B1081" t="str">
        <f>"PIAZZA DELL'OLMO  3-"</f>
        <v>PIAZZA DELL'OLMO  3-</v>
      </c>
      <c r="C1081" t="str">
        <f t="shared" ref="C1081:C1108" si="98">"5"</f>
        <v>5</v>
      </c>
      <c r="D1081">
        <v>9</v>
      </c>
      <c r="E1081" t="str">
        <f>"1857"</f>
        <v>1857</v>
      </c>
      <c r="F1081" t="str">
        <f t="shared" ref="F1081:F1110" si="99">"0000"</f>
        <v>0000</v>
      </c>
    </row>
    <row r="1082" spans="1:6">
      <c r="C1082" t="str">
        <f t="shared" si="98"/>
        <v>5</v>
      </c>
      <c r="D1082">
        <v>9</v>
      </c>
      <c r="E1082" t="str">
        <f>"1999"</f>
        <v>1999</v>
      </c>
      <c r="F1082" t="str">
        <f t="shared" si="99"/>
        <v>0000</v>
      </c>
    </row>
    <row r="1083" spans="1:6">
      <c r="C1083" t="str">
        <f t="shared" si="98"/>
        <v>5</v>
      </c>
      <c r="D1083">
        <v>9</v>
      </c>
      <c r="E1083" t="str">
        <f>"1861"</f>
        <v>1861</v>
      </c>
      <c r="F1083" t="str">
        <f t="shared" si="99"/>
        <v>0000</v>
      </c>
    </row>
    <row r="1084" spans="1:6">
      <c r="C1084" t="str">
        <f t="shared" si="98"/>
        <v>5</v>
      </c>
      <c r="D1084">
        <v>9</v>
      </c>
      <c r="E1084" t="str">
        <f>"1863"</f>
        <v>1863</v>
      </c>
      <c r="F1084" t="str">
        <f t="shared" si="99"/>
        <v>0000</v>
      </c>
    </row>
    <row r="1085" spans="1:6">
      <c r="C1085" t="str">
        <f t="shared" si="98"/>
        <v>5</v>
      </c>
      <c r="D1085">
        <v>9</v>
      </c>
      <c r="E1085" t="str">
        <f>"1948"</f>
        <v>1948</v>
      </c>
      <c r="F1085" t="str">
        <f t="shared" si="99"/>
        <v>0000</v>
      </c>
    </row>
    <row r="1086" spans="1:6">
      <c r="C1086" t="str">
        <f t="shared" si="98"/>
        <v>5</v>
      </c>
      <c r="D1086">
        <v>9</v>
      </c>
      <c r="E1086" t="str">
        <f>"1947"</f>
        <v>1947</v>
      </c>
      <c r="F1086" t="str">
        <f t="shared" si="99"/>
        <v>0000</v>
      </c>
    </row>
    <row r="1087" spans="1:6">
      <c r="C1087" t="str">
        <f t="shared" si="98"/>
        <v>5</v>
      </c>
      <c r="D1087">
        <v>9</v>
      </c>
      <c r="E1087" t="str">
        <f>"1860"</f>
        <v>1860</v>
      </c>
      <c r="F1087" t="str">
        <f t="shared" si="99"/>
        <v>0000</v>
      </c>
    </row>
    <row r="1088" spans="1:6">
      <c r="A1088" t="str">
        <f>"E1963-2"</f>
        <v>E1963-2</v>
      </c>
      <c r="B1088" t="str">
        <f>"PIAZZA DELL'OLMO  4-"</f>
        <v>PIAZZA DELL'OLMO  4-</v>
      </c>
      <c r="C1088" t="str">
        <f t="shared" si="98"/>
        <v>5</v>
      </c>
      <c r="D1088">
        <v>9</v>
      </c>
      <c r="E1088" t="str">
        <f>"1857"</f>
        <v>1857</v>
      </c>
      <c r="F1088" t="str">
        <f t="shared" si="99"/>
        <v>0000</v>
      </c>
    </row>
    <row r="1089" spans="1:6">
      <c r="C1089" t="str">
        <f t="shared" si="98"/>
        <v>5</v>
      </c>
      <c r="D1089">
        <v>9</v>
      </c>
      <c r="E1089" t="str">
        <f>"1999"</f>
        <v>1999</v>
      </c>
      <c r="F1089" t="str">
        <f t="shared" si="99"/>
        <v>0000</v>
      </c>
    </row>
    <row r="1090" spans="1:6">
      <c r="C1090" t="str">
        <f t="shared" si="98"/>
        <v>5</v>
      </c>
      <c r="D1090">
        <v>9</v>
      </c>
      <c r="E1090" t="str">
        <f>"1948"</f>
        <v>1948</v>
      </c>
      <c r="F1090" t="str">
        <f t="shared" si="99"/>
        <v>0000</v>
      </c>
    </row>
    <row r="1091" spans="1:6">
      <c r="C1091" t="str">
        <f t="shared" si="98"/>
        <v>5</v>
      </c>
      <c r="D1091">
        <v>9</v>
      </c>
      <c r="E1091" t="str">
        <f>"1861"</f>
        <v>1861</v>
      </c>
      <c r="F1091" t="str">
        <f t="shared" si="99"/>
        <v>0000</v>
      </c>
    </row>
    <row r="1092" spans="1:6">
      <c r="C1092" t="str">
        <f t="shared" si="98"/>
        <v>5</v>
      </c>
      <c r="D1092">
        <v>9</v>
      </c>
      <c r="E1092" t="str">
        <f>"1863"</f>
        <v>1863</v>
      </c>
      <c r="F1092" t="str">
        <f t="shared" si="99"/>
        <v>0000</v>
      </c>
    </row>
    <row r="1093" spans="1:6">
      <c r="C1093" t="str">
        <f t="shared" si="98"/>
        <v>5</v>
      </c>
      <c r="D1093">
        <v>9</v>
      </c>
      <c r="E1093" t="str">
        <f>"1947"</f>
        <v>1947</v>
      </c>
      <c r="F1093" t="str">
        <f t="shared" si="99"/>
        <v>0000</v>
      </c>
    </row>
    <row r="1094" spans="1:6">
      <c r="C1094" t="str">
        <f t="shared" si="98"/>
        <v>5</v>
      </c>
      <c r="D1094">
        <v>9</v>
      </c>
      <c r="E1094" t="str">
        <f>"1860"</f>
        <v>1860</v>
      </c>
      <c r="F1094" t="str">
        <f t="shared" si="99"/>
        <v>0000</v>
      </c>
    </row>
    <row r="1095" spans="1:6">
      <c r="A1095" t="str">
        <f>"E1963-3"</f>
        <v>E1963-3</v>
      </c>
      <c r="B1095" t="str">
        <f>"PIAZZA DELL'OLMO  5-"</f>
        <v>PIAZZA DELL'OLMO  5-</v>
      </c>
      <c r="C1095" t="str">
        <f t="shared" si="98"/>
        <v>5</v>
      </c>
      <c r="D1095">
        <v>9</v>
      </c>
      <c r="E1095" t="str">
        <f>"1857"</f>
        <v>1857</v>
      </c>
      <c r="F1095" t="str">
        <f t="shared" si="99"/>
        <v>0000</v>
      </c>
    </row>
    <row r="1096" spans="1:6">
      <c r="C1096" t="str">
        <f t="shared" si="98"/>
        <v>5</v>
      </c>
      <c r="D1096">
        <v>9</v>
      </c>
      <c r="E1096" t="str">
        <f>"1948"</f>
        <v>1948</v>
      </c>
      <c r="F1096" t="str">
        <f t="shared" si="99"/>
        <v>0000</v>
      </c>
    </row>
    <row r="1097" spans="1:6">
      <c r="C1097" t="str">
        <f t="shared" si="98"/>
        <v>5</v>
      </c>
      <c r="D1097">
        <v>9</v>
      </c>
      <c r="E1097" t="str">
        <f>"1999"</f>
        <v>1999</v>
      </c>
      <c r="F1097" t="str">
        <f t="shared" si="99"/>
        <v>0000</v>
      </c>
    </row>
    <row r="1098" spans="1:6">
      <c r="C1098" t="str">
        <f t="shared" si="98"/>
        <v>5</v>
      </c>
      <c r="D1098">
        <v>9</v>
      </c>
      <c r="E1098" t="str">
        <f>"1947"</f>
        <v>1947</v>
      </c>
      <c r="F1098" t="str">
        <f t="shared" si="99"/>
        <v>0000</v>
      </c>
    </row>
    <row r="1099" spans="1:6">
      <c r="C1099" t="str">
        <f t="shared" si="98"/>
        <v>5</v>
      </c>
      <c r="D1099">
        <v>9</v>
      </c>
      <c r="E1099" t="str">
        <f>"1860"</f>
        <v>1860</v>
      </c>
      <c r="F1099" t="str">
        <f t="shared" si="99"/>
        <v>0000</v>
      </c>
    </row>
    <row r="1100" spans="1:6">
      <c r="C1100" t="str">
        <f t="shared" si="98"/>
        <v>5</v>
      </c>
      <c r="D1100">
        <v>9</v>
      </c>
      <c r="E1100" t="str">
        <f>"1863"</f>
        <v>1863</v>
      </c>
      <c r="F1100" t="str">
        <f t="shared" si="99"/>
        <v>0000</v>
      </c>
    </row>
    <row r="1101" spans="1:6">
      <c r="C1101" t="str">
        <f t="shared" si="98"/>
        <v>5</v>
      </c>
      <c r="D1101">
        <v>9</v>
      </c>
      <c r="E1101" t="str">
        <f>"1861"</f>
        <v>1861</v>
      </c>
      <c r="F1101" t="str">
        <f t="shared" si="99"/>
        <v>0000</v>
      </c>
    </row>
    <row r="1102" spans="1:6">
      <c r="A1102" t="str">
        <f>"E1963-4"</f>
        <v>E1963-4</v>
      </c>
      <c r="B1102" t="str">
        <f>"PIAZZA DELL'OLMO  6-"</f>
        <v>PIAZZA DELL'OLMO  6-</v>
      </c>
      <c r="C1102" t="str">
        <f t="shared" si="98"/>
        <v>5</v>
      </c>
      <c r="D1102">
        <v>9</v>
      </c>
      <c r="E1102" t="str">
        <f>"1857"</f>
        <v>1857</v>
      </c>
      <c r="F1102" t="str">
        <f t="shared" si="99"/>
        <v>0000</v>
      </c>
    </row>
    <row r="1103" spans="1:6">
      <c r="C1103" t="str">
        <f t="shared" si="98"/>
        <v>5</v>
      </c>
      <c r="D1103">
        <v>9</v>
      </c>
      <c r="E1103" t="str">
        <f>"1947"</f>
        <v>1947</v>
      </c>
      <c r="F1103" t="str">
        <f t="shared" si="99"/>
        <v>0000</v>
      </c>
    </row>
    <row r="1104" spans="1:6">
      <c r="C1104" t="str">
        <f t="shared" si="98"/>
        <v>5</v>
      </c>
      <c r="D1104">
        <v>9</v>
      </c>
      <c r="E1104" t="str">
        <f>"1999"</f>
        <v>1999</v>
      </c>
      <c r="F1104" t="str">
        <f t="shared" si="99"/>
        <v>0000</v>
      </c>
    </row>
    <row r="1105" spans="1:6">
      <c r="C1105" t="str">
        <f t="shared" si="98"/>
        <v>5</v>
      </c>
      <c r="D1105">
        <v>9</v>
      </c>
      <c r="E1105" t="str">
        <f>"1948"</f>
        <v>1948</v>
      </c>
      <c r="F1105" t="str">
        <f t="shared" si="99"/>
        <v>0000</v>
      </c>
    </row>
    <row r="1106" spans="1:6">
      <c r="C1106" t="str">
        <f t="shared" si="98"/>
        <v>5</v>
      </c>
      <c r="D1106">
        <v>9</v>
      </c>
      <c r="E1106" t="str">
        <f>"1863"</f>
        <v>1863</v>
      </c>
      <c r="F1106" t="str">
        <f t="shared" si="99"/>
        <v>0000</v>
      </c>
    </row>
    <row r="1107" spans="1:6">
      <c r="C1107" t="str">
        <f t="shared" si="98"/>
        <v>5</v>
      </c>
      <c r="D1107">
        <v>9</v>
      </c>
      <c r="E1107" t="str">
        <f>"1860"</f>
        <v>1860</v>
      </c>
      <c r="F1107" t="str">
        <f t="shared" si="99"/>
        <v>0000</v>
      </c>
    </row>
    <row r="1108" spans="1:6">
      <c r="C1108" t="str">
        <f t="shared" si="98"/>
        <v>5</v>
      </c>
      <c r="D1108">
        <v>9</v>
      </c>
      <c r="E1108" t="str">
        <f>"1861"</f>
        <v>1861</v>
      </c>
      <c r="F1108" t="str">
        <f t="shared" si="99"/>
        <v>0000</v>
      </c>
    </row>
    <row r="1109" spans="1:6">
      <c r="A1109" t="str">
        <f>"E1981-1"</f>
        <v>E1981-1</v>
      </c>
      <c r="B1109" t="str">
        <f>"CROSA DEI MORCHI VICINO AL 11-"</f>
        <v>CROSA DEI MORCHI VICINO AL 11-</v>
      </c>
      <c r="C1109" t="str">
        <f>"STA"</f>
        <v>STA</v>
      </c>
      <c r="D1109">
        <v>21</v>
      </c>
      <c r="E1109" t="str">
        <f>"97"</f>
        <v>97</v>
      </c>
      <c r="F1109" t="str">
        <f t="shared" si="99"/>
        <v>0000</v>
      </c>
    </row>
    <row r="1110" spans="1:6">
      <c r="A1110" t="str">
        <f>"E1982-1"</f>
        <v>E1982-1</v>
      </c>
      <c r="B1110" t="str">
        <f>"VIA DELLE BARACCHE VICINO AL 2-"</f>
        <v>VIA DELLE BARACCHE VICINO AL 2-</v>
      </c>
      <c r="C1110" t="str">
        <f>"1"</f>
        <v>1</v>
      </c>
      <c r="D1110">
        <v>3</v>
      </c>
      <c r="E1110" t="str">
        <f>"A"</f>
        <v>A</v>
      </c>
      <c r="F1110" t="str">
        <f t="shared" si="99"/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163"/>
  <sheetViews>
    <sheetView topLeftCell="A6123" workbookViewId="0">
      <selection activeCell="A6163" sqref="A6163:F6163"/>
    </sheetView>
  </sheetViews>
  <sheetFormatPr defaultRowHeight="12.75"/>
  <cols>
    <col min="1" max="1" width="19.5703125" bestFit="1" customWidth="1"/>
    <col min="2" max="2" width="44.285156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"E511-1"</f>
        <v>E511-1</v>
      </c>
      <c r="B2" t="str">
        <f>"VIA P NEGROTTO CAMBIASO VICINO AL 143-"</f>
        <v>VIA P NEGROTTO CAMBIASO VICINO AL 143-</v>
      </c>
      <c r="C2" t="str">
        <f>"4"</f>
        <v>4</v>
      </c>
      <c r="D2">
        <v>27</v>
      </c>
      <c r="E2" t="str">
        <f>"457"</f>
        <v>457</v>
      </c>
      <c r="F2" t="str">
        <f>"0000"</f>
        <v>0000</v>
      </c>
    </row>
    <row r="3" spans="1:6">
      <c r="A3" t="str">
        <f>"E512-1"</f>
        <v>E512-1</v>
      </c>
      <c r="B3" t="str">
        <f>"VIA P NEGROTTO CAMBIASO  139-"</f>
        <v>VIA P NEGROTTO CAMBIASO  139-</v>
      </c>
      <c r="C3" t="str">
        <f>"4"</f>
        <v>4</v>
      </c>
      <c r="D3">
        <v>27</v>
      </c>
      <c r="E3" t="str">
        <f>"1960"</f>
        <v>1960</v>
      </c>
      <c r="F3" t="str">
        <f>"0000"</f>
        <v>0000</v>
      </c>
    </row>
    <row r="4" spans="1:6">
      <c r="C4" t="str">
        <f>"4"</f>
        <v>4</v>
      </c>
      <c r="D4">
        <v>27</v>
      </c>
      <c r="E4" t="str">
        <f>"1961"</f>
        <v>1961</v>
      </c>
      <c r="F4" t="str">
        <f>"0000"</f>
        <v>0000</v>
      </c>
    </row>
    <row r="5" spans="1:6">
      <c r="C5" t="str">
        <f>"4"</f>
        <v>4</v>
      </c>
      <c r="D5">
        <v>27</v>
      </c>
      <c r="E5" t="str">
        <f>"1962"</f>
        <v>1962</v>
      </c>
      <c r="F5" t="str">
        <f>"0000"</f>
        <v>0000</v>
      </c>
    </row>
    <row r="6" spans="1:6">
      <c r="A6" t="str">
        <f>"E1110-1"</f>
        <v>E1110-1</v>
      </c>
      <c r="B6" t="str">
        <f>"VIA MARIO BERCILLI  2R-"</f>
        <v>VIA MARIO BERCILLI  2R-</v>
      </c>
      <c r="C6" t="str">
        <f>"RIV"</f>
        <v>RIV</v>
      </c>
      <c r="D6">
        <v>36</v>
      </c>
      <c r="E6" t="str">
        <f>"715"</f>
        <v>715</v>
      </c>
      <c r="F6" t="str">
        <f>"1"</f>
        <v>1</v>
      </c>
    </row>
    <row r="7" spans="1:6">
      <c r="A7" t="str">
        <f>"E1110-3"</f>
        <v>E1110-3</v>
      </c>
      <c r="B7" t="str">
        <f>"VIA MARIO BERCILLI  8R-"</f>
        <v>VIA MARIO BERCILLI  8R-</v>
      </c>
      <c r="C7" t="str">
        <f>"RIV"</f>
        <v>RIV</v>
      </c>
      <c r="D7">
        <v>36</v>
      </c>
      <c r="E7" t="str">
        <f>"715"</f>
        <v>715</v>
      </c>
      <c r="F7" t="str">
        <f>"3"</f>
        <v>3</v>
      </c>
    </row>
    <row r="8" spans="1:6">
      <c r="A8" t="str">
        <f>"E1110-4"</f>
        <v>E1110-4</v>
      </c>
      <c r="B8" t="str">
        <f>"VIA MARIO BERCILLI  12R-"</f>
        <v>VIA MARIO BERCILLI  12R-</v>
      </c>
      <c r="C8" t="str">
        <f>"4"</f>
        <v>4</v>
      </c>
      <c r="D8">
        <v>36</v>
      </c>
      <c r="E8" t="str">
        <f>"862"</f>
        <v>862</v>
      </c>
      <c r="F8" t="str">
        <f>"0000"</f>
        <v>0000</v>
      </c>
    </row>
    <row r="9" spans="1:6">
      <c r="A9" t="str">
        <f>"E1111-1"</f>
        <v>E1111-1</v>
      </c>
      <c r="B9" t="str">
        <f>"VIA MARIO BERCILLI  6-"</f>
        <v>VIA MARIO BERCILLI  6-</v>
      </c>
      <c r="C9" t="str">
        <f>"4"</f>
        <v>4</v>
      </c>
      <c r="D9">
        <v>36</v>
      </c>
      <c r="E9" t="str">
        <f>"1126"</f>
        <v>1126</v>
      </c>
      <c r="F9" t="str">
        <f>"0000"</f>
        <v>0000</v>
      </c>
    </row>
    <row r="10" spans="1:6">
      <c r="A10" t="str">
        <f>"E1111-2"</f>
        <v>E1111-2</v>
      </c>
      <c r="B10" t="str">
        <f>"VIA MARIO BERCILLI  6-"</f>
        <v>VIA MARIO BERCILLI  6-</v>
      </c>
      <c r="C10" t="str">
        <f t="shared" ref="C10:C35" si="0">"RIV"</f>
        <v>RIV</v>
      </c>
      <c r="D10">
        <v>36</v>
      </c>
      <c r="E10" t="str">
        <f t="shared" ref="E10:E24" si="1">"716"</f>
        <v>716</v>
      </c>
      <c r="F10" t="str">
        <f>"1"</f>
        <v>1</v>
      </c>
    </row>
    <row r="11" spans="1:6">
      <c r="A11" t="str">
        <f>"E1111-3"</f>
        <v>E1111-3</v>
      </c>
      <c r="B11" t="str">
        <f>"VIA MARIO BERCILLI  6-"</f>
        <v>VIA MARIO BERCILLI  6-</v>
      </c>
      <c r="C11" t="str">
        <f t="shared" si="0"/>
        <v>RIV</v>
      </c>
      <c r="D11">
        <v>36</v>
      </c>
      <c r="E11" t="str">
        <f t="shared" si="1"/>
        <v>716</v>
      </c>
      <c r="F11" t="str">
        <f>"2"</f>
        <v>2</v>
      </c>
    </row>
    <row r="12" spans="1:6">
      <c r="A12" t="str">
        <f>"E1111-4"</f>
        <v>E1111-4</v>
      </c>
      <c r="B12" t="str">
        <f>"VIA MARIO BERCILLI  6-"</f>
        <v>VIA MARIO BERCILLI  6-</v>
      </c>
      <c r="C12" t="str">
        <f t="shared" si="0"/>
        <v>RIV</v>
      </c>
      <c r="D12">
        <v>36</v>
      </c>
      <c r="E12" t="str">
        <f t="shared" si="1"/>
        <v>716</v>
      </c>
      <c r="F12" t="str">
        <f>"4"</f>
        <v>4</v>
      </c>
    </row>
    <row r="13" spans="1:6">
      <c r="A13" t="str">
        <f>"E1111-6"</f>
        <v>E1111-6</v>
      </c>
      <c r="B13" t="str">
        <f>"VIA MARIO BERCILLI  6-"</f>
        <v>VIA MARIO BERCILLI  6-</v>
      </c>
      <c r="C13" t="str">
        <f t="shared" si="0"/>
        <v>RIV</v>
      </c>
      <c r="D13">
        <v>36</v>
      </c>
      <c r="E13" t="str">
        <f t="shared" si="1"/>
        <v>716</v>
      </c>
      <c r="F13" t="str">
        <f>"14"</f>
        <v>14</v>
      </c>
    </row>
    <row r="14" spans="1:6">
      <c r="A14" t="str">
        <f>"E1111-7"</f>
        <v>E1111-7</v>
      </c>
      <c r="B14" t="str">
        <f t="shared" ref="B14:B24" si="2">"VIA MARIO BERCILLI  8-"</f>
        <v>VIA MARIO BERCILLI  8-</v>
      </c>
      <c r="C14" t="str">
        <f t="shared" si="0"/>
        <v>RIV</v>
      </c>
      <c r="D14">
        <v>36</v>
      </c>
      <c r="E14" t="str">
        <f t="shared" si="1"/>
        <v>716</v>
      </c>
      <c r="F14" t="str">
        <f>"20"</f>
        <v>20</v>
      </c>
    </row>
    <row r="15" spans="1:6">
      <c r="A15" t="str">
        <f>"E1111-8"</f>
        <v>E1111-8</v>
      </c>
      <c r="B15" t="str">
        <f t="shared" si="2"/>
        <v>VIA MARIO BERCILLI  8-</v>
      </c>
      <c r="C15" t="str">
        <f t="shared" si="0"/>
        <v>RIV</v>
      </c>
      <c r="D15">
        <v>36</v>
      </c>
      <c r="E15" t="str">
        <f t="shared" si="1"/>
        <v>716</v>
      </c>
      <c r="F15" t="str">
        <f>"21"</f>
        <v>21</v>
      </c>
    </row>
    <row r="16" spans="1:6">
      <c r="A16" t="str">
        <f>"E1111-9"</f>
        <v>E1111-9</v>
      </c>
      <c r="B16" t="str">
        <f t="shared" si="2"/>
        <v>VIA MARIO BERCILLI  8-</v>
      </c>
      <c r="C16" t="str">
        <f t="shared" si="0"/>
        <v>RIV</v>
      </c>
      <c r="D16">
        <v>36</v>
      </c>
      <c r="E16" t="str">
        <f t="shared" si="1"/>
        <v>716</v>
      </c>
      <c r="F16" t="str">
        <f>"27"</f>
        <v>27</v>
      </c>
    </row>
    <row r="17" spans="1:6">
      <c r="A17" t="str">
        <f>"E1111-10"</f>
        <v>E1111-10</v>
      </c>
      <c r="B17" t="str">
        <f t="shared" si="2"/>
        <v>VIA MARIO BERCILLI  8-</v>
      </c>
      <c r="C17" t="str">
        <f t="shared" si="0"/>
        <v>RIV</v>
      </c>
      <c r="D17">
        <v>36</v>
      </c>
      <c r="E17" t="str">
        <f t="shared" si="1"/>
        <v>716</v>
      </c>
      <c r="F17" t="str">
        <f>"30"</f>
        <v>30</v>
      </c>
    </row>
    <row r="18" spans="1:6">
      <c r="A18" t="str">
        <f>"E1111-11"</f>
        <v>E1111-11</v>
      </c>
      <c r="B18" t="str">
        <f t="shared" si="2"/>
        <v>VIA MARIO BERCILLI  8-</v>
      </c>
      <c r="C18" t="str">
        <f t="shared" si="0"/>
        <v>RIV</v>
      </c>
      <c r="D18">
        <v>36</v>
      </c>
      <c r="E18" t="str">
        <f t="shared" si="1"/>
        <v>716</v>
      </c>
      <c r="F18" t="str">
        <f>"31"</f>
        <v>31</v>
      </c>
    </row>
    <row r="19" spans="1:6">
      <c r="A19" t="str">
        <f>"E1111-12"</f>
        <v>E1111-12</v>
      </c>
      <c r="B19" t="str">
        <f t="shared" si="2"/>
        <v>VIA MARIO BERCILLI  8-</v>
      </c>
      <c r="C19" t="str">
        <f t="shared" si="0"/>
        <v>RIV</v>
      </c>
      <c r="D19">
        <v>36</v>
      </c>
      <c r="E19" t="str">
        <f t="shared" si="1"/>
        <v>716</v>
      </c>
      <c r="F19" t="str">
        <f>"32"</f>
        <v>32</v>
      </c>
    </row>
    <row r="20" spans="1:6">
      <c r="A20" t="str">
        <f>"E1111-13"</f>
        <v>E1111-13</v>
      </c>
      <c r="B20" t="str">
        <f t="shared" si="2"/>
        <v>VIA MARIO BERCILLI  8-</v>
      </c>
      <c r="C20" t="str">
        <f t="shared" si="0"/>
        <v>RIV</v>
      </c>
      <c r="D20">
        <v>36</v>
      </c>
      <c r="E20" t="str">
        <f t="shared" si="1"/>
        <v>716</v>
      </c>
      <c r="F20" t="str">
        <f>"33"</f>
        <v>33</v>
      </c>
    </row>
    <row r="21" spans="1:6">
      <c r="A21" t="str">
        <f>"E1111-14"</f>
        <v>E1111-14</v>
      </c>
      <c r="B21" t="str">
        <f t="shared" si="2"/>
        <v>VIA MARIO BERCILLI  8-</v>
      </c>
      <c r="C21" t="str">
        <f t="shared" si="0"/>
        <v>RIV</v>
      </c>
      <c r="D21">
        <v>36</v>
      </c>
      <c r="E21" t="str">
        <f t="shared" si="1"/>
        <v>716</v>
      </c>
      <c r="F21" t="str">
        <f>"34"</f>
        <v>34</v>
      </c>
    </row>
    <row r="22" spans="1:6">
      <c r="A22" t="str">
        <f>"E1111-16"</f>
        <v>E1111-16</v>
      </c>
      <c r="B22" t="str">
        <f t="shared" si="2"/>
        <v>VIA MARIO BERCILLI  8-</v>
      </c>
      <c r="C22" t="str">
        <f t="shared" si="0"/>
        <v>RIV</v>
      </c>
      <c r="D22">
        <v>36</v>
      </c>
      <c r="E22" t="str">
        <f t="shared" si="1"/>
        <v>716</v>
      </c>
      <c r="F22" t="str">
        <f>"37"</f>
        <v>37</v>
      </c>
    </row>
    <row r="23" spans="1:6">
      <c r="A23" t="str">
        <f>"E1111-17"</f>
        <v>E1111-17</v>
      </c>
      <c r="B23" t="str">
        <f t="shared" si="2"/>
        <v>VIA MARIO BERCILLI  8-</v>
      </c>
      <c r="C23" t="str">
        <f t="shared" si="0"/>
        <v>RIV</v>
      </c>
      <c r="D23">
        <v>36</v>
      </c>
      <c r="E23" t="str">
        <f t="shared" si="1"/>
        <v>716</v>
      </c>
      <c r="F23" t="str">
        <f>"40"</f>
        <v>40</v>
      </c>
    </row>
    <row r="24" spans="1:6">
      <c r="A24" t="str">
        <f>"E1111-18"</f>
        <v>E1111-18</v>
      </c>
      <c r="B24" t="str">
        <f t="shared" si="2"/>
        <v>VIA MARIO BERCILLI  8-</v>
      </c>
      <c r="C24" t="str">
        <f t="shared" si="0"/>
        <v>RIV</v>
      </c>
      <c r="D24">
        <v>36</v>
      </c>
      <c r="E24" t="str">
        <f t="shared" si="1"/>
        <v>716</v>
      </c>
      <c r="F24" t="str">
        <f>"42"</f>
        <v>42</v>
      </c>
    </row>
    <row r="25" spans="1:6">
      <c r="A25" t="str">
        <f>"E1112-1"</f>
        <v>E1112-1</v>
      </c>
      <c r="B25" t="str">
        <f>"VIA MARIO BERCILLI  10-"</f>
        <v>VIA MARIO BERCILLI  10-</v>
      </c>
      <c r="C25" t="str">
        <f t="shared" si="0"/>
        <v>RIV</v>
      </c>
      <c r="D25">
        <v>36</v>
      </c>
      <c r="E25" t="str">
        <f t="shared" ref="E25:E35" si="3">"717"</f>
        <v>717</v>
      </c>
      <c r="F25" t="str">
        <f>"16"</f>
        <v>16</v>
      </c>
    </row>
    <row r="26" spans="1:6">
      <c r="A26" t="str">
        <f>"E1112-2"</f>
        <v>E1112-2</v>
      </c>
      <c r="B26" t="str">
        <f t="shared" ref="B26:B35" si="4">"VIA MARIO BERCILLI  12-"</f>
        <v>VIA MARIO BERCILLI  12-</v>
      </c>
      <c r="C26" t="str">
        <f t="shared" si="0"/>
        <v>RIV</v>
      </c>
      <c r="D26">
        <v>36</v>
      </c>
      <c r="E26" t="str">
        <f t="shared" si="3"/>
        <v>717</v>
      </c>
      <c r="F26" t="str">
        <f>"19"</f>
        <v>19</v>
      </c>
    </row>
    <row r="27" spans="1:6">
      <c r="A27" t="str">
        <f>"E1112-3"</f>
        <v>E1112-3</v>
      </c>
      <c r="B27" t="str">
        <f t="shared" si="4"/>
        <v>VIA MARIO BERCILLI  12-</v>
      </c>
      <c r="C27" t="str">
        <f t="shared" si="0"/>
        <v>RIV</v>
      </c>
      <c r="D27">
        <v>36</v>
      </c>
      <c r="E27" t="str">
        <f t="shared" si="3"/>
        <v>717</v>
      </c>
      <c r="F27" t="str">
        <f>"20"</f>
        <v>20</v>
      </c>
    </row>
    <row r="28" spans="1:6">
      <c r="A28" t="str">
        <f>"E1112-4"</f>
        <v>E1112-4</v>
      </c>
      <c r="B28" t="str">
        <f t="shared" si="4"/>
        <v>VIA MARIO BERCILLI  12-</v>
      </c>
      <c r="C28" t="str">
        <f t="shared" si="0"/>
        <v>RIV</v>
      </c>
      <c r="D28">
        <v>36</v>
      </c>
      <c r="E28" t="str">
        <f t="shared" si="3"/>
        <v>717</v>
      </c>
      <c r="F28" t="str">
        <f>"21"</f>
        <v>21</v>
      </c>
    </row>
    <row r="29" spans="1:6">
      <c r="A29" t="str">
        <f>"E1112-5"</f>
        <v>E1112-5</v>
      </c>
      <c r="B29" t="str">
        <f t="shared" si="4"/>
        <v>VIA MARIO BERCILLI  12-</v>
      </c>
      <c r="C29" t="str">
        <f t="shared" si="0"/>
        <v>RIV</v>
      </c>
      <c r="D29">
        <v>36</v>
      </c>
      <c r="E29" t="str">
        <f t="shared" si="3"/>
        <v>717</v>
      </c>
      <c r="F29" t="str">
        <f>"22"</f>
        <v>22</v>
      </c>
    </row>
    <row r="30" spans="1:6">
      <c r="A30" t="str">
        <f>"E1112-6"</f>
        <v>E1112-6</v>
      </c>
      <c r="B30" t="str">
        <f t="shared" si="4"/>
        <v>VIA MARIO BERCILLI  12-</v>
      </c>
      <c r="C30" t="str">
        <f t="shared" si="0"/>
        <v>RIV</v>
      </c>
      <c r="D30">
        <v>36</v>
      </c>
      <c r="E30" t="str">
        <f t="shared" si="3"/>
        <v>717</v>
      </c>
      <c r="F30" t="str">
        <f>"24"</f>
        <v>24</v>
      </c>
    </row>
    <row r="31" spans="1:6">
      <c r="A31" t="str">
        <f>"E1112-7"</f>
        <v>E1112-7</v>
      </c>
      <c r="B31" t="str">
        <f t="shared" si="4"/>
        <v>VIA MARIO BERCILLI  12-</v>
      </c>
      <c r="C31" t="str">
        <f t="shared" si="0"/>
        <v>RIV</v>
      </c>
      <c r="D31">
        <v>36</v>
      </c>
      <c r="E31" t="str">
        <f t="shared" si="3"/>
        <v>717</v>
      </c>
      <c r="F31" t="str">
        <f>"26"</f>
        <v>26</v>
      </c>
    </row>
    <row r="32" spans="1:6">
      <c r="A32" t="str">
        <f>"E1112-8"</f>
        <v>E1112-8</v>
      </c>
      <c r="B32" t="str">
        <f t="shared" si="4"/>
        <v>VIA MARIO BERCILLI  12-</v>
      </c>
      <c r="C32" t="str">
        <f t="shared" si="0"/>
        <v>RIV</v>
      </c>
      <c r="D32">
        <v>36</v>
      </c>
      <c r="E32" t="str">
        <f t="shared" si="3"/>
        <v>717</v>
      </c>
      <c r="F32" t="str">
        <f>"31"</f>
        <v>31</v>
      </c>
    </row>
    <row r="33" spans="1:6">
      <c r="A33" t="str">
        <f>"E1112-9"</f>
        <v>E1112-9</v>
      </c>
      <c r="B33" t="str">
        <f t="shared" si="4"/>
        <v>VIA MARIO BERCILLI  12-</v>
      </c>
      <c r="C33" t="str">
        <f t="shared" si="0"/>
        <v>RIV</v>
      </c>
      <c r="D33">
        <v>36</v>
      </c>
      <c r="E33" t="str">
        <f t="shared" si="3"/>
        <v>717</v>
      </c>
      <c r="F33" t="str">
        <f>"37"</f>
        <v>37</v>
      </c>
    </row>
    <row r="34" spans="1:6">
      <c r="A34" t="str">
        <f>"E1112-10"</f>
        <v>E1112-10</v>
      </c>
      <c r="B34" t="str">
        <f t="shared" si="4"/>
        <v>VIA MARIO BERCILLI  12-</v>
      </c>
      <c r="C34" t="str">
        <f t="shared" si="0"/>
        <v>RIV</v>
      </c>
      <c r="D34">
        <v>36</v>
      </c>
      <c r="E34" t="str">
        <f t="shared" si="3"/>
        <v>717</v>
      </c>
      <c r="F34" t="str">
        <f>"38"</f>
        <v>38</v>
      </c>
    </row>
    <row r="35" spans="1:6">
      <c r="A35" t="str">
        <f>"E1112-11"</f>
        <v>E1112-11</v>
      </c>
      <c r="B35" t="str">
        <f t="shared" si="4"/>
        <v>VIA MARIO BERCILLI  12-</v>
      </c>
      <c r="C35" t="str">
        <f t="shared" si="0"/>
        <v>RIV</v>
      </c>
      <c r="D35">
        <v>36</v>
      </c>
      <c r="E35" t="str">
        <f t="shared" si="3"/>
        <v>717</v>
      </c>
      <c r="F35" t="str">
        <f>"44"</f>
        <v>44</v>
      </c>
    </row>
    <row r="36" spans="1:6">
      <c r="A36" t="str">
        <f>"E1130-1"</f>
        <v>E1130-1</v>
      </c>
      <c r="B36" t="str">
        <f>"VIA BOLZANETO  35-"</f>
        <v>VIA BOLZANETO  35-</v>
      </c>
      <c r="C36" t="str">
        <f t="shared" ref="C36:C41" si="5">"BOL"</f>
        <v>BOL</v>
      </c>
      <c r="D36">
        <v>18</v>
      </c>
      <c r="E36" t="str">
        <f>"291"</f>
        <v>291</v>
      </c>
      <c r="F36" t="str">
        <f>"22"</f>
        <v>22</v>
      </c>
    </row>
    <row r="37" spans="1:6">
      <c r="C37" t="str">
        <f t="shared" si="5"/>
        <v>BOL</v>
      </c>
      <c r="D37">
        <v>18</v>
      </c>
      <c r="E37" t="str">
        <f>"293"</f>
        <v>293</v>
      </c>
      <c r="F37" t="str">
        <f>"0000"</f>
        <v>0000</v>
      </c>
    </row>
    <row r="38" spans="1:6">
      <c r="A38" t="str">
        <f>"E1133-1"</f>
        <v>E1133-1</v>
      </c>
      <c r="B38" t="str">
        <f>"VIA COSTANTINO RETA  27-"</f>
        <v>VIA COSTANTINO RETA  27-</v>
      </c>
      <c r="C38" t="str">
        <f t="shared" si="5"/>
        <v>BOL</v>
      </c>
      <c r="D38">
        <v>18</v>
      </c>
      <c r="E38" t="str">
        <f>"651"</f>
        <v>651</v>
      </c>
      <c r="F38" t="str">
        <f>"1"</f>
        <v>1</v>
      </c>
    </row>
    <row r="39" spans="1:6">
      <c r="A39" t="str">
        <f>"E1134-1"</f>
        <v>E1134-1</v>
      </c>
      <c r="B39" t="str">
        <f>"VIA RUGGERO BONGHI  33R-"</f>
        <v>VIA RUGGERO BONGHI  33R-</v>
      </c>
      <c r="C39" t="str">
        <f t="shared" si="5"/>
        <v>BOL</v>
      </c>
      <c r="D39">
        <v>18</v>
      </c>
      <c r="E39" t="str">
        <f>"651"</f>
        <v>651</v>
      </c>
      <c r="F39" t="str">
        <f>"2"</f>
        <v>2</v>
      </c>
    </row>
    <row r="40" spans="1:6">
      <c r="A40" t="str">
        <f>"E1136-1"</f>
        <v>E1136-1</v>
      </c>
      <c r="B40" t="str">
        <f>"VIA BOLZANETO  11-"</f>
        <v>VIA BOLZANETO  11-</v>
      </c>
      <c r="C40" t="str">
        <f t="shared" si="5"/>
        <v>BOL</v>
      </c>
      <c r="D40">
        <v>18</v>
      </c>
      <c r="E40" t="str">
        <f>"41"</f>
        <v>41</v>
      </c>
      <c r="F40" t="str">
        <f t="shared" ref="F40:F58" si="6">"0000"</f>
        <v>0000</v>
      </c>
    </row>
    <row r="41" spans="1:6">
      <c r="C41" t="str">
        <f t="shared" si="5"/>
        <v>BOL</v>
      </c>
      <c r="D41">
        <v>18</v>
      </c>
      <c r="E41" t="str">
        <f>"42"</f>
        <v>42</v>
      </c>
      <c r="F41" t="str">
        <f t="shared" si="6"/>
        <v>0000</v>
      </c>
    </row>
    <row r="42" spans="1:6">
      <c r="A42" t="str">
        <f>"E1137-1"</f>
        <v>E1137-1</v>
      </c>
      <c r="B42" t="str">
        <f>"PIAZZA RICCARDO RISSOTTO  2-"</f>
        <v>PIAZZA RICCARDO RISSOTTO  2-</v>
      </c>
      <c r="C42" t="str">
        <f t="shared" ref="C42:C49" si="7">"4"</f>
        <v>4</v>
      </c>
      <c r="D42">
        <v>18</v>
      </c>
      <c r="E42" t="str">
        <f>"321"</f>
        <v>321</v>
      </c>
      <c r="F42" t="str">
        <f t="shared" si="6"/>
        <v>0000</v>
      </c>
    </row>
    <row r="43" spans="1:6">
      <c r="C43" t="str">
        <f t="shared" si="7"/>
        <v>4</v>
      </c>
      <c r="D43">
        <v>18</v>
      </c>
      <c r="E43" t="str">
        <f>"40"</f>
        <v>40</v>
      </c>
      <c r="F43" t="str">
        <f t="shared" si="6"/>
        <v>0000</v>
      </c>
    </row>
    <row r="44" spans="1:6">
      <c r="C44" t="str">
        <f t="shared" si="7"/>
        <v>4</v>
      </c>
      <c r="D44">
        <v>18</v>
      </c>
      <c r="E44" t="str">
        <f>"41"</f>
        <v>41</v>
      </c>
      <c r="F44" t="str">
        <f t="shared" si="6"/>
        <v>0000</v>
      </c>
    </row>
    <row r="45" spans="1:6">
      <c r="A45" t="str">
        <f>"E1138-1"</f>
        <v>E1138-1</v>
      </c>
      <c r="B45" t="str">
        <f>"VIA MARIO BERCILLI  4A-"</f>
        <v>VIA MARIO BERCILLI  4A-</v>
      </c>
      <c r="C45" t="str">
        <f t="shared" si="7"/>
        <v>4</v>
      </c>
      <c r="D45">
        <v>36</v>
      </c>
      <c r="E45" t="str">
        <f>"1126"</f>
        <v>1126</v>
      </c>
      <c r="F45" t="str">
        <f t="shared" si="6"/>
        <v>0000</v>
      </c>
    </row>
    <row r="46" spans="1:6">
      <c r="A46" t="str">
        <f>"E1143-1"</f>
        <v>E1143-1</v>
      </c>
      <c r="B46" t="str">
        <f>"VIA GAZ  3-"</f>
        <v>VIA GAZ  3-</v>
      </c>
      <c r="C46" t="str">
        <f t="shared" si="7"/>
        <v>4</v>
      </c>
      <c r="D46">
        <v>35</v>
      </c>
      <c r="E46" t="str">
        <f>"947"</f>
        <v>947</v>
      </c>
      <c r="F46" t="str">
        <f t="shared" si="6"/>
        <v>0000</v>
      </c>
    </row>
    <row r="47" spans="1:6">
      <c r="C47" t="str">
        <f t="shared" si="7"/>
        <v>4</v>
      </c>
      <c r="D47">
        <v>35</v>
      </c>
      <c r="E47" t="str">
        <f>"949"</f>
        <v>949</v>
      </c>
      <c r="F47" t="str">
        <f t="shared" si="6"/>
        <v>0000</v>
      </c>
    </row>
    <row r="48" spans="1:6">
      <c r="C48" t="str">
        <f t="shared" si="7"/>
        <v>4</v>
      </c>
      <c r="D48">
        <v>35</v>
      </c>
      <c r="E48" t="str">
        <f>"951"</f>
        <v>951</v>
      </c>
      <c r="F48" t="str">
        <f t="shared" si="6"/>
        <v>0000</v>
      </c>
    </row>
    <row r="49" spans="1:6">
      <c r="C49" t="str">
        <f t="shared" si="7"/>
        <v>4</v>
      </c>
      <c r="D49">
        <v>35</v>
      </c>
      <c r="E49" t="str">
        <f>"950"</f>
        <v>950</v>
      </c>
      <c r="F49" t="str">
        <f t="shared" si="6"/>
        <v>0000</v>
      </c>
    </row>
    <row r="50" spans="1:6">
      <c r="A50" t="str">
        <f>"E1144-1"</f>
        <v>E1144-1</v>
      </c>
      <c r="B50" t="str">
        <f>"VIA PIETRO BORSIERI  11-"</f>
        <v>VIA PIETRO BORSIERI  11-</v>
      </c>
      <c r="C50" t="str">
        <f>"RIV"</f>
        <v>RIV</v>
      </c>
      <c r="D50">
        <v>35</v>
      </c>
      <c r="E50" t="str">
        <f>"948"</f>
        <v>948</v>
      </c>
      <c r="F50" t="str">
        <f t="shared" si="6"/>
        <v>0000</v>
      </c>
    </row>
    <row r="51" spans="1:6">
      <c r="A51" t="str">
        <f>"E1144-2"</f>
        <v>E1144-2</v>
      </c>
      <c r="B51" t="str">
        <f>"VIA PIETRO BORSIERI  11-"</f>
        <v>VIA PIETRO BORSIERI  11-</v>
      </c>
      <c r="C51" t="str">
        <f t="shared" ref="C51:C58" si="8">"4"</f>
        <v>4</v>
      </c>
      <c r="D51">
        <v>35</v>
      </c>
      <c r="E51" t="str">
        <f>"948"</f>
        <v>948</v>
      </c>
      <c r="F51" t="str">
        <f t="shared" si="6"/>
        <v>0000</v>
      </c>
    </row>
    <row r="52" spans="1:6">
      <c r="A52" t="str">
        <f>"E1145-1"</f>
        <v>E1145-1</v>
      </c>
      <c r="B52" t="str">
        <f>"VIA CERTOSA  15-"</f>
        <v>VIA CERTOSA  15-</v>
      </c>
      <c r="C52" t="str">
        <f t="shared" si="8"/>
        <v>4</v>
      </c>
      <c r="D52">
        <v>35</v>
      </c>
      <c r="E52" t="str">
        <f>"348"</f>
        <v>348</v>
      </c>
      <c r="F52" t="str">
        <f t="shared" si="6"/>
        <v>0000</v>
      </c>
    </row>
    <row r="53" spans="1:6">
      <c r="C53" t="str">
        <f t="shared" si="8"/>
        <v>4</v>
      </c>
      <c r="D53">
        <v>35</v>
      </c>
      <c r="E53" t="str">
        <f>"353"</f>
        <v>353</v>
      </c>
      <c r="F53" t="str">
        <f t="shared" si="6"/>
        <v>0000</v>
      </c>
    </row>
    <row r="54" spans="1:6">
      <c r="C54" t="str">
        <f t="shared" si="8"/>
        <v>4</v>
      </c>
      <c r="D54">
        <v>35</v>
      </c>
      <c r="E54" t="str">
        <f>"352"</f>
        <v>352</v>
      </c>
      <c r="F54" t="str">
        <f t="shared" si="6"/>
        <v>0000</v>
      </c>
    </row>
    <row r="55" spans="1:6">
      <c r="A55" t="str">
        <f>"E1145-2"</f>
        <v>E1145-2</v>
      </c>
      <c r="B55" t="str">
        <f>"VIA CERTOSA  15-"</f>
        <v>VIA CERTOSA  15-</v>
      </c>
      <c r="C55" t="str">
        <f t="shared" si="8"/>
        <v>4</v>
      </c>
      <c r="D55">
        <v>35</v>
      </c>
      <c r="E55" t="str">
        <f>"348"</f>
        <v>348</v>
      </c>
      <c r="F55" t="str">
        <f t="shared" si="6"/>
        <v>0000</v>
      </c>
    </row>
    <row r="56" spans="1:6">
      <c r="C56" t="str">
        <f t="shared" si="8"/>
        <v>4</v>
      </c>
      <c r="D56">
        <v>35</v>
      </c>
      <c r="E56" t="str">
        <f>"353"</f>
        <v>353</v>
      </c>
      <c r="F56" t="str">
        <f t="shared" si="6"/>
        <v>0000</v>
      </c>
    </row>
    <row r="57" spans="1:6">
      <c r="C57" t="str">
        <f t="shared" si="8"/>
        <v>4</v>
      </c>
      <c r="D57">
        <v>35</v>
      </c>
      <c r="E57" t="str">
        <f>"352"</f>
        <v>352</v>
      </c>
      <c r="F57" t="str">
        <f t="shared" si="6"/>
        <v>0000</v>
      </c>
    </row>
    <row r="58" spans="1:6">
      <c r="A58" t="str">
        <f>"E1146-1"</f>
        <v>E1146-1</v>
      </c>
      <c r="B58" t="str">
        <f>"PASSO TORBELLA  12B-"</f>
        <v>PASSO TORBELLA  12B-</v>
      </c>
      <c r="C58" t="str">
        <f t="shared" si="8"/>
        <v>4</v>
      </c>
      <c r="D58">
        <v>36</v>
      </c>
      <c r="E58" t="str">
        <f>"17"</f>
        <v>17</v>
      </c>
      <c r="F58" t="str">
        <f t="shared" si="6"/>
        <v>0000</v>
      </c>
    </row>
    <row r="59" spans="1:6">
      <c r="A59" t="str">
        <f>"E1147-1"</f>
        <v>E1147-1</v>
      </c>
      <c r="B59" t="str">
        <f>"PASSO TORBELLA VICINO AL 8-"</f>
        <v>PASSO TORBELLA VICINO AL 8-</v>
      </c>
      <c r="C59" t="str">
        <f>"RIV"</f>
        <v>RIV</v>
      </c>
      <c r="D59">
        <v>36</v>
      </c>
      <c r="E59" t="str">
        <f>"10"</f>
        <v>10</v>
      </c>
      <c r="F59" t="str">
        <f>"2"</f>
        <v>2</v>
      </c>
    </row>
    <row r="60" spans="1:6">
      <c r="A60" t="str">
        <f>"E1147-2"</f>
        <v>E1147-2</v>
      </c>
      <c r="B60" t="str">
        <f>"PASSO TORBELLA  8-"</f>
        <v>PASSO TORBELLA  8-</v>
      </c>
      <c r="C60" t="str">
        <f>"4"</f>
        <v>4</v>
      </c>
      <c r="D60">
        <v>36</v>
      </c>
      <c r="E60" t="str">
        <f>"10"</f>
        <v>10</v>
      </c>
      <c r="F60" t="str">
        <f>"0000"</f>
        <v>0000</v>
      </c>
    </row>
    <row r="61" spans="1:6">
      <c r="C61" t="str">
        <f>"4"</f>
        <v>4</v>
      </c>
      <c r="D61">
        <v>36</v>
      </c>
      <c r="E61" t="str">
        <f>"7"</f>
        <v>7</v>
      </c>
      <c r="F61" t="str">
        <f>"0000"</f>
        <v>0000</v>
      </c>
    </row>
    <row r="62" spans="1:6">
      <c r="A62" t="str">
        <f>"E1147-3"</f>
        <v>E1147-3</v>
      </c>
      <c r="B62" t="str">
        <f>"PASSO TORBELLA  12-"</f>
        <v>PASSO TORBELLA  12-</v>
      </c>
      <c r="C62" t="str">
        <f>"RIV"</f>
        <v>RIV</v>
      </c>
      <c r="D62">
        <v>36</v>
      </c>
      <c r="E62" t="str">
        <f>"10"</f>
        <v>10</v>
      </c>
      <c r="F62" t="str">
        <f>"1"</f>
        <v>1</v>
      </c>
    </row>
    <row r="63" spans="1:6">
      <c r="C63" t="str">
        <f>"RIV"</f>
        <v>RIV</v>
      </c>
      <c r="D63">
        <v>36</v>
      </c>
      <c r="E63" t="str">
        <f>"7"</f>
        <v>7</v>
      </c>
      <c r="F63" t="str">
        <f>"2"</f>
        <v>2</v>
      </c>
    </row>
    <row r="64" spans="1:6">
      <c r="A64" t="str">
        <f>"E1147-4"</f>
        <v>E1147-4</v>
      </c>
      <c r="B64" t="str">
        <f>"PASSO TORBELLA  12-"</f>
        <v>PASSO TORBELLA  12-</v>
      </c>
      <c r="C64" t="str">
        <f>"RIV"</f>
        <v>RIV</v>
      </c>
      <c r="D64">
        <v>36</v>
      </c>
      <c r="E64" t="str">
        <f>"10"</f>
        <v>10</v>
      </c>
      <c r="F64" t="str">
        <f>"4"</f>
        <v>4</v>
      </c>
    </row>
    <row r="65" spans="1:6">
      <c r="A65" t="str">
        <f>"E1147-5"</f>
        <v>E1147-5</v>
      </c>
      <c r="B65" t="str">
        <f>"PASSO TORBELLA  10-"</f>
        <v>PASSO TORBELLA  10-</v>
      </c>
      <c r="C65" t="str">
        <f>"4"</f>
        <v>4</v>
      </c>
      <c r="D65">
        <v>36</v>
      </c>
      <c r="E65" t="str">
        <f>"10"</f>
        <v>10</v>
      </c>
      <c r="F65" t="str">
        <f>"0000"</f>
        <v>0000</v>
      </c>
    </row>
    <row r="66" spans="1:6">
      <c r="C66" t="str">
        <f>"4"</f>
        <v>4</v>
      </c>
      <c r="D66">
        <v>36</v>
      </c>
      <c r="E66" t="str">
        <f>"7"</f>
        <v>7</v>
      </c>
      <c r="F66" t="str">
        <f>"0000"</f>
        <v>0000</v>
      </c>
    </row>
    <row r="67" spans="1:6">
      <c r="A67" t="str">
        <f>"E1148-1"</f>
        <v>E1148-1</v>
      </c>
      <c r="B67" t="str">
        <f>"VIA LODOVICO ARIOSTO  1-"</f>
        <v>VIA LODOVICO ARIOSTO  1-</v>
      </c>
      <c r="C67" t="str">
        <f>"RIV"</f>
        <v>RIV</v>
      </c>
      <c r="D67">
        <v>36</v>
      </c>
      <c r="E67" t="str">
        <f>"324"</f>
        <v>324</v>
      </c>
      <c r="F67" t="str">
        <f>"1"</f>
        <v>1</v>
      </c>
    </row>
    <row r="68" spans="1:6">
      <c r="A68" t="str">
        <f>"E1148-2"</f>
        <v>E1148-2</v>
      </c>
      <c r="B68" t="str">
        <f>"VIA LODOVICO ARIOSTO  1-"</f>
        <v>VIA LODOVICO ARIOSTO  1-</v>
      </c>
      <c r="C68" t="str">
        <f>"RIV"</f>
        <v>RIV</v>
      </c>
      <c r="D68">
        <v>36</v>
      </c>
      <c r="E68" t="str">
        <f>"324"</f>
        <v>324</v>
      </c>
      <c r="F68" t="str">
        <f>"2"</f>
        <v>2</v>
      </c>
    </row>
    <row r="69" spans="1:6">
      <c r="A69" t="str">
        <f>"E1149-1"</f>
        <v>E1149-1</v>
      </c>
      <c r="B69" t="str">
        <f>"SALITA BRASILE  32-"</f>
        <v>SALITA BRASILE  32-</v>
      </c>
      <c r="C69" t="str">
        <f>"4"</f>
        <v>4</v>
      </c>
      <c r="D69">
        <v>20</v>
      </c>
      <c r="E69" t="str">
        <f>"339"</f>
        <v>339</v>
      </c>
      <c r="F69" t="str">
        <f>"0000"</f>
        <v>0000</v>
      </c>
    </row>
    <row r="70" spans="1:6">
      <c r="A70" t="str">
        <f>"E1149-2"</f>
        <v>E1149-2</v>
      </c>
      <c r="B70" t="str">
        <f>"SALITA BRASILE  32-"</f>
        <v>SALITA BRASILE  32-</v>
      </c>
      <c r="C70" t="str">
        <f>"4"</f>
        <v>4</v>
      </c>
      <c r="D70">
        <v>20</v>
      </c>
      <c r="E70" t="str">
        <f>"339"</f>
        <v>339</v>
      </c>
      <c r="F70" t="str">
        <f>"0000"</f>
        <v>0000</v>
      </c>
    </row>
    <row r="71" spans="1:6">
      <c r="A71" t="str">
        <f>"E1152-1"</f>
        <v>E1152-1</v>
      </c>
      <c r="B71" t="str">
        <f>"VIA PASQUALE PASTORINO  36-"</f>
        <v>VIA PASQUALE PASTORINO  36-</v>
      </c>
      <c r="C71" t="str">
        <f>"4"</f>
        <v>4</v>
      </c>
      <c r="D71">
        <v>17</v>
      </c>
      <c r="E71" t="str">
        <f>"58"</f>
        <v>58</v>
      </c>
      <c r="F71" t="str">
        <f>"0000"</f>
        <v>0000</v>
      </c>
    </row>
    <row r="72" spans="1:6">
      <c r="A72" t="str">
        <f>"E1163-1"</f>
        <v>E1163-1</v>
      </c>
      <c r="B72" t="str">
        <f>"PIAZZA CHIESA DI MURTA  5A-"</f>
        <v>PIAZZA CHIESA DI MURTA  5A-</v>
      </c>
      <c r="C72" t="str">
        <f>"BOL"</f>
        <v>BOL</v>
      </c>
      <c r="D72">
        <v>15</v>
      </c>
      <c r="E72" t="str">
        <f>"1448"</f>
        <v>1448</v>
      </c>
      <c r="F72" t="str">
        <f>"0000"</f>
        <v>0000</v>
      </c>
    </row>
    <row r="73" spans="1:6">
      <c r="A73" t="str">
        <f>"E1164-1"</f>
        <v>E1164-1</v>
      </c>
      <c r="B73" t="str">
        <f>"VIA COSTANTINO RETA  3-"</f>
        <v>VIA COSTANTINO RETA  3-</v>
      </c>
      <c r="C73" t="str">
        <f>"RIV"</f>
        <v>RIV</v>
      </c>
      <c r="D73">
        <v>23</v>
      </c>
      <c r="E73" t="str">
        <f>"39"</f>
        <v>39</v>
      </c>
      <c r="F73" t="str">
        <f>"1"</f>
        <v>1</v>
      </c>
    </row>
    <row r="74" spans="1:6">
      <c r="A74" t="str">
        <f>"E1165-4"</f>
        <v>E1165-4</v>
      </c>
      <c r="B74" t="str">
        <f>"VIA COSTANTINO RETA  3G-"</f>
        <v>VIA COSTANTINO RETA  3G-</v>
      </c>
      <c r="C74" t="str">
        <f>"RIV"</f>
        <v>RIV</v>
      </c>
      <c r="D74">
        <v>23</v>
      </c>
      <c r="E74" t="str">
        <f>"40"</f>
        <v>40</v>
      </c>
      <c r="F74" t="str">
        <f>"1"</f>
        <v>1</v>
      </c>
    </row>
    <row r="75" spans="1:6">
      <c r="A75" t="str">
        <f>"E1166-1"</f>
        <v>E1166-1</v>
      </c>
      <c r="B75" t="str">
        <f>"VIA CARLO STUPARICH  10-"</f>
        <v>VIA CARLO STUPARICH  10-</v>
      </c>
      <c r="C75" t="str">
        <f>"BOL"</f>
        <v>BOL</v>
      </c>
      <c r="D75">
        <v>18</v>
      </c>
      <c r="E75" t="str">
        <f>"125"</f>
        <v>125</v>
      </c>
      <c r="F75" t="str">
        <f>"0000"</f>
        <v>0000</v>
      </c>
    </row>
    <row r="76" spans="1:6">
      <c r="A76" t="str">
        <f>"E1168-1"</f>
        <v>E1168-1</v>
      </c>
      <c r="B76" t="str">
        <f>"P.ZA DURAZZO PALLAVICINI  6-"</f>
        <v>P.ZA DURAZZO PALLAVICINI  6-</v>
      </c>
      <c r="C76" t="str">
        <f>"RIV"</f>
        <v>RIV</v>
      </c>
      <c r="D76">
        <v>34</v>
      </c>
      <c r="E76" t="str">
        <f>"817"</f>
        <v>817</v>
      </c>
      <c r="F76" t="str">
        <f>"0000"</f>
        <v>0000</v>
      </c>
    </row>
    <row r="77" spans="1:6">
      <c r="A77" t="str">
        <f>"E1168-2"</f>
        <v>E1168-2</v>
      </c>
      <c r="B77" t="str">
        <f>"P.ZA DURAZZO PALLAVICINI  6-"</f>
        <v>P.ZA DURAZZO PALLAVICINI  6-</v>
      </c>
      <c r="C77" t="str">
        <f>"4"</f>
        <v>4</v>
      </c>
      <c r="D77">
        <v>34</v>
      </c>
      <c r="E77" t="str">
        <f>"817"</f>
        <v>817</v>
      </c>
      <c r="F77" t="str">
        <f>"0000"</f>
        <v>0000</v>
      </c>
    </row>
    <row r="78" spans="1:6">
      <c r="A78" t="str">
        <f>"E1170-1"</f>
        <v>E1170-1</v>
      </c>
      <c r="B78" t="str">
        <f t="shared" ref="B78:B85" si="9">"VIA LODOVICO ARIOSTO VICINO AL 8-"</f>
        <v>VIA LODOVICO ARIOSTO VICINO AL 8-</v>
      </c>
      <c r="C78" t="str">
        <f>"RIV"</f>
        <v>RIV</v>
      </c>
      <c r="D78">
        <v>36</v>
      </c>
      <c r="E78" t="str">
        <f>"1614"</f>
        <v>1614</v>
      </c>
      <c r="F78" t="str">
        <f>"40"</f>
        <v>40</v>
      </c>
    </row>
    <row r="79" spans="1:6">
      <c r="A79" t="str">
        <f>"E1170-2"</f>
        <v>E1170-2</v>
      </c>
      <c r="B79" t="str">
        <f t="shared" si="9"/>
        <v>VIA LODOVICO ARIOSTO VICINO AL 8-</v>
      </c>
      <c r="C79" t="str">
        <f>"4"</f>
        <v>4</v>
      </c>
      <c r="D79">
        <v>36</v>
      </c>
      <c r="E79" t="str">
        <f>"1614"</f>
        <v>1614</v>
      </c>
      <c r="F79" t="str">
        <f>"0000"</f>
        <v>0000</v>
      </c>
    </row>
    <row r="80" spans="1:6">
      <c r="C80" t="str">
        <f>"4"</f>
        <v>4</v>
      </c>
      <c r="D80">
        <v>36</v>
      </c>
      <c r="E80" t="str">
        <f>"321"</f>
        <v>321</v>
      </c>
      <c r="F80" t="str">
        <f>"0000"</f>
        <v>0000</v>
      </c>
    </row>
    <row r="81" spans="1:6">
      <c r="A81" t="str">
        <f>"E1170-4"</f>
        <v>E1170-4</v>
      </c>
      <c r="B81" t="str">
        <f t="shared" si="9"/>
        <v>VIA LODOVICO ARIOSTO VICINO AL 8-</v>
      </c>
      <c r="C81" t="str">
        <f t="shared" ref="C81:C112" si="10">"RIV"</f>
        <v>RIV</v>
      </c>
      <c r="D81">
        <v>36</v>
      </c>
      <c r="E81" t="str">
        <f t="shared" ref="E81:E111" si="11">"1614"</f>
        <v>1614</v>
      </c>
      <c r="F81" t="str">
        <f>"13"</f>
        <v>13</v>
      </c>
    </row>
    <row r="82" spans="1:6">
      <c r="C82" t="str">
        <f t="shared" si="10"/>
        <v>RIV</v>
      </c>
      <c r="D82">
        <v>36</v>
      </c>
      <c r="E82" t="str">
        <f t="shared" si="11"/>
        <v>1614</v>
      </c>
      <c r="F82" t="str">
        <f>"14"</f>
        <v>14</v>
      </c>
    </row>
    <row r="83" spans="1:6">
      <c r="A83" t="str">
        <f>"E1170-5"</f>
        <v>E1170-5</v>
      </c>
      <c r="B83" t="str">
        <f t="shared" si="9"/>
        <v>VIA LODOVICO ARIOSTO VICINO AL 8-</v>
      </c>
      <c r="C83" t="str">
        <f t="shared" si="10"/>
        <v>RIV</v>
      </c>
      <c r="D83">
        <v>36</v>
      </c>
      <c r="E83" t="str">
        <f t="shared" si="11"/>
        <v>1614</v>
      </c>
      <c r="F83" t="str">
        <f>"15"</f>
        <v>15</v>
      </c>
    </row>
    <row r="84" spans="1:6">
      <c r="A84" t="str">
        <f>"E1170-6"</f>
        <v>E1170-6</v>
      </c>
      <c r="B84" t="str">
        <f t="shared" si="9"/>
        <v>VIA LODOVICO ARIOSTO VICINO AL 8-</v>
      </c>
      <c r="C84" t="str">
        <f t="shared" si="10"/>
        <v>RIV</v>
      </c>
      <c r="D84">
        <v>36</v>
      </c>
      <c r="E84" t="str">
        <f t="shared" si="11"/>
        <v>1614</v>
      </c>
      <c r="F84" t="str">
        <f>"16"</f>
        <v>16</v>
      </c>
    </row>
    <row r="85" spans="1:6">
      <c r="A85" t="str">
        <f>"E1170-7"</f>
        <v>E1170-7</v>
      </c>
      <c r="B85" t="str">
        <f t="shared" si="9"/>
        <v>VIA LODOVICO ARIOSTO VICINO AL 8-</v>
      </c>
      <c r="C85" t="str">
        <f t="shared" si="10"/>
        <v>RIV</v>
      </c>
      <c r="D85">
        <v>36</v>
      </c>
      <c r="E85" t="str">
        <f t="shared" si="11"/>
        <v>1614</v>
      </c>
      <c r="F85" t="str">
        <f>"17"</f>
        <v>17</v>
      </c>
    </row>
    <row r="86" spans="1:6">
      <c r="A86" t="str">
        <f>"E1170-8"</f>
        <v>E1170-8</v>
      </c>
      <c r="B86" t="str">
        <f>"VIA LODOVICO ARIOSTO  10A-"</f>
        <v>VIA LODOVICO ARIOSTO  10A-</v>
      </c>
      <c r="C86" t="str">
        <f t="shared" si="10"/>
        <v>RIV</v>
      </c>
      <c r="D86">
        <v>36</v>
      </c>
      <c r="E86" t="str">
        <f t="shared" si="11"/>
        <v>1614</v>
      </c>
      <c r="F86" t="str">
        <f>"7"</f>
        <v>7</v>
      </c>
    </row>
    <row r="87" spans="1:6">
      <c r="A87" t="str">
        <f>"E1170-9"</f>
        <v>E1170-9</v>
      </c>
      <c r="B87" t="str">
        <f>"VIA LODOVICO ARIOSTO VICINO AL 8-"</f>
        <v>VIA LODOVICO ARIOSTO VICINO AL 8-</v>
      </c>
      <c r="C87" t="str">
        <f t="shared" si="10"/>
        <v>RIV</v>
      </c>
      <c r="D87">
        <v>36</v>
      </c>
      <c r="E87" t="str">
        <f t="shared" si="11"/>
        <v>1614</v>
      </c>
      <c r="F87" t="str">
        <f>"1"</f>
        <v>1</v>
      </c>
    </row>
    <row r="88" spans="1:6">
      <c r="A88" t="str">
        <f>"E1170-15"</f>
        <v>E1170-15</v>
      </c>
      <c r="B88" t="str">
        <f>"VIA LODOVICO ARIOSTO  40R-"</f>
        <v>VIA LODOVICO ARIOSTO  40R-</v>
      </c>
      <c r="C88" t="str">
        <f t="shared" si="10"/>
        <v>RIV</v>
      </c>
      <c r="D88">
        <v>36</v>
      </c>
      <c r="E88" t="str">
        <f t="shared" si="11"/>
        <v>1614</v>
      </c>
      <c r="F88" t="str">
        <f>"10"</f>
        <v>10</v>
      </c>
    </row>
    <row r="89" spans="1:6">
      <c r="A89" t="str">
        <f>"E1170-16"</f>
        <v>E1170-16</v>
      </c>
      <c r="B89" t="str">
        <f>"VIA LODOVICO ARIOSTO  28R-"</f>
        <v>VIA LODOVICO ARIOSTO  28R-</v>
      </c>
      <c r="C89" t="str">
        <f t="shared" si="10"/>
        <v>RIV</v>
      </c>
      <c r="D89">
        <v>36</v>
      </c>
      <c r="E89" t="str">
        <f t="shared" si="11"/>
        <v>1614</v>
      </c>
      <c r="F89" t="str">
        <f>"20"</f>
        <v>20</v>
      </c>
    </row>
    <row r="90" spans="1:6">
      <c r="A90" t="str">
        <f>"E1170-17"</f>
        <v>E1170-17</v>
      </c>
      <c r="B90" t="str">
        <f>"VIA LODOVICO ARIOSTO  30R-"</f>
        <v>VIA LODOVICO ARIOSTO  30R-</v>
      </c>
      <c r="C90" t="str">
        <f t="shared" si="10"/>
        <v>RIV</v>
      </c>
      <c r="D90">
        <v>36</v>
      </c>
      <c r="E90" t="str">
        <f t="shared" si="11"/>
        <v>1614</v>
      </c>
      <c r="F90" t="str">
        <f>"21"</f>
        <v>21</v>
      </c>
    </row>
    <row r="91" spans="1:6">
      <c r="A91" t="str">
        <f>"E1170-18"</f>
        <v>E1170-18</v>
      </c>
      <c r="B91" t="str">
        <f>"VIA LODOVICO ARIOSTO  32R-"</f>
        <v>VIA LODOVICO ARIOSTO  32R-</v>
      </c>
      <c r="C91" t="str">
        <f t="shared" si="10"/>
        <v>RIV</v>
      </c>
      <c r="D91">
        <v>36</v>
      </c>
      <c r="E91" t="str">
        <f t="shared" si="11"/>
        <v>1614</v>
      </c>
      <c r="F91" t="str">
        <f>"22"</f>
        <v>22</v>
      </c>
    </row>
    <row r="92" spans="1:6">
      <c r="A92" t="str">
        <f>"E1170-19"</f>
        <v>E1170-19</v>
      </c>
      <c r="B92" t="str">
        <f>"VIA LODOVICO ARIOSTO  34R-"</f>
        <v>VIA LODOVICO ARIOSTO  34R-</v>
      </c>
      <c r="C92" t="str">
        <f t="shared" si="10"/>
        <v>RIV</v>
      </c>
      <c r="D92">
        <v>36</v>
      </c>
      <c r="E92" t="str">
        <f t="shared" si="11"/>
        <v>1614</v>
      </c>
      <c r="F92" t="str">
        <f>"23"</f>
        <v>23</v>
      </c>
    </row>
    <row r="93" spans="1:6">
      <c r="A93" t="str">
        <f>"E1170-20"</f>
        <v>E1170-20</v>
      </c>
      <c r="B93" t="str">
        <f>"VIA LODOVICO ARIOSTO  36R-"</f>
        <v>VIA LODOVICO ARIOSTO  36R-</v>
      </c>
      <c r="C93" t="str">
        <f t="shared" si="10"/>
        <v>RIV</v>
      </c>
      <c r="D93">
        <v>36</v>
      </c>
      <c r="E93" t="str">
        <f t="shared" si="11"/>
        <v>1614</v>
      </c>
      <c r="F93" t="str">
        <f>"24"</f>
        <v>24</v>
      </c>
    </row>
    <row r="94" spans="1:6">
      <c r="A94" t="str">
        <f>"E1170-21"</f>
        <v>E1170-21</v>
      </c>
      <c r="B94" t="str">
        <f>"VIA LODOVICO ARIOSTO  38R-"</f>
        <v>VIA LODOVICO ARIOSTO  38R-</v>
      </c>
      <c r="C94" t="str">
        <f t="shared" si="10"/>
        <v>RIV</v>
      </c>
      <c r="D94">
        <v>36</v>
      </c>
      <c r="E94" t="str">
        <f t="shared" si="11"/>
        <v>1614</v>
      </c>
      <c r="F94" t="str">
        <f>"25"</f>
        <v>25</v>
      </c>
    </row>
    <row r="95" spans="1:6">
      <c r="A95" t="str">
        <f>"E1170-22"</f>
        <v>E1170-22</v>
      </c>
      <c r="B95" t="str">
        <f t="shared" ref="B95:B102" si="12">"VIA LODOVICO ARIOSTO  8-"</f>
        <v>VIA LODOVICO ARIOSTO  8-</v>
      </c>
      <c r="C95" t="str">
        <f t="shared" si="10"/>
        <v>RIV</v>
      </c>
      <c r="D95">
        <v>36</v>
      </c>
      <c r="E95" t="str">
        <f t="shared" si="11"/>
        <v>1614</v>
      </c>
      <c r="F95" t="str">
        <f>"26"</f>
        <v>26</v>
      </c>
    </row>
    <row r="96" spans="1:6">
      <c r="A96" t="str">
        <f>"E1170-23"</f>
        <v>E1170-23</v>
      </c>
      <c r="B96" t="str">
        <f t="shared" si="12"/>
        <v>VIA LODOVICO ARIOSTO  8-</v>
      </c>
      <c r="C96" t="str">
        <f t="shared" si="10"/>
        <v>RIV</v>
      </c>
      <c r="D96">
        <v>36</v>
      </c>
      <c r="E96" t="str">
        <f t="shared" si="11"/>
        <v>1614</v>
      </c>
      <c r="F96" t="str">
        <f>"27"</f>
        <v>27</v>
      </c>
    </row>
    <row r="97" spans="1:6">
      <c r="A97" t="str">
        <f>"E1170-24"</f>
        <v>E1170-24</v>
      </c>
      <c r="B97" t="str">
        <f t="shared" si="12"/>
        <v>VIA LODOVICO ARIOSTO  8-</v>
      </c>
      <c r="C97" t="str">
        <f t="shared" si="10"/>
        <v>RIV</v>
      </c>
      <c r="D97">
        <v>36</v>
      </c>
      <c r="E97" t="str">
        <f t="shared" si="11"/>
        <v>1614</v>
      </c>
      <c r="F97" t="str">
        <f>"28"</f>
        <v>28</v>
      </c>
    </row>
    <row r="98" spans="1:6">
      <c r="A98" t="str">
        <f>"E1170-25"</f>
        <v>E1170-25</v>
      </c>
      <c r="B98" t="str">
        <f t="shared" si="12"/>
        <v>VIA LODOVICO ARIOSTO  8-</v>
      </c>
      <c r="C98" t="str">
        <f t="shared" si="10"/>
        <v>RIV</v>
      </c>
      <c r="D98">
        <v>36</v>
      </c>
      <c r="E98" t="str">
        <f t="shared" si="11"/>
        <v>1614</v>
      </c>
      <c r="F98" t="str">
        <f>"29"</f>
        <v>29</v>
      </c>
    </row>
    <row r="99" spans="1:6">
      <c r="A99" t="str">
        <f>"E1170-26"</f>
        <v>E1170-26</v>
      </c>
      <c r="B99" t="str">
        <f t="shared" si="12"/>
        <v>VIA LODOVICO ARIOSTO  8-</v>
      </c>
      <c r="C99" t="str">
        <f t="shared" si="10"/>
        <v>RIV</v>
      </c>
      <c r="D99">
        <v>36</v>
      </c>
      <c r="E99" t="str">
        <f t="shared" si="11"/>
        <v>1614</v>
      </c>
      <c r="F99" t="str">
        <f>"30"</f>
        <v>30</v>
      </c>
    </row>
    <row r="100" spans="1:6">
      <c r="A100" t="str">
        <f>"E1170-27"</f>
        <v>E1170-27</v>
      </c>
      <c r="B100" t="str">
        <f t="shared" si="12"/>
        <v>VIA LODOVICO ARIOSTO  8-</v>
      </c>
      <c r="C100" t="str">
        <f t="shared" si="10"/>
        <v>RIV</v>
      </c>
      <c r="D100">
        <v>36</v>
      </c>
      <c r="E100" t="str">
        <f t="shared" si="11"/>
        <v>1614</v>
      </c>
      <c r="F100" t="str">
        <f>"31"</f>
        <v>31</v>
      </c>
    </row>
    <row r="101" spans="1:6">
      <c r="A101" t="str">
        <f>"E1170-28"</f>
        <v>E1170-28</v>
      </c>
      <c r="B101" t="str">
        <f t="shared" si="12"/>
        <v>VIA LODOVICO ARIOSTO  8-</v>
      </c>
      <c r="C101" t="str">
        <f t="shared" si="10"/>
        <v>RIV</v>
      </c>
      <c r="D101">
        <v>36</v>
      </c>
      <c r="E101" t="str">
        <f t="shared" si="11"/>
        <v>1614</v>
      </c>
      <c r="F101" t="str">
        <f>"32"</f>
        <v>32</v>
      </c>
    </row>
    <row r="102" spans="1:6">
      <c r="A102" t="str">
        <f>"E1170-29"</f>
        <v>E1170-29</v>
      </c>
      <c r="B102" t="str">
        <f t="shared" si="12"/>
        <v>VIA LODOVICO ARIOSTO  8-</v>
      </c>
      <c r="C102" t="str">
        <f t="shared" si="10"/>
        <v>RIV</v>
      </c>
      <c r="D102">
        <v>36</v>
      </c>
      <c r="E102" t="str">
        <f t="shared" si="11"/>
        <v>1614</v>
      </c>
      <c r="F102" t="str">
        <f>"33"</f>
        <v>33</v>
      </c>
    </row>
    <row r="103" spans="1:6">
      <c r="A103" t="str">
        <f>"E1170-30"</f>
        <v>E1170-30</v>
      </c>
      <c r="B103" t="str">
        <f>"VIA LODOVICO ARIOSTO  10-"</f>
        <v>VIA LODOVICO ARIOSTO  10-</v>
      </c>
      <c r="C103" t="str">
        <f t="shared" si="10"/>
        <v>RIV</v>
      </c>
      <c r="D103">
        <v>36</v>
      </c>
      <c r="E103" t="str">
        <f t="shared" si="11"/>
        <v>1614</v>
      </c>
      <c r="F103" t="str">
        <f>"35"</f>
        <v>35</v>
      </c>
    </row>
    <row r="104" spans="1:6">
      <c r="A104" t="str">
        <f>"E1170-31"</f>
        <v>E1170-31</v>
      </c>
      <c r="B104" t="str">
        <f>"VIA LODOVICO ARIOSTO  10-"</f>
        <v>VIA LODOVICO ARIOSTO  10-</v>
      </c>
      <c r="C104" t="str">
        <f t="shared" si="10"/>
        <v>RIV</v>
      </c>
      <c r="D104">
        <v>36</v>
      </c>
      <c r="E104" t="str">
        <f t="shared" si="11"/>
        <v>1614</v>
      </c>
      <c r="F104" t="str">
        <f>"36"</f>
        <v>36</v>
      </c>
    </row>
    <row r="105" spans="1:6">
      <c r="A105" t="str">
        <f>"E1170-32"</f>
        <v>E1170-32</v>
      </c>
      <c r="B105" t="str">
        <f>"VIA LODOVICO ARIOSTO  10-"</f>
        <v>VIA LODOVICO ARIOSTO  10-</v>
      </c>
      <c r="C105" t="str">
        <f t="shared" si="10"/>
        <v>RIV</v>
      </c>
      <c r="D105">
        <v>36</v>
      </c>
      <c r="E105" t="str">
        <f t="shared" si="11"/>
        <v>1614</v>
      </c>
      <c r="F105" t="str">
        <f>"37"</f>
        <v>37</v>
      </c>
    </row>
    <row r="106" spans="1:6">
      <c r="A106" t="str">
        <f>"E1170-33"</f>
        <v>E1170-33</v>
      </c>
      <c r="B106" t="str">
        <f>"VIA LODOVICO ARIOSTO  10-"</f>
        <v>VIA LODOVICO ARIOSTO  10-</v>
      </c>
      <c r="C106" t="str">
        <f t="shared" si="10"/>
        <v>RIV</v>
      </c>
      <c r="D106">
        <v>36</v>
      </c>
      <c r="E106" t="str">
        <f t="shared" si="11"/>
        <v>1614</v>
      </c>
      <c r="F106" t="str">
        <f>"34"</f>
        <v>34</v>
      </c>
    </row>
    <row r="107" spans="1:6">
      <c r="A107" t="str">
        <f>"E1170-34"</f>
        <v>E1170-34</v>
      </c>
      <c r="B107" t="str">
        <f>"VIA LODOVICO ARIOSTO VICINO AL 8-"</f>
        <v>VIA LODOVICO ARIOSTO VICINO AL 8-</v>
      </c>
      <c r="C107" t="str">
        <f t="shared" si="10"/>
        <v>RIV</v>
      </c>
      <c r="D107">
        <v>36</v>
      </c>
      <c r="E107" t="str">
        <f t="shared" si="11"/>
        <v>1614</v>
      </c>
      <c r="F107" t="str">
        <f>"38"</f>
        <v>38</v>
      </c>
    </row>
    <row r="108" spans="1:6">
      <c r="A108" t="str">
        <f>"E1170-35"</f>
        <v>E1170-35</v>
      </c>
      <c r="B108" t="str">
        <f>"VIA LODOVICO ARIOSTO VICINO AL 8-"</f>
        <v>VIA LODOVICO ARIOSTO VICINO AL 8-</v>
      </c>
      <c r="C108" t="str">
        <f t="shared" si="10"/>
        <v>RIV</v>
      </c>
      <c r="D108">
        <v>36</v>
      </c>
      <c r="E108" t="str">
        <f t="shared" si="11"/>
        <v>1614</v>
      </c>
      <c r="F108" t="str">
        <f>"11"</f>
        <v>11</v>
      </c>
    </row>
    <row r="109" spans="1:6">
      <c r="A109" t="str">
        <f>"E1170-36"</f>
        <v>E1170-36</v>
      </c>
      <c r="B109" t="str">
        <f>"VIA LODOVICO ARIOSTO  8-"</f>
        <v>VIA LODOVICO ARIOSTO  8-</v>
      </c>
      <c r="C109" t="str">
        <f t="shared" si="10"/>
        <v>RIV</v>
      </c>
      <c r="D109">
        <v>36</v>
      </c>
      <c r="E109" t="str">
        <f t="shared" si="11"/>
        <v>1614</v>
      </c>
      <c r="F109" t="str">
        <f>"41"</f>
        <v>41</v>
      </c>
    </row>
    <row r="110" spans="1:6">
      <c r="A110" t="str">
        <f>"E1170-37"</f>
        <v>E1170-37</v>
      </c>
      <c r="B110" t="str">
        <f>"VIA LODOVICO ARIOSTO  8-"</f>
        <v>VIA LODOVICO ARIOSTO  8-</v>
      </c>
      <c r="C110" t="str">
        <f t="shared" si="10"/>
        <v>RIV</v>
      </c>
      <c r="D110">
        <v>36</v>
      </c>
      <c r="E110" t="str">
        <f t="shared" si="11"/>
        <v>1614</v>
      </c>
      <c r="F110" t="str">
        <f>"39"</f>
        <v>39</v>
      </c>
    </row>
    <row r="111" spans="1:6">
      <c r="A111" t="str">
        <f>"E1170-38"</f>
        <v>E1170-38</v>
      </c>
      <c r="B111" t="str">
        <f>"VIA LODOVICO ARIOSTO VICINO AL 8-"</f>
        <v>VIA LODOVICO ARIOSTO VICINO AL 8-</v>
      </c>
      <c r="C111" t="str">
        <f t="shared" si="10"/>
        <v>RIV</v>
      </c>
      <c r="D111">
        <v>36</v>
      </c>
      <c r="E111" t="str">
        <f t="shared" si="11"/>
        <v>1614</v>
      </c>
      <c r="F111" t="str">
        <f>"42"</f>
        <v>42</v>
      </c>
    </row>
    <row r="112" spans="1:6">
      <c r="A112" t="str">
        <f>"E1171-1"</f>
        <v>E1171-1</v>
      </c>
      <c r="B112" t="str">
        <f>"VIA ALLA COSTA DI TEGLIA  15-"</f>
        <v>VIA ALLA COSTA DI TEGLIA  15-</v>
      </c>
      <c r="C112" t="str">
        <f t="shared" si="10"/>
        <v>RIV</v>
      </c>
      <c r="D112">
        <v>26</v>
      </c>
      <c r="E112" t="str">
        <f>"556"</f>
        <v>556</v>
      </c>
      <c r="F112" t="str">
        <f>"1"</f>
        <v>1</v>
      </c>
    </row>
    <row r="113" spans="1:6">
      <c r="A113" t="str">
        <f>"E1172-1"</f>
        <v>E1172-1</v>
      </c>
      <c r="B113" t="str">
        <f>"VIA CAMPODONICO VICINO AL 85-"</f>
        <v>VIA CAMPODONICO VICINO AL 85-</v>
      </c>
      <c r="C113" t="str">
        <f>"4"</f>
        <v>4</v>
      </c>
      <c r="D113">
        <v>20</v>
      </c>
      <c r="E113" t="str">
        <f>"334"</f>
        <v>334</v>
      </c>
      <c r="F113" t="str">
        <f>"0000"</f>
        <v>0000</v>
      </c>
    </row>
    <row r="114" spans="1:6">
      <c r="A114" t="str">
        <f>"E1180-1"</f>
        <v>E1180-1</v>
      </c>
      <c r="B114" t="str">
        <f>"VIA DEI MOLINUSSI  7-"</f>
        <v>VIA DEI MOLINUSSI  7-</v>
      </c>
      <c r="C114" t="str">
        <f>"BOR"</f>
        <v>BOR</v>
      </c>
      <c r="D114">
        <v>68</v>
      </c>
      <c r="E114" t="str">
        <f>"5"</f>
        <v>5</v>
      </c>
      <c r="F114" t="str">
        <f>"1"</f>
        <v>1</v>
      </c>
    </row>
    <row r="115" spans="1:6">
      <c r="A115" t="str">
        <f>"E1181-1"</f>
        <v>E1181-1</v>
      </c>
      <c r="B115" t="str">
        <f>"VIA FRATELLI DI CORONATA  5-"</f>
        <v>VIA FRATELLI DI CORONATA  5-</v>
      </c>
      <c r="C115" t="str">
        <f>"BOR"</f>
        <v>BOR</v>
      </c>
      <c r="D115">
        <v>69</v>
      </c>
      <c r="E115" t="str">
        <f>"10"</f>
        <v>10</v>
      </c>
      <c r="F115" t="str">
        <f>"2"</f>
        <v>2</v>
      </c>
    </row>
    <row r="116" spans="1:6">
      <c r="C116" t="str">
        <f>"BOR"</f>
        <v>BOR</v>
      </c>
      <c r="D116">
        <v>69</v>
      </c>
      <c r="E116" t="str">
        <f>"9"</f>
        <v>9</v>
      </c>
      <c r="F116" t="str">
        <f>"4"</f>
        <v>4</v>
      </c>
    </row>
    <row r="117" spans="1:6">
      <c r="A117" t="str">
        <f>"E1182-1"</f>
        <v>E1182-1</v>
      </c>
      <c r="B117" t="str">
        <f>"VIA FRATELLI DI CORONATA VICINO AL 5-"</f>
        <v>VIA FRATELLI DI CORONATA VICINO AL 5-</v>
      </c>
      <c r="C117" t="str">
        <f>"BOR"</f>
        <v>BOR</v>
      </c>
      <c r="D117">
        <v>69</v>
      </c>
      <c r="E117" t="str">
        <f>"9"</f>
        <v>9</v>
      </c>
      <c r="F117" t="str">
        <f>"1"</f>
        <v>1</v>
      </c>
    </row>
    <row r="118" spans="1:6">
      <c r="A118" t="str">
        <f>"E1183-1"</f>
        <v>E1183-1</v>
      </c>
      <c r="B118" t="str">
        <f>"VIA FRATELLI DI CORONATA  11-"</f>
        <v>VIA FRATELLI DI CORONATA  11-</v>
      </c>
      <c r="C118" t="str">
        <f>"3"</f>
        <v>3</v>
      </c>
      <c r="D118">
        <v>69</v>
      </c>
      <c r="E118" t="str">
        <f>"12"</f>
        <v>12</v>
      </c>
      <c r="F118" t="str">
        <f>"0000"</f>
        <v>0000</v>
      </c>
    </row>
    <row r="119" spans="1:6">
      <c r="A119" t="str">
        <f>"E1183-2"</f>
        <v>E1183-2</v>
      </c>
      <c r="B119" t="str">
        <f>"VIA FRATELLI DI CORONATA  11-"</f>
        <v>VIA FRATELLI DI CORONATA  11-</v>
      </c>
      <c r="C119" t="str">
        <f>"3"</f>
        <v>3</v>
      </c>
      <c r="D119">
        <v>69</v>
      </c>
      <c r="E119" t="str">
        <f>"12"</f>
        <v>12</v>
      </c>
      <c r="F119" t="str">
        <f>"0000"</f>
        <v>0000</v>
      </c>
    </row>
    <row r="120" spans="1:6">
      <c r="A120" t="str">
        <f>"E1184-1"</f>
        <v>E1184-1</v>
      </c>
      <c r="B120" t="str">
        <f>"VIA FRATELLI DI CORONATA  7-"</f>
        <v>VIA FRATELLI DI CORONATA  7-</v>
      </c>
      <c r="C120" t="str">
        <f>"BOR"</f>
        <v>BOR</v>
      </c>
      <c r="D120">
        <v>69</v>
      </c>
      <c r="E120" t="str">
        <f>"10"</f>
        <v>10</v>
      </c>
      <c r="F120" t="str">
        <f>"1"</f>
        <v>1</v>
      </c>
    </row>
    <row r="121" spans="1:6">
      <c r="A121" t="str">
        <f>"E1185-1"</f>
        <v>E1185-1</v>
      </c>
      <c r="B121" t="str">
        <f>"VIA ALLA COSTA DI TEGLIA VICINO AL 3A-"</f>
        <v>VIA ALLA COSTA DI TEGLIA VICINO AL 3A-</v>
      </c>
      <c r="C121" t="str">
        <f>"4"</f>
        <v>4</v>
      </c>
      <c r="D121">
        <v>24</v>
      </c>
      <c r="E121" t="str">
        <f>"270"</f>
        <v>270</v>
      </c>
      <c r="F121" t="str">
        <f>"0000"</f>
        <v>0000</v>
      </c>
    </row>
    <row r="122" spans="1:6">
      <c r="A122" t="str">
        <f>"E1188-1"</f>
        <v>E1188-1</v>
      </c>
      <c r="B122" t="str">
        <f>"SALITA CHIESA DI FEGINO  18C-"</f>
        <v>SALITA CHIESA DI FEGINO  18C-</v>
      </c>
      <c r="C122" t="str">
        <f t="shared" ref="C122:C127" si="13">"BOR"</f>
        <v>BOR</v>
      </c>
      <c r="D122">
        <v>69</v>
      </c>
      <c r="E122" t="str">
        <f t="shared" ref="E122:E127" si="14">"73"</f>
        <v>73</v>
      </c>
      <c r="F122" t="str">
        <f>"4"</f>
        <v>4</v>
      </c>
    </row>
    <row r="123" spans="1:6">
      <c r="A123" t="str">
        <f>"E1188-2"</f>
        <v>E1188-2</v>
      </c>
      <c r="B123" t="str">
        <f>"SALITA CHIESA DI FEGINO  18A-"</f>
        <v>SALITA CHIESA DI FEGINO  18A-</v>
      </c>
      <c r="C123" t="str">
        <f t="shared" si="13"/>
        <v>BOR</v>
      </c>
      <c r="D123">
        <v>69</v>
      </c>
      <c r="E123" t="str">
        <f t="shared" si="14"/>
        <v>73</v>
      </c>
      <c r="F123" t="str">
        <f>"3"</f>
        <v>3</v>
      </c>
    </row>
    <row r="124" spans="1:6">
      <c r="A124" t="str">
        <f>"E1188-3"</f>
        <v>E1188-3</v>
      </c>
      <c r="B124" t="str">
        <f>"SALITA CHIESA DI FEGINO  18-"</f>
        <v>SALITA CHIESA DI FEGINO  18-</v>
      </c>
      <c r="C124" t="str">
        <f t="shared" si="13"/>
        <v>BOR</v>
      </c>
      <c r="D124">
        <v>69</v>
      </c>
      <c r="E124" t="str">
        <f t="shared" si="14"/>
        <v>73</v>
      </c>
      <c r="F124" t="str">
        <f>"6"</f>
        <v>6</v>
      </c>
    </row>
    <row r="125" spans="1:6">
      <c r="A125" t="str">
        <f>"E1188-5"</f>
        <v>E1188-5</v>
      </c>
      <c r="B125" t="str">
        <f>"SALITA CHIESA DI FEGINO  18-"</f>
        <v>SALITA CHIESA DI FEGINO  18-</v>
      </c>
      <c r="C125" t="str">
        <f t="shared" si="13"/>
        <v>BOR</v>
      </c>
      <c r="D125">
        <v>69</v>
      </c>
      <c r="E125" t="str">
        <f t="shared" si="14"/>
        <v>73</v>
      </c>
      <c r="F125" t="str">
        <f>"7"</f>
        <v>7</v>
      </c>
    </row>
    <row r="126" spans="1:6">
      <c r="A126" t="str">
        <f>"E1188-6"</f>
        <v>E1188-6</v>
      </c>
      <c r="B126" t="str">
        <f>"SALITA CHIESA DI FEGINO  18A-"</f>
        <v>SALITA CHIESA DI FEGINO  18A-</v>
      </c>
      <c r="C126" t="str">
        <f t="shared" si="13"/>
        <v>BOR</v>
      </c>
      <c r="D126">
        <v>69</v>
      </c>
      <c r="E126" t="str">
        <f t="shared" si="14"/>
        <v>73</v>
      </c>
      <c r="F126" t="str">
        <f>"8"</f>
        <v>8</v>
      </c>
    </row>
    <row r="127" spans="1:6">
      <c r="A127" t="str">
        <f>"E1188-7"</f>
        <v>E1188-7</v>
      </c>
      <c r="B127" t="str">
        <f>"SALITA CHIESA DI FEGINO  18C-"</f>
        <v>SALITA CHIESA DI FEGINO  18C-</v>
      </c>
      <c r="C127" t="str">
        <f t="shared" si="13"/>
        <v>BOR</v>
      </c>
      <c r="D127">
        <v>69</v>
      </c>
      <c r="E127" t="str">
        <f t="shared" si="14"/>
        <v>73</v>
      </c>
      <c r="F127" t="str">
        <f>"9"</f>
        <v>9</v>
      </c>
    </row>
    <row r="128" spans="1:6">
      <c r="A128" t="str">
        <f>"E1189-1"</f>
        <v>E1189-1</v>
      </c>
      <c r="B128" t="str">
        <f>"VIA FRATELLI DI CORONATA  28-"</f>
        <v>VIA FRATELLI DI CORONATA  28-</v>
      </c>
      <c r="C128" t="str">
        <f t="shared" ref="C128:C141" si="15">"COR"</f>
        <v>COR</v>
      </c>
      <c r="D128">
        <v>73</v>
      </c>
      <c r="E128" t="str">
        <f t="shared" ref="E128:E134" si="16">"20"</f>
        <v>20</v>
      </c>
      <c r="F128" t="str">
        <f>"1"</f>
        <v>1</v>
      </c>
    </row>
    <row r="129" spans="1:6">
      <c r="A129" t="str">
        <f>"E1189-2"</f>
        <v>E1189-2</v>
      </c>
      <c r="B129" t="str">
        <f>"VIA FRATELLI DI CORONATA  28-"</f>
        <v>VIA FRATELLI DI CORONATA  28-</v>
      </c>
      <c r="C129" t="str">
        <f t="shared" si="15"/>
        <v>COR</v>
      </c>
      <c r="D129">
        <v>73</v>
      </c>
      <c r="E129" t="str">
        <f t="shared" si="16"/>
        <v>20</v>
      </c>
      <c r="F129" t="str">
        <f>"2"</f>
        <v>2</v>
      </c>
    </row>
    <row r="130" spans="1:6">
      <c r="A130" t="str">
        <f>"E1189-3"</f>
        <v>E1189-3</v>
      </c>
      <c r="B130" t="str">
        <f>"VIA FRATELLI DI CORONATA  28-"</f>
        <v>VIA FRATELLI DI CORONATA  28-</v>
      </c>
      <c r="C130" t="str">
        <f t="shared" si="15"/>
        <v>COR</v>
      </c>
      <c r="D130">
        <v>73</v>
      </c>
      <c r="E130" t="str">
        <f t="shared" si="16"/>
        <v>20</v>
      </c>
      <c r="F130" t="str">
        <f>"3"</f>
        <v>3</v>
      </c>
    </row>
    <row r="131" spans="1:6">
      <c r="A131" t="str">
        <f>"E1189-4"</f>
        <v>E1189-4</v>
      </c>
      <c r="B131" t="str">
        <f>"VIA FRATELLI DI CORONATA  28-"</f>
        <v>VIA FRATELLI DI CORONATA  28-</v>
      </c>
      <c r="C131" t="str">
        <f t="shared" si="15"/>
        <v>COR</v>
      </c>
      <c r="D131">
        <v>73</v>
      </c>
      <c r="E131" t="str">
        <f t="shared" si="16"/>
        <v>20</v>
      </c>
      <c r="F131" t="str">
        <f>"4"</f>
        <v>4</v>
      </c>
    </row>
    <row r="132" spans="1:6">
      <c r="A132" t="str">
        <f>"E1189-5"</f>
        <v>E1189-5</v>
      </c>
      <c r="B132" t="str">
        <f>"VIA FRATELLI DI CORONATA  30-"</f>
        <v>VIA FRATELLI DI CORONATA  30-</v>
      </c>
      <c r="C132" t="str">
        <f t="shared" si="15"/>
        <v>COR</v>
      </c>
      <c r="D132">
        <v>73</v>
      </c>
      <c r="E132" t="str">
        <f t="shared" si="16"/>
        <v>20</v>
      </c>
      <c r="F132" t="str">
        <f>"5"</f>
        <v>5</v>
      </c>
    </row>
    <row r="133" spans="1:6">
      <c r="A133" t="str">
        <f>"E1189-6"</f>
        <v>E1189-6</v>
      </c>
      <c r="B133" t="str">
        <f>"VIA FRATELLI DI CORONATA  30-"</f>
        <v>VIA FRATELLI DI CORONATA  30-</v>
      </c>
      <c r="C133" t="str">
        <f t="shared" si="15"/>
        <v>COR</v>
      </c>
      <c r="D133">
        <v>73</v>
      </c>
      <c r="E133" t="str">
        <f t="shared" si="16"/>
        <v>20</v>
      </c>
      <c r="F133" t="str">
        <f>"6"</f>
        <v>6</v>
      </c>
    </row>
    <row r="134" spans="1:6">
      <c r="A134" t="str">
        <f>"E1189-7"</f>
        <v>E1189-7</v>
      </c>
      <c r="B134" t="str">
        <f t="shared" ref="B134:B139" si="17">"VIA FRATELLI DI CORONATA  28-"</f>
        <v>VIA FRATELLI DI CORONATA  28-</v>
      </c>
      <c r="C134" t="str">
        <f t="shared" si="15"/>
        <v>COR</v>
      </c>
      <c r="D134">
        <v>73</v>
      </c>
      <c r="E134" t="str">
        <f t="shared" si="16"/>
        <v>20</v>
      </c>
      <c r="F134" t="str">
        <f>"7"</f>
        <v>7</v>
      </c>
    </row>
    <row r="135" spans="1:6">
      <c r="C135" t="str">
        <f t="shared" si="15"/>
        <v>COR</v>
      </c>
      <c r="D135">
        <v>73</v>
      </c>
      <c r="E135" t="str">
        <f>"296"</f>
        <v>296</v>
      </c>
      <c r="F135" t="str">
        <f>"0000"</f>
        <v>0000</v>
      </c>
    </row>
    <row r="136" spans="1:6">
      <c r="A136" t="str">
        <f>"E1189-8"</f>
        <v>E1189-8</v>
      </c>
      <c r="B136" t="str">
        <f t="shared" si="17"/>
        <v>VIA FRATELLI DI CORONATA  28-</v>
      </c>
      <c r="C136" t="str">
        <f t="shared" si="15"/>
        <v>COR</v>
      </c>
      <c r="D136">
        <v>73</v>
      </c>
      <c r="E136" t="str">
        <f t="shared" ref="E136:E142" si="18">"20"</f>
        <v>20</v>
      </c>
      <c r="F136" t="str">
        <f>"8"</f>
        <v>8</v>
      </c>
    </row>
    <row r="137" spans="1:6">
      <c r="A137" t="str">
        <f>"E1189-9"</f>
        <v>E1189-9</v>
      </c>
      <c r="B137" t="str">
        <f t="shared" si="17"/>
        <v>VIA FRATELLI DI CORONATA  28-</v>
      </c>
      <c r="C137" t="str">
        <f t="shared" si="15"/>
        <v>COR</v>
      </c>
      <c r="D137">
        <v>73</v>
      </c>
      <c r="E137" t="str">
        <f t="shared" si="18"/>
        <v>20</v>
      </c>
      <c r="F137" t="str">
        <f>"9"</f>
        <v>9</v>
      </c>
    </row>
    <row r="138" spans="1:6">
      <c r="A138" t="str">
        <f>"E1189-10"</f>
        <v>E1189-10</v>
      </c>
      <c r="B138" t="str">
        <f t="shared" si="17"/>
        <v>VIA FRATELLI DI CORONATA  28-</v>
      </c>
      <c r="C138" t="str">
        <f t="shared" si="15"/>
        <v>COR</v>
      </c>
      <c r="D138">
        <v>73</v>
      </c>
      <c r="E138" t="str">
        <f t="shared" si="18"/>
        <v>20</v>
      </c>
      <c r="F138" t="str">
        <f>"10"</f>
        <v>10</v>
      </c>
    </row>
    <row r="139" spans="1:6">
      <c r="A139" t="str">
        <f>"E1189-11"</f>
        <v>E1189-11</v>
      </c>
      <c r="B139" t="str">
        <f t="shared" si="17"/>
        <v>VIA FRATELLI DI CORONATA  28-</v>
      </c>
      <c r="C139" t="str">
        <f t="shared" si="15"/>
        <v>COR</v>
      </c>
      <c r="D139">
        <v>73</v>
      </c>
      <c r="E139" t="str">
        <f t="shared" si="18"/>
        <v>20</v>
      </c>
      <c r="F139" t="str">
        <f>"11"</f>
        <v>11</v>
      </c>
    </row>
    <row r="140" spans="1:6">
      <c r="A140" t="str">
        <f>"E1189-12"</f>
        <v>E1189-12</v>
      </c>
      <c r="B140" t="str">
        <f>"VIA FRATELLI DI CORONATA  30-"</f>
        <v>VIA FRATELLI DI CORONATA  30-</v>
      </c>
      <c r="C140" t="str">
        <f t="shared" si="15"/>
        <v>COR</v>
      </c>
      <c r="D140">
        <v>73</v>
      </c>
      <c r="E140" t="str">
        <f t="shared" si="18"/>
        <v>20</v>
      </c>
      <c r="F140" t="str">
        <f>"12"</f>
        <v>12</v>
      </c>
    </row>
    <row r="141" spans="1:6">
      <c r="A141" t="str">
        <f>"E1189-13"</f>
        <v>E1189-13</v>
      </c>
      <c r="B141" t="str">
        <f>"VIA FRATELLI DI CORONATA  30-"</f>
        <v>VIA FRATELLI DI CORONATA  30-</v>
      </c>
      <c r="C141" t="str">
        <f t="shared" si="15"/>
        <v>COR</v>
      </c>
      <c r="D141">
        <v>73</v>
      </c>
      <c r="E141" t="str">
        <f t="shared" si="18"/>
        <v>20</v>
      </c>
      <c r="F141" t="str">
        <f>"13"</f>
        <v>13</v>
      </c>
    </row>
    <row r="142" spans="1:6">
      <c r="A142" t="str">
        <f>"E1190-1"</f>
        <v>E1190-1</v>
      </c>
      <c r="B142" t="str">
        <f>"VIA PASQUALE PASTORINO VICINO AL 26R-"</f>
        <v>VIA PASQUALE PASTORINO VICINO AL 26R-</v>
      </c>
      <c r="C142" t="str">
        <f t="shared" ref="C142:C150" si="19">"4"</f>
        <v>4</v>
      </c>
      <c r="D142">
        <v>18</v>
      </c>
      <c r="E142" t="str">
        <f t="shared" si="18"/>
        <v>20</v>
      </c>
      <c r="F142" t="str">
        <f t="shared" ref="F142:F151" si="20">"0000"</f>
        <v>0000</v>
      </c>
    </row>
    <row r="143" spans="1:6">
      <c r="C143" t="str">
        <f t="shared" si="19"/>
        <v>4</v>
      </c>
      <c r="D143">
        <v>18</v>
      </c>
      <c r="E143" t="str">
        <f>"21"</f>
        <v>21</v>
      </c>
      <c r="F143" t="str">
        <f t="shared" si="20"/>
        <v>0000</v>
      </c>
    </row>
    <row r="144" spans="1:6">
      <c r="A144" t="str">
        <f>"E1191-1"</f>
        <v>E1191-1</v>
      </c>
      <c r="B144" t="str">
        <f>"VIA GARELLO VICINO AL 1-"</f>
        <v>VIA GARELLO VICINO AL 1-</v>
      </c>
      <c r="C144" t="str">
        <f t="shared" si="19"/>
        <v>4</v>
      </c>
      <c r="D144">
        <v>35</v>
      </c>
      <c r="E144" t="str">
        <f>"99999"</f>
        <v>99999</v>
      </c>
      <c r="F144" t="str">
        <f t="shared" si="20"/>
        <v>0000</v>
      </c>
    </row>
    <row r="145" spans="1:6">
      <c r="A145" t="str">
        <f>"E1192-1"</f>
        <v>E1192-1</v>
      </c>
      <c r="B145" t="str">
        <f>"VIA CASTELLUCCIO VICINO AL 17-"</f>
        <v>VIA CASTELLUCCIO VICINO AL 17-</v>
      </c>
      <c r="C145" t="str">
        <f t="shared" si="19"/>
        <v>4</v>
      </c>
      <c r="D145">
        <v>36</v>
      </c>
      <c r="E145" t="str">
        <f>"99999"</f>
        <v>99999</v>
      </c>
      <c r="F145" t="str">
        <f t="shared" si="20"/>
        <v>0000</v>
      </c>
    </row>
    <row r="146" spans="1:6">
      <c r="A146" t="str">
        <f>"E1193-1"</f>
        <v>E1193-1</v>
      </c>
      <c r="B146" t="str">
        <f>"VIA FALIERO VEZZANI VICINO AL 19-"</f>
        <v>VIA FALIERO VEZZANI VICINO AL 19-</v>
      </c>
      <c r="C146" t="str">
        <f t="shared" si="19"/>
        <v>4</v>
      </c>
      <c r="D146">
        <v>37</v>
      </c>
      <c r="E146" t="str">
        <f>"464"</f>
        <v>464</v>
      </c>
      <c r="F146" t="str">
        <f t="shared" si="20"/>
        <v>0000</v>
      </c>
    </row>
    <row r="147" spans="1:6">
      <c r="A147" t="str">
        <f>"E1194-1"</f>
        <v>E1194-1</v>
      </c>
      <c r="B147" t="str">
        <f>"VIA MOREGO  48-"</f>
        <v>VIA MOREGO  48-</v>
      </c>
      <c r="C147" t="str">
        <f t="shared" si="19"/>
        <v>4</v>
      </c>
      <c r="D147">
        <v>9</v>
      </c>
      <c r="E147" t="str">
        <f>"87"</f>
        <v>87</v>
      </c>
      <c r="F147" t="str">
        <f t="shared" si="20"/>
        <v>0000</v>
      </c>
    </row>
    <row r="148" spans="1:6">
      <c r="A148" t="str">
        <f>"E1195-1"</f>
        <v>E1195-1</v>
      </c>
      <c r="B148" t="str">
        <f>"VIA SIDNEY SONNINO  8-"</f>
        <v>VIA SIDNEY SONNINO  8-</v>
      </c>
      <c r="C148" t="str">
        <f t="shared" si="19"/>
        <v>4</v>
      </c>
      <c r="D148">
        <v>35</v>
      </c>
      <c r="E148" t="str">
        <f>"22"</f>
        <v>22</v>
      </c>
      <c r="F148" t="str">
        <f t="shared" si="20"/>
        <v>0000</v>
      </c>
    </row>
    <row r="149" spans="1:6">
      <c r="A149" t="str">
        <f>"E1195-2"</f>
        <v>E1195-2</v>
      </c>
      <c r="B149" t="str">
        <f>"VIA SIDNEY SONNINO  8-"</f>
        <v>VIA SIDNEY SONNINO  8-</v>
      </c>
      <c r="C149" t="str">
        <f t="shared" si="19"/>
        <v>4</v>
      </c>
      <c r="D149">
        <v>35</v>
      </c>
      <c r="E149" t="str">
        <f>"22"</f>
        <v>22</v>
      </c>
      <c r="F149" t="str">
        <f t="shared" si="20"/>
        <v>0000</v>
      </c>
    </row>
    <row r="150" spans="1:6">
      <c r="A150" t="str">
        <f>"E1195-3"</f>
        <v>E1195-3</v>
      </c>
      <c r="B150" t="str">
        <f>"VIA SIDNEY SONNINO VICINO AL 14R-"</f>
        <v>VIA SIDNEY SONNINO VICINO AL 14R-</v>
      </c>
      <c r="C150" t="str">
        <f t="shared" si="19"/>
        <v>4</v>
      </c>
      <c r="D150">
        <v>35</v>
      </c>
      <c r="E150" t="str">
        <f>"22"</f>
        <v>22</v>
      </c>
      <c r="F150" t="str">
        <f t="shared" si="20"/>
        <v>0000</v>
      </c>
    </row>
    <row r="151" spans="1:6">
      <c r="A151" t="str">
        <f>"E1196-1"</f>
        <v>E1196-1</v>
      </c>
      <c r="B151" t="str">
        <f>"VIA SIDNEY SONNINO VICINO AL 14R-"</f>
        <v>VIA SIDNEY SONNINO VICINO AL 14R-</v>
      </c>
      <c r="C151" t="str">
        <f>"RIV"</f>
        <v>RIV</v>
      </c>
      <c r="D151">
        <v>35</v>
      </c>
      <c r="E151" t="str">
        <f>"553"</f>
        <v>553</v>
      </c>
      <c r="F151" t="str">
        <f t="shared" si="20"/>
        <v>0000</v>
      </c>
    </row>
    <row r="152" spans="1:6">
      <c r="A152" t="str">
        <f>"E1197-3"</f>
        <v>E1197-3</v>
      </c>
      <c r="B152" t="str">
        <f>"VIA MONTE PERTICA  11-"</f>
        <v>VIA MONTE PERTICA  11-</v>
      </c>
      <c r="C152" t="str">
        <f>"BOL"</f>
        <v>BOL</v>
      </c>
      <c r="D152">
        <v>18</v>
      </c>
      <c r="E152" t="str">
        <f>"212"</f>
        <v>212</v>
      </c>
      <c r="F152" t="str">
        <f>"3"</f>
        <v>3</v>
      </c>
    </row>
    <row r="153" spans="1:6">
      <c r="A153" t="str">
        <f>"E1198-1"</f>
        <v>E1198-1</v>
      </c>
      <c r="B153" t="str">
        <f>"VIA TEGLIA  2B-"</f>
        <v>VIA TEGLIA  2B-</v>
      </c>
      <c r="C153" t="str">
        <f t="shared" ref="C153:C160" si="21">"4"</f>
        <v>4</v>
      </c>
      <c r="D153">
        <v>24</v>
      </c>
      <c r="E153" t="str">
        <f>"209"</f>
        <v>209</v>
      </c>
      <c r="F153" t="str">
        <f t="shared" ref="F153:F160" si="22">"0000"</f>
        <v>0000</v>
      </c>
    </row>
    <row r="154" spans="1:6">
      <c r="C154" t="str">
        <f t="shared" si="21"/>
        <v>4</v>
      </c>
      <c r="D154">
        <v>24</v>
      </c>
      <c r="E154" t="str">
        <f>"432"</f>
        <v>432</v>
      </c>
      <c r="F154" t="str">
        <f t="shared" si="22"/>
        <v>0000</v>
      </c>
    </row>
    <row r="155" spans="1:6">
      <c r="C155" t="str">
        <f t="shared" si="21"/>
        <v>4</v>
      </c>
      <c r="D155">
        <v>24</v>
      </c>
      <c r="E155" t="str">
        <f>"434"</f>
        <v>434</v>
      </c>
      <c r="F155" t="str">
        <f t="shared" si="22"/>
        <v>0000</v>
      </c>
    </row>
    <row r="156" spans="1:6">
      <c r="C156" t="str">
        <f t="shared" si="21"/>
        <v>4</v>
      </c>
      <c r="D156">
        <v>24</v>
      </c>
      <c r="E156" t="str">
        <f>"433"</f>
        <v>433</v>
      </c>
      <c r="F156" t="str">
        <f t="shared" si="22"/>
        <v>0000</v>
      </c>
    </row>
    <row r="157" spans="1:6">
      <c r="C157" t="str">
        <f t="shared" si="21"/>
        <v>4</v>
      </c>
      <c r="D157">
        <v>24</v>
      </c>
      <c r="E157" t="str">
        <f>"352"</f>
        <v>352</v>
      </c>
      <c r="F157" t="str">
        <f t="shared" si="22"/>
        <v>0000</v>
      </c>
    </row>
    <row r="158" spans="1:6">
      <c r="C158" t="str">
        <f t="shared" si="21"/>
        <v>4</v>
      </c>
      <c r="D158">
        <v>24</v>
      </c>
      <c r="E158" t="str">
        <f>"210"</f>
        <v>210</v>
      </c>
      <c r="F158" t="str">
        <f t="shared" si="22"/>
        <v>0000</v>
      </c>
    </row>
    <row r="159" spans="1:6">
      <c r="C159" t="str">
        <f t="shared" si="21"/>
        <v>4</v>
      </c>
      <c r="D159">
        <v>24</v>
      </c>
      <c r="E159" t="str">
        <f>"345"</f>
        <v>345</v>
      </c>
      <c r="F159" t="str">
        <f t="shared" si="22"/>
        <v>0000</v>
      </c>
    </row>
    <row r="160" spans="1:6">
      <c r="A160" t="str">
        <f>"E1200-1"</f>
        <v>E1200-1</v>
      </c>
      <c r="B160" t="str">
        <f>"VIA COSTANTINO RETA VICINO AL 28R-"</f>
        <v>VIA COSTANTINO RETA VICINO AL 28R-</v>
      </c>
      <c r="C160" t="str">
        <f t="shared" si="21"/>
        <v>4</v>
      </c>
      <c r="D160">
        <v>18</v>
      </c>
      <c r="E160" t="str">
        <f>"308"</f>
        <v>308</v>
      </c>
      <c r="F160" t="str">
        <f t="shared" si="22"/>
        <v>0000</v>
      </c>
    </row>
    <row r="161" spans="1:6">
      <c r="A161" t="str">
        <f>"E1201-2"</f>
        <v>E1201-2</v>
      </c>
      <c r="B161" t="str">
        <f>"VIA CARLO LINNEO  178-"</f>
        <v>VIA CARLO LINNEO  178-</v>
      </c>
      <c r="C161" t="str">
        <f t="shared" ref="C161:C224" si="23">"RIV"</f>
        <v>RIV</v>
      </c>
      <c r="D161">
        <v>26</v>
      </c>
      <c r="E161" t="str">
        <f t="shared" ref="E161:E184" si="24">"751"</f>
        <v>751</v>
      </c>
      <c r="F161" t="str">
        <f>"2"</f>
        <v>2</v>
      </c>
    </row>
    <row r="162" spans="1:6">
      <c r="A162" t="str">
        <f>"E1201-3"</f>
        <v>E1201-3</v>
      </c>
      <c r="B162" t="str">
        <f>"VIA CARLO LINNEO  176-"</f>
        <v>VIA CARLO LINNEO  176-</v>
      </c>
      <c r="C162" t="str">
        <f t="shared" si="23"/>
        <v>RIV</v>
      </c>
      <c r="D162">
        <v>26</v>
      </c>
      <c r="E162" t="str">
        <f t="shared" si="24"/>
        <v>751</v>
      </c>
      <c r="F162" t="str">
        <f>"3"</f>
        <v>3</v>
      </c>
    </row>
    <row r="163" spans="1:6">
      <c r="A163" t="str">
        <f>"E1201-4"</f>
        <v>E1201-4</v>
      </c>
      <c r="B163" t="str">
        <f>"VIA CARLO LINNEO  174-"</f>
        <v>VIA CARLO LINNEO  174-</v>
      </c>
      <c r="C163" t="str">
        <f t="shared" si="23"/>
        <v>RIV</v>
      </c>
      <c r="D163">
        <v>26</v>
      </c>
      <c r="E163" t="str">
        <f t="shared" si="24"/>
        <v>751</v>
      </c>
      <c r="F163" t="str">
        <f>"4"</f>
        <v>4</v>
      </c>
    </row>
    <row r="164" spans="1:6">
      <c r="A164" t="str">
        <f>"E1201-6"</f>
        <v>E1201-6</v>
      </c>
      <c r="B164" t="str">
        <f>"VIA CARLO LINNEO  170-"</f>
        <v>VIA CARLO LINNEO  170-</v>
      </c>
      <c r="C164" t="str">
        <f t="shared" si="23"/>
        <v>RIV</v>
      </c>
      <c r="D164">
        <v>26</v>
      </c>
      <c r="E164" t="str">
        <f t="shared" si="24"/>
        <v>751</v>
      </c>
      <c r="F164" t="str">
        <f>"6"</f>
        <v>6</v>
      </c>
    </row>
    <row r="165" spans="1:6">
      <c r="A165" t="str">
        <f>"E1201-7"</f>
        <v>E1201-7</v>
      </c>
      <c r="B165" t="str">
        <f t="shared" ref="B165:B179" si="25">"VIA CARLO LINNEO VICINO AL 170-"</f>
        <v>VIA CARLO LINNEO VICINO AL 170-</v>
      </c>
      <c r="C165" t="str">
        <f t="shared" si="23"/>
        <v>RIV</v>
      </c>
      <c r="D165">
        <v>26</v>
      </c>
      <c r="E165" t="str">
        <f t="shared" si="24"/>
        <v>751</v>
      </c>
      <c r="F165" t="str">
        <f>"7"</f>
        <v>7</v>
      </c>
    </row>
    <row r="166" spans="1:6">
      <c r="A166" t="str">
        <f>"E1201-8"</f>
        <v>E1201-8</v>
      </c>
      <c r="B166" t="str">
        <f t="shared" si="25"/>
        <v>VIA CARLO LINNEO VICINO AL 170-</v>
      </c>
      <c r="C166" t="str">
        <f t="shared" si="23"/>
        <v>RIV</v>
      </c>
      <c r="D166">
        <v>26</v>
      </c>
      <c r="E166" t="str">
        <f t="shared" si="24"/>
        <v>751</v>
      </c>
      <c r="F166" t="str">
        <f>"8"</f>
        <v>8</v>
      </c>
    </row>
    <row r="167" spans="1:6">
      <c r="A167" t="str">
        <f>"E1201-9"</f>
        <v>E1201-9</v>
      </c>
      <c r="B167" t="str">
        <f t="shared" si="25"/>
        <v>VIA CARLO LINNEO VICINO AL 170-</v>
      </c>
      <c r="C167" t="str">
        <f t="shared" si="23"/>
        <v>RIV</v>
      </c>
      <c r="D167">
        <v>26</v>
      </c>
      <c r="E167" t="str">
        <f t="shared" si="24"/>
        <v>751</v>
      </c>
      <c r="F167" t="str">
        <f>"9"</f>
        <v>9</v>
      </c>
    </row>
    <row r="168" spans="1:6">
      <c r="A168" t="str">
        <f>"E1201-10"</f>
        <v>E1201-10</v>
      </c>
      <c r="B168" t="str">
        <f t="shared" si="25"/>
        <v>VIA CARLO LINNEO VICINO AL 170-</v>
      </c>
      <c r="C168" t="str">
        <f t="shared" si="23"/>
        <v>RIV</v>
      </c>
      <c r="D168">
        <v>26</v>
      </c>
      <c r="E168" t="str">
        <f t="shared" si="24"/>
        <v>751</v>
      </c>
      <c r="F168" t="str">
        <f>"10"</f>
        <v>10</v>
      </c>
    </row>
    <row r="169" spans="1:6">
      <c r="A169" t="str">
        <f>"E1201-11"</f>
        <v>E1201-11</v>
      </c>
      <c r="B169" t="str">
        <f t="shared" si="25"/>
        <v>VIA CARLO LINNEO VICINO AL 170-</v>
      </c>
      <c r="C169" t="str">
        <f t="shared" si="23"/>
        <v>RIV</v>
      </c>
      <c r="D169">
        <v>26</v>
      </c>
      <c r="E169" t="str">
        <f t="shared" si="24"/>
        <v>751</v>
      </c>
      <c r="F169" t="str">
        <f>"11"</f>
        <v>11</v>
      </c>
    </row>
    <row r="170" spans="1:6">
      <c r="A170" t="str">
        <f>"E1201-12"</f>
        <v>E1201-12</v>
      </c>
      <c r="B170" t="str">
        <f t="shared" si="25"/>
        <v>VIA CARLO LINNEO VICINO AL 170-</v>
      </c>
      <c r="C170" t="str">
        <f t="shared" si="23"/>
        <v>RIV</v>
      </c>
      <c r="D170">
        <v>26</v>
      </c>
      <c r="E170" t="str">
        <f t="shared" si="24"/>
        <v>751</v>
      </c>
      <c r="F170" t="str">
        <f>"12"</f>
        <v>12</v>
      </c>
    </row>
    <row r="171" spans="1:6">
      <c r="A171" t="str">
        <f>"E1201-13"</f>
        <v>E1201-13</v>
      </c>
      <c r="B171" t="str">
        <f t="shared" si="25"/>
        <v>VIA CARLO LINNEO VICINO AL 170-</v>
      </c>
      <c r="C171" t="str">
        <f t="shared" si="23"/>
        <v>RIV</v>
      </c>
      <c r="D171">
        <v>26</v>
      </c>
      <c r="E171" t="str">
        <f t="shared" si="24"/>
        <v>751</v>
      </c>
      <c r="F171" t="str">
        <f>"13"</f>
        <v>13</v>
      </c>
    </row>
    <row r="172" spans="1:6">
      <c r="A172" t="str">
        <f>"E1201-14"</f>
        <v>E1201-14</v>
      </c>
      <c r="B172" t="str">
        <f t="shared" si="25"/>
        <v>VIA CARLO LINNEO VICINO AL 170-</v>
      </c>
      <c r="C172" t="str">
        <f t="shared" si="23"/>
        <v>RIV</v>
      </c>
      <c r="D172">
        <v>26</v>
      </c>
      <c r="E172" t="str">
        <f t="shared" si="24"/>
        <v>751</v>
      </c>
      <c r="F172" t="str">
        <f>"14"</f>
        <v>14</v>
      </c>
    </row>
    <row r="173" spans="1:6">
      <c r="A173" t="str">
        <f>"E1201-15"</f>
        <v>E1201-15</v>
      </c>
      <c r="B173" t="str">
        <f t="shared" si="25"/>
        <v>VIA CARLO LINNEO VICINO AL 170-</v>
      </c>
      <c r="C173" t="str">
        <f t="shared" si="23"/>
        <v>RIV</v>
      </c>
      <c r="D173">
        <v>26</v>
      </c>
      <c r="E173" t="str">
        <f t="shared" si="24"/>
        <v>751</v>
      </c>
      <c r="F173" t="str">
        <f>"15"</f>
        <v>15</v>
      </c>
    </row>
    <row r="174" spans="1:6">
      <c r="A174" t="str">
        <f>"E1201-16"</f>
        <v>E1201-16</v>
      </c>
      <c r="B174" t="str">
        <f t="shared" si="25"/>
        <v>VIA CARLO LINNEO VICINO AL 170-</v>
      </c>
      <c r="C174" t="str">
        <f t="shared" si="23"/>
        <v>RIV</v>
      </c>
      <c r="D174">
        <v>26</v>
      </c>
      <c r="E174" t="str">
        <f t="shared" si="24"/>
        <v>751</v>
      </c>
      <c r="F174" t="str">
        <f>"16"</f>
        <v>16</v>
      </c>
    </row>
    <row r="175" spans="1:6">
      <c r="A175" t="str">
        <f>"E1201-17"</f>
        <v>E1201-17</v>
      </c>
      <c r="B175" t="str">
        <f t="shared" si="25"/>
        <v>VIA CARLO LINNEO VICINO AL 170-</v>
      </c>
      <c r="C175" t="str">
        <f t="shared" si="23"/>
        <v>RIV</v>
      </c>
      <c r="D175">
        <v>26</v>
      </c>
      <c r="E175" t="str">
        <f t="shared" si="24"/>
        <v>751</v>
      </c>
      <c r="F175" t="str">
        <f>"17"</f>
        <v>17</v>
      </c>
    </row>
    <row r="176" spans="1:6">
      <c r="A176" t="str">
        <f>"E1201-18"</f>
        <v>E1201-18</v>
      </c>
      <c r="B176" t="str">
        <f t="shared" si="25"/>
        <v>VIA CARLO LINNEO VICINO AL 170-</v>
      </c>
      <c r="C176" t="str">
        <f t="shared" si="23"/>
        <v>RIV</v>
      </c>
      <c r="D176">
        <v>26</v>
      </c>
      <c r="E176" t="str">
        <f t="shared" si="24"/>
        <v>751</v>
      </c>
      <c r="F176" t="str">
        <f>"18"</f>
        <v>18</v>
      </c>
    </row>
    <row r="177" spans="1:6">
      <c r="A177" t="str">
        <f>"E1201-19"</f>
        <v>E1201-19</v>
      </c>
      <c r="B177" t="str">
        <f t="shared" si="25"/>
        <v>VIA CARLO LINNEO VICINO AL 170-</v>
      </c>
      <c r="C177" t="str">
        <f t="shared" si="23"/>
        <v>RIV</v>
      </c>
      <c r="D177">
        <v>26</v>
      </c>
      <c r="E177" t="str">
        <f t="shared" si="24"/>
        <v>751</v>
      </c>
      <c r="F177" t="str">
        <f>"19"</f>
        <v>19</v>
      </c>
    </row>
    <row r="178" spans="1:6">
      <c r="A178" t="str">
        <f>"E1201-20"</f>
        <v>E1201-20</v>
      </c>
      <c r="B178" t="str">
        <f t="shared" si="25"/>
        <v>VIA CARLO LINNEO VICINO AL 170-</v>
      </c>
      <c r="C178" t="str">
        <f t="shared" si="23"/>
        <v>RIV</v>
      </c>
      <c r="D178">
        <v>26</v>
      </c>
      <c r="E178" t="str">
        <f t="shared" si="24"/>
        <v>751</v>
      </c>
      <c r="F178" t="str">
        <f>"20"</f>
        <v>20</v>
      </c>
    </row>
    <row r="179" spans="1:6">
      <c r="A179" t="str">
        <f>"E1201-21"</f>
        <v>E1201-21</v>
      </c>
      <c r="B179" t="str">
        <f t="shared" si="25"/>
        <v>VIA CARLO LINNEO VICINO AL 170-</v>
      </c>
      <c r="C179" t="str">
        <f t="shared" si="23"/>
        <v>RIV</v>
      </c>
      <c r="D179">
        <v>26</v>
      </c>
      <c r="E179" t="str">
        <f t="shared" si="24"/>
        <v>751</v>
      </c>
      <c r="F179" t="str">
        <f>"21"</f>
        <v>21</v>
      </c>
    </row>
    <row r="180" spans="1:6">
      <c r="A180" t="str">
        <f>"E1201-22"</f>
        <v>E1201-22</v>
      </c>
      <c r="B180" t="str">
        <f>"VIA CARLO LINNEO  182-"</f>
        <v>VIA CARLO LINNEO  182-</v>
      </c>
      <c r="C180" t="str">
        <f t="shared" si="23"/>
        <v>RIV</v>
      </c>
      <c r="D180">
        <v>26</v>
      </c>
      <c r="E180" t="str">
        <f t="shared" si="24"/>
        <v>751</v>
      </c>
      <c r="F180" t="str">
        <f>"22"</f>
        <v>22</v>
      </c>
    </row>
    <row r="181" spans="1:6">
      <c r="A181" t="str">
        <f>"E1201-23"</f>
        <v>E1201-23</v>
      </c>
      <c r="B181" t="str">
        <f>"VIA CARLO LINNEO  182-"</f>
        <v>VIA CARLO LINNEO  182-</v>
      </c>
      <c r="C181" t="str">
        <f t="shared" si="23"/>
        <v>RIV</v>
      </c>
      <c r="D181">
        <v>26</v>
      </c>
      <c r="E181" t="str">
        <f t="shared" si="24"/>
        <v>751</v>
      </c>
      <c r="F181" t="str">
        <f>"23"</f>
        <v>23</v>
      </c>
    </row>
    <row r="182" spans="1:6">
      <c r="A182" t="str">
        <f>"E1201-24"</f>
        <v>E1201-24</v>
      </c>
      <c r="B182" t="str">
        <f>"VIA CARLO LINNEO  168-"</f>
        <v>VIA CARLO LINNEO  168-</v>
      </c>
      <c r="C182" t="str">
        <f t="shared" si="23"/>
        <v>RIV</v>
      </c>
      <c r="D182">
        <v>26</v>
      </c>
      <c r="E182" t="str">
        <f t="shared" si="24"/>
        <v>751</v>
      </c>
      <c r="F182" t="str">
        <f>"24"</f>
        <v>24</v>
      </c>
    </row>
    <row r="183" spans="1:6">
      <c r="A183" t="str">
        <f>"E1201-25"</f>
        <v>E1201-25</v>
      </c>
      <c r="B183" t="str">
        <f>"VIA CARLO LINNEO  166-"</f>
        <v>VIA CARLO LINNEO  166-</v>
      </c>
      <c r="C183" t="str">
        <f t="shared" si="23"/>
        <v>RIV</v>
      </c>
      <c r="D183">
        <v>26</v>
      </c>
      <c r="E183" t="str">
        <f t="shared" si="24"/>
        <v>751</v>
      </c>
      <c r="F183" t="str">
        <f>"25"</f>
        <v>25</v>
      </c>
    </row>
    <row r="184" spans="1:6">
      <c r="A184" t="str">
        <f>"E1201-26"</f>
        <v>E1201-26</v>
      </c>
      <c r="B184" t="str">
        <f>"VIA CARLO LINNEO  164-"</f>
        <v>VIA CARLO LINNEO  164-</v>
      </c>
      <c r="C184" t="str">
        <f t="shared" si="23"/>
        <v>RIV</v>
      </c>
      <c r="D184">
        <v>26</v>
      </c>
      <c r="E184" t="str">
        <f t="shared" si="24"/>
        <v>751</v>
      </c>
      <c r="F184" t="str">
        <f>"26"</f>
        <v>26</v>
      </c>
    </row>
    <row r="185" spans="1:6">
      <c r="A185" t="str">
        <f>"E1202-1"</f>
        <v>E1202-1</v>
      </c>
      <c r="B185" t="str">
        <f>"VIA CARLO LINNEO  148-"</f>
        <v>VIA CARLO LINNEO  148-</v>
      </c>
      <c r="C185" t="str">
        <f t="shared" si="23"/>
        <v>RIV</v>
      </c>
      <c r="D185">
        <v>26</v>
      </c>
      <c r="E185" t="str">
        <f t="shared" ref="E185:E202" si="26">"752"</f>
        <v>752</v>
      </c>
      <c r="F185" t="str">
        <f>"1"</f>
        <v>1</v>
      </c>
    </row>
    <row r="186" spans="1:6">
      <c r="A186" t="str">
        <f>"E1202-2"</f>
        <v>E1202-2</v>
      </c>
      <c r="B186" t="str">
        <f>"VIA CARLO LINNEO  146-"</f>
        <v>VIA CARLO LINNEO  146-</v>
      </c>
      <c r="C186" t="str">
        <f t="shared" si="23"/>
        <v>RIV</v>
      </c>
      <c r="D186">
        <v>26</v>
      </c>
      <c r="E186" t="str">
        <f t="shared" si="26"/>
        <v>752</v>
      </c>
      <c r="F186" t="str">
        <f>"2"</f>
        <v>2</v>
      </c>
    </row>
    <row r="187" spans="1:6">
      <c r="A187" t="str">
        <f>"E1202-3"</f>
        <v>E1202-3</v>
      </c>
      <c r="B187" t="str">
        <f>"VIA CARLO LINNEO  144-"</f>
        <v>VIA CARLO LINNEO  144-</v>
      </c>
      <c r="C187" t="str">
        <f t="shared" si="23"/>
        <v>RIV</v>
      </c>
      <c r="D187">
        <v>26</v>
      </c>
      <c r="E187" t="str">
        <f t="shared" si="26"/>
        <v>752</v>
      </c>
      <c r="F187" t="str">
        <f>"3"</f>
        <v>3</v>
      </c>
    </row>
    <row r="188" spans="1:6">
      <c r="A188" t="str">
        <f>"E1202-4"</f>
        <v>E1202-4</v>
      </c>
      <c r="B188" t="str">
        <f>"VIA CARLO LINNEO  142-"</f>
        <v>VIA CARLO LINNEO  142-</v>
      </c>
      <c r="C188" t="str">
        <f t="shared" si="23"/>
        <v>RIV</v>
      </c>
      <c r="D188">
        <v>26</v>
      </c>
      <c r="E188" t="str">
        <f t="shared" si="26"/>
        <v>752</v>
      </c>
      <c r="F188" t="str">
        <f>"4"</f>
        <v>4</v>
      </c>
    </row>
    <row r="189" spans="1:6">
      <c r="A189" t="str">
        <f>"E1202-5"</f>
        <v>E1202-5</v>
      </c>
      <c r="B189" t="str">
        <f>"VIA CARLO LINNEO  140-"</f>
        <v>VIA CARLO LINNEO  140-</v>
      </c>
      <c r="C189" t="str">
        <f t="shared" si="23"/>
        <v>RIV</v>
      </c>
      <c r="D189">
        <v>26</v>
      </c>
      <c r="E189" t="str">
        <f t="shared" si="26"/>
        <v>752</v>
      </c>
      <c r="F189" t="str">
        <f>"5"</f>
        <v>5</v>
      </c>
    </row>
    <row r="190" spans="1:6">
      <c r="A190" t="str">
        <f>"E1202-6"</f>
        <v>E1202-6</v>
      </c>
      <c r="B190" t="str">
        <f>"VIA CARLO LINNEO  138-"</f>
        <v>VIA CARLO LINNEO  138-</v>
      </c>
      <c r="C190" t="str">
        <f t="shared" si="23"/>
        <v>RIV</v>
      </c>
      <c r="D190">
        <v>26</v>
      </c>
      <c r="E190" t="str">
        <f t="shared" si="26"/>
        <v>752</v>
      </c>
      <c r="F190" t="str">
        <f>"6"</f>
        <v>6</v>
      </c>
    </row>
    <row r="191" spans="1:6">
      <c r="A191" t="str">
        <f>"E1202-7"</f>
        <v>E1202-7</v>
      </c>
      <c r="B191" t="str">
        <f>"VIA CARLO LINNEO  136-"</f>
        <v>VIA CARLO LINNEO  136-</v>
      </c>
      <c r="C191" t="str">
        <f t="shared" si="23"/>
        <v>RIV</v>
      </c>
      <c r="D191">
        <v>26</v>
      </c>
      <c r="E191" t="str">
        <f t="shared" si="26"/>
        <v>752</v>
      </c>
      <c r="F191" t="str">
        <f>"7"</f>
        <v>7</v>
      </c>
    </row>
    <row r="192" spans="1:6">
      <c r="A192" t="str">
        <f>"E1202-8"</f>
        <v>E1202-8</v>
      </c>
      <c r="B192" t="str">
        <f>"VIA CARLO LINNEO  134-"</f>
        <v>VIA CARLO LINNEO  134-</v>
      </c>
      <c r="C192" t="str">
        <f t="shared" si="23"/>
        <v>RIV</v>
      </c>
      <c r="D192">
        <v>26</v>
      </c>
      <c r="E192" t="str">
        <f t="shared" si="26"/>
        <v>752</v>
      </c>
      <c r="F192" t="str">
        <f>"8"</f>
        <v>8</v>
      </c>
    </row>
    <row r="193" spans="1:6">
      <c r="A193" t="str">
        <f>"E1202-9"</f>
        <v>E1202-9</v>
      </c>
      <c r="B193" t="str">
        <f>"VIA CARLO LINNEO  150-"</f>
        <v>VIA CARLO LINNEO  150-</v>
      </c>
      <c r="C193" t="str">
        <f t="shared" si="23"/>
        <v>RIV</v>
      </c>
      <c r="D193">
        <v>26</v>
      </c>
      <c r="E193" t="str">
        <f t="shared" si="26"/>
        <v>752</v>
      </c>
      <c r="F193" t="str">
        <f>"9"</f>
        <v>9</v>
      </c>
    </row>
    <row r="194" spans="1:6">
      <c r="A194" t="str">
        <f>"E1202-10"</f>
        <v>E1202-10</v>
      </c>
      <c r="B194" t="str">
        <f>"VIA CARLO LINNEO  150-"</f>
        <v>VIA CARLO LINNEO  150-</v>
      </c>
      <c r="C194" t="str">
        <f t="shared" si="23"/>
        <v>RIV</v>
      </c>
      <c r="D194">
        <v>26</v>
      </c>
      <c r="E194" t="str">
        <f t="shared" si="26"/>
        <v>752</v>
      </c>
      <c r="F194" t="str">
        <f>"10"</f>
        <v>10</v>
      </c>
    </row>
    <row r="195" spans="1:6">
      <c r="A195" t="str">
        <f>"E1202-11"</f>
        <v>E1202-11</v>
      </c>
      <c r="B195" t="str">
        <f>"VIA CARLO LINNEO  150-"</f>
        <v>VIA CARLO LINNEO  150-</v>
      </c>
      <c r="C195" t="str">
        <f t="shared" si="23"/>
        <v>RIV</v>
      </c>
      <c r="D195">
        <v>26</v>
      </c>
      <c r="E195" t="str">
        <f t="shared" si="26"/>
        <v>752</v>
      </c>
      <c r="F195" t="str">
        <f>"11"</f>
        <v>11</v>
      </c>
    </row>
    <row r="196" spans="1:6">
      <c r="A196" t="str">
        <f>"E1202-12"</f>
        <v>E1202-12</v>
      </c>
      <c r="B196" t="str">
        <f>"VIA CARLO LINNEO  154-"</f>
        <v>VIA CARLO LINNEO  154-</v>
      </c>
      <c r="C196" t="str">
        <f t="shared" si="23"/>
        <v>RIV</v>
      </c>
      <c r="D196">
        <v>26</v>
      </c>
      <c r="E196" t="str">
        <f t="shared" si="26"/>
        <v>752</v>
      </c>
      <c r="F196" t="str">
        <f>"12"</f>
        <v>12</v>
      </c>
    </row>
    <row r="197" spans="1:6">
      <c r="A197" t="str">
        <f>"E1202-13"</f>
        <v>E1202-13</v>
      </c>
      <c r="B197" t="str">
        <f>"VIA CARLO LINNEO  154-"</f>
        <v>VIA CARLO LINNEO  154-</v>
      </c>
      <c r="C197" t="str">
        <f t="shared" si="23"/>
        <v>RIV</v>
      </c>
      <c r="D197">
        <v>26</v>
      </c>
      <c r="E197" t="str">
        <f t="shared" si="26"/>
        <v>752</v>
      </c>
      <c r="F197" t="str">
        <f>"13"</f>
        <v>13</v>
      </c>
    </row>
    <row r="198" spans="1:6">
      <c r="A198" t="str">
        <f>"E1202-14"</f>
        <v>E1202-14</v>
      </c>
      <c r="B198" t="str">
        <f>"VIA CARLO LINNEO  154-"</f>
        <v>VIA CARLO LINNEO  154-</v>
      </c>
      <c r="C198" t="str">
        <f t="shared" si="23"/>
        <v>RIV</v>
      </c>
      <c r="D198">
        <v>26</v>
      </c>
      <c r="E198" t="str">
        <f t="shared" si="26"/>
        <v>752</v>
      </c>
      <c r="F198" t="str">
        <f>"14"</f>
        <v>14</v>
      </c>
    </row>
    <row r="199" spans="1:6">
      <c r="A199" t="str">
        <f>"E1202-15"</f>
        <v>E1202-15</v>
      </c>
      <c r="B199" t="str">
        <f>"VIA CARLO LINNEO  156-"</f>
        <v>VIA CARLO LINNEO  156-</v>
      </c>
      <c r="C199" t="str">
        <f t="shared" si="23"/>
        <v>RIV</v>
      </c>
      <c r="D199">
        <v>26</v>
      </c>
      <c r="E199" t="str">
        <f t="shared" si="26"/>
        <v>752</v>
      </c>
      <c r="F199" t="str">
        <f>"15"</f>
        <v>15</v>
      </c>
    </row>
    <row r="200" spans="1:6">
      <c r="A200" t="str">
        <f>"E1202-16"</f>
        <v>E1202-16</v>
      </c>
      <c r="B200" t="str">
        <f>"VIA CARLO LINNEO  158-"</f>
        <v>VIA CARLO LINNEO  158-</v>
      </c>
      <c r="C200" t="str">
        <f t="shared" si="23"/>
        <v>RIV</v>
      </c>
      <c r="D200">
        <v>26</v>
      </c>
      <c r="E200" t="str">
        <f t="shared" si="26"/>
        <v>752</v>
      </c>
      <c r="F200" t="str">
        <f>"16"</f>
        <v>16</v>
      </c>
    </row>
    <row r="201" spans="1:6">
      <c r="A201" t="str">
        <f>"E1202-17"</f>
        <v>E1202-17</v>
      </c>
      <c r="B201" t="str">
        <f>"VIA CARLO LINNEO  160-"</f>
        <v>VIA CARLO LINNEO  160-</v>
      </c>
      <c r="C201" t="str">
        <f t="shared" si="23"/>
        <v>RIV</v>
      </c>
      <c r="D201">
        <v>26</v>
      </c>
      <c r="E201" t="str">
        <f t="shared" si="26"/>
        <v>752</v>
      </c>
      <c r="F201" t="str">
        <f>"17"</f>
        <v>17</v>
      </c>
    </row>
    <row r="202" spans="1:6">
      <c r="A202" t="str">
        <f>"E1202-18"</f>
        <v>E1202-18</v>
      </c>
      <c r="B202" t="str">
        <f>"VIA CARLO LINNEO  162-"</f>
        <v>VIA CARLO LINNEO  162-</v>
      </c>
      <c r="C202" t="str">
        <f t="shared" si="23"/>
        <v>RIV</v>
      </c>
      <c r="D202">
        <v>26</v>
      </c>
      <c r="E202" t="str">
        <f t="shared" si="26"/>
        <v>752</v>
      </c>
      <c r="F202" t="str">
        <f>"18"</f>
        <v>18</v>
      </c>
    </row>
    <row r="203" spans="1:6">
      <c r="A203" t="str">
        <f>"E1203-1"</f>
        <v>E1203-1</v>
      </c>
      <c r="B203" t="str">
        <f t="shared" ref="B203:B234" si="27">"VIA P NEGROTTO CAMBIASO  121-"</f>
        <v>VIA P NEGROTTO CAMBIASO  121-</v>
      </c>
      <c r="C203" t="str">
        <f t="shared" si="23"/>
        <v>RIV</v>
      </c>
      <c r="D203">
        <v>26</v>
      </c>
      <c r="E203" t="str">
        <f t="shared" ref="E203:E234" si="28">"753"</f>
        <v>753</v>
      </c>
      <c r="F203" t="str">
        <f>"169"</f>
        <v>169</v>
      </c>
    </row>
    <row r="204" spans="1:6">
      <c r="A204" t="str">
        <f>"E1203-2"</f>
        <v>E1203-2</v>
      </c>
      <c r="B204" t="str">
        <f t="shared" si="27"/>
        <v>VIA P NEGROTTO CAMBIASO  121-</v>
      </c>
      <c r="C204" t="str">
        <f t="shared" si="23"/>
        <v>RIV</v>
      </c>
      <c r="D204">
        <v>26</v>
      </c>
      <c r="E204" t="str">
        <f t="shared" si="28"/>
        <v>753</v>
      </c>
      <c r="F204" t="str">
        <f>"146"</f>
        <v>146</v>
      </c>
    </row>
    <row r="205" spans="1:6">
      <c r="A205" t="str">
        <f>"E1203-3"</f>
        <v>E1203-3</v>
      </c>
      <c r="B205" t="str">
        <f t="shared" si="27"/>
        <v>VIA P NEGROTTO CAMBIASO  121-</v>
      </c>
      <c r="C205" t="str">
        <f t="shared" si="23"/>
        <v>RIV</v>
      </c>
      <c r="D205">
        <v>26</v>
      </c>
      <c r="E205" t="str">
        <f t="shared" si="28"/>
        <v>753</v>
      </c>
      <c r="F205" t="str">
        <f>"140"</f>
        <v>140</v>
      </c>
    </row>
    <row r="206" spans="1:6">
      <c r="A206" t="str">
        <f>"E1203-4"</f>
        <v>E1203-4</v>
      </c>
      <c r="B206" t="str">
        <f t="shared" si="27"/>
        <v>VIA P NEGROTTO CAMBIASO  121-</v>
      </c>
      <c r="C206" t="str">
        <f t="shared" si="23"/>
        <v>RIV</v>
      </c>
      <c r="D206">
        <v>26</v>
      </c>
      <c r="E206" t="str">
        <f t="shared" si="28"/>
        <v>753</v>
      </c>
      <c r="F206" t="str">
        <f>"119"</f>
        <v>119</v>
      </c>
    </row>
    <row r="207" spans="1:6">
      <c r="A207" t="str">
        <f>"E1203-5"</f>
        <v>E1203-5</v>
      </c>
      <c r="B207" t="str">
        <f t="shared" si="27"/>
        <v>VIA P NEGROTTO CAMBIASO  121-</v>
      </c>
      <c r="C207" t="str">
        <f t="shared" si="23"/>
        <v>RIV</v>
      </c>
      <c r="D207">
        <v>26</v>
      </c>
      <c r="E207" t="str">
        <f t="shared" si="28"/>
        <v>753</v>
      </c>
      <c r="F207" t="str">
        <f>"172"</f>
        <v>172</v>
      </c>
    </row>
    <row r="208" spans="1:6">
      <c r="A208" t="str">
        <f>"E1203-6"</f>
        <v>E1203-6</v>
      </c>
      <c r="B208" t="str">
        <f t="shared" si="27"/>
        <v>VIA P NEGROTTO CAMBIASO  121-</v>
      </c>
      <c r="C208" t="str">
        <f t="shared" si="23"/>
        <v>RIV</v>
      </c>
      <c r="D208">
        <v>26</v>
      </c>
      <c r="E208" t="str">
        <f t="shared" si="28"/>
        <v>753</v>
      </c>
      <c r="F208" t="str">
        <f>"173"</f>
        <v>173</v>
      </c>
    </row>
    <row r="209" spans="1:6">
      <c r="A209" t="str">
        <f>"E1203-7"</f>
        <v>E1203-7</v>
      </c>
      <c r="B209" t="str">
        <f t="shared" si="27"/>
        <v>VIA P NEGROTTO CAMBIASO  121-</v>
      </c>
      <c r="C209" t="str">
        <f t="shared" si="23"/>
        <v>RIV</v>
      </c>
      <c r="D209">
        <v>26</v>
      </c>
      <c r="E209" t="str">
        <f t="shared" si="28"/>
        <v>753</v>
      </c>
      <c r="F209" t="str">
        <f>"174"</f>
        <v>174</v>
      </c>
    </row>
    <row r="210" spans="1:6">
      <c r="A210" t="str">
        <f>"E1203-8"</f>
        <v>E1203-8</v>
      </c>
      <c r="B210" t="str">
        <f t="shared" si="27"/>
        <v>VIA P NEGROTTO CAMBIASO  121-</v>
      </c>
      <c r="C210" t="str">
        <f t="shared" si="23"/>
        <v>RIV</v>
      </c>
      <c r="D210">
        <v>26</v>
      </c>
      <c r="E210" t="str">
        <f t="shared" si="28"/>
        <v>753</v>
      </c>
      <c r="F210" t="str">
        <f>"175"</f>
        <v>175</v>
      </c>
    </row>
    <row r="211" spans="1:6">
      <c r="A211" t="str">
        <f>"E1203-9"</f>
        <v>E1203-9</v>
      </c>
      <c r="B211" t="str">
        <f t="shared" si="27"/>
        <v>VIA P NEGROTTO CAMBIASO  121-</v>
      </c>
      <c r="C211" t="str">
        <f t="shared" si="23"/>
        <v>RIV</v>
      </c>
      <c r="D211">
        <v>26</v>
      </c>
      <c r="E211" t="str">
        <f t="shared" si="28"/>
        <v>753</v>
      </c>
      <c r="F211" t="str">
        <f>"167"</f>
        <v>167</v>
      </c>
    </row>
    <row r="212" spans="1:6">
      <c r="A212" t="str">
        <f>"E1203-10"</f>
        <v>E1203-10</v>
      </c>
      <c r="B212" t="str">
        <f t="shared" si="27"/>
        <v>VIA P NEGROTTO CAMBIASO  121-</v>
      </c>
      <c r="C212" t="str">
        <f t="shared" si="23"/>
        <v>RIV</v>
      </c>
      <c r="D212">
        <v>26</v>
      </c>
      <c r="E212" t="str">
        <f t="shared" si="28"/>
        <v>753</v>
      </c>
      <c r="F212" t="str">
        <f>"168"</f>
        <v>168</v>
      </c>
    </row>
    <row r="213" spans="1:6">
      <c r="A213" t="str">
        <f>"E1203-11"</f>
        <v>E1203-11</v>
      </c>
      <c r="B213" t="str">
        <f t="shared" si="27"/>
        <v>VIA P NEGROTTO CAMBIASO  121-</v>
      </c>
      <c r="C213" t="str">
        <f t="shared" si="23"/>
        <v>RIV</v>
      </c>
      <c r="D213">
        <v>26</v>
      </c>
      <c r="E213" t="str">
        <f t="shared" si="28"/>
        <v>753</v>
      </c>
      <c r="F213" t="str">
        <f>"170"</f>
        <v>170</v>
      </c>
    </row>
    <row r="214" spans="1:6">
      <c r="A214" t="str">
        <f>"E1203-12"</f>
        <v>E1203-12</v>
      </c>
      <c r="B214" t="str">
        <f t="shared" si="27"/>
        <v>VIA P NEGROTTO CAMBIASO  121-</v>
      </c>
      <c r="C214" t="str">
        <f t="shared" si="23"/>
        <v>RIV</v>
      </c>
      <c r="D214">
        <v>26</v>
      </c>
      <c r="E214" t="str">
        <f t="shared" si="28"/>
        <v>753</v>
      </c>
      <c r="F214" t="str">
        <f>"171"</f>
        <v>171</v>
      </c>
    </row>
    <row r="215" spans="1:6">
      <c r="A215" t="str">
        <f>"E1203-13"</f>
        <v>E1203-13</v>
      </c>
      <c r="B215" t="str">
        <f t="shared" si="27"/>
        <v>VIA P NEGROTTO CAMBIASO  121-</v>
      </c>
      <c r="C215" t="str">
        <f t="shared" si="23"/>
        <v>RIV</v>
      </c>
      <c r="D215">
        <v>26</v>
      </c>
      <c r="E215" t="str">
        <f t="shared" si="28"/>
        <v>753</v>
      </c>
      <c r="F215" t="str">
        <f>"147"</f>
        <v>147</v>
      </c>
    </row>
    <row r="216" spans="1:6">
      <c r="A216" t="str">
        <f>"E1203-14"</f>
        <v>E1203-14</v>
      </c>
      <c r="B216" t="str">
        <f t="shared" si="27"/>
        <v>VIA P NEGROTTO CAMBIASO  121-</v>
      </c>
      <c r="C216" t="str">
        <f t="shared" si="23"/>
        <v>RIV</v>
      </c>
      <c r="D216">
        <v>26</v>
      </c>
      <c r="E216" t="str">
        <f t="shared" si="28"/>
        <v>753</v>
      </c>
      <c r="F216" t="str">
        <f>"148"</f>
        <v>148</v>
      </c>
    </row>
    <row r="217" spans="1:6">
      <c r="A217" t="str">
        <f>"E1203-15"</f>
        <v>E1203-15</v>
      </c>
      <c r="B217" t="str">
        <f t="shared" si="27"/>
        <v>VIA P NEGROTTO CAMBIASO  121-</v>
      </c>
      <c r="C217" t="str">
        <f t="shared" si="23"/>
        <v>RIV</v>
      </c>
      <c r="D217">
        <v>26</v>
      </c>
      <c r="E217" t="str">
        <f t="shared" si="28"/>
        <v>753</v>
      </c>
      <c r="F217" t="str">
        <f>"149"</f>
        <v>149</v>
      </c>
    </row>
    <row r="218" spans="1:6">
      <c r="A218" t="str">
        <f>"E1203-16"</f>
        <v>E1203-16</v>
      </c>
      <c r="B218" t="str">
        <f t="shared" si="27"/>
        <v>VIA P NEGROTTO CAMBIASO  121-</v>
      </c>
      <c r="C218" t="str">
        <f t="shared" si="23"/>
        <v>RIV</v>
      </c>
      <c r="D218">
        <v>26</v>
      </c>
      <c r="E218" t="str">
        <f t="shared" si="28"/>
        <v>753</v>
      </c>
      <c r="F218" t="str">
        <f>"150"</f>
        <v>150</v>
      </c>
    </row>
    <row r="219" spans="1:6">
      <c r="A219" t="str">
        <f>"E1203-17"</f>
        <v>E1203-17</v>
      </c>
      <c r="B219" t="str">
        <f t="shared" si="27"/>
        <v>VIA P NEGROTTO CAMBIASO  121-</v>
      </c>
      <c r="C219" t="str">
        <f t="shared" si="23"/>
        <v>RIV</v>
      </c>
      <c r="D219">
        <v>26</v>
      </c>
      <c r="E219" t="str">
        <f t="shared" si="28"/>
        <v>753</v>
      </c>
      <c r="F219" t="str">
        <f>"139"</f>
        <v>139</v>
      </c>
    </row>
    <row r="220" spans="1:6">
      <c r="A220" t="str">
        <f>"E1203-18"</f>
        <v>E1203-18</v>
      </c>
      <c r="B220" t="str">
        <f t="shared" si="27"/>
        <v>VIA P NEGROTTO CAMBIASO  121-</v>
      </c>
      <c r="C220" t="str">
        <f t="shared" si="23"/>
        <v>RIV</v>
      </c>
      <c r="D220">
        <v>26</v>
      </c>
      <c r="E220" t="str">
        <f t="shared" si="28"/>
        <v>753</v>
      </c>
      <c r="F220" t="str">
        <f>"141"</f>
        <v>141</v>
      </c>
    </row>
    <row r="221" spans="1:6">
      <c r="A221" t="str">
        <f>"E1203-19"</f>
        <v>E1203-19</v>
      </c>
      <c r="B221" t="str">
        <f t="shared" si="27"/>
        <v>VIA P NEGROTTO CAMBIASO  121-</v>
      </c>
      <c r="C221" t="str">
        <f t="shared" si="23"/>
        <v>RIV</v>
      </c>
      <c r="D221">
        <v>26</v>
      </c>
      <c r="E221" t="str">
        <f t="shared" si="28"/>
        <v>753</v>
      </c>
      <c r="F221" t="str">
        <f>"142"</f>
        <v>142</v>
      </c>
    </row>
    <row r="222" spans="1:6">
      <c r="A222" t="str">
        <f>"E1203-20"</f>
        <v>E1203-20</v>
      </c>
      <c r="B222" t="str">
        <f t="shared" si="27"/>
        <v>VIA P NEGROTTO CAMBIASO  121-</v>
      </c>
      <c r="C222" t="str">
        <f t="shared" si="23"/>
        <v>RIV</v>
      </c>
      <c r="D222">
        <v>26</v>
      </c>
      <c r="E222" t="str">
        <f t="shared" si="28"/>
        <v>753</v>
      </c>
      <c r="F222" t="str">
        <f>"143"</f>
        <v>143</v>
      </c>
    </row>
    <row r="223" spans="1:6">
      <c r="A223" t="str">
        <f>"E1203-21"</f>
        <v>E1203-21</v>
      </c>
      <c r="B223" t="str">
        <f t="shared" si="27"/>
        <v>VIA P NEGROTTO CAMBIASO  121-</v>
      </c>
      <c r="C223" t="str">
        <f t="shared" si="23"/>
        <v>RIV</v>
      </c>
      <c r="D223">
        <v>26</v>
      </c>
      <c r="E223" t="str">
        <f t="shared" si="28"/>
        <v>753</v>
      </c>
      <c r="F223" t="str">
        <f>"144"</f>
        <v>144</v>
      </c>
    </row>
    <row r="224" spans="1:6">
      <c r="A224" t="str">
        <f>"E1203-22"</f>
        <v>E1203-22</v>
      </c>
      <c r="B224" t="str">
        <f t="shared" si="27"/>
        <v>VIA P NEGROTTO CAMBIASO  121-</v>
      </c>
      <c r="C224" t="str">
        <f t="shared" si="23"/>
        <v>RIV</v>
      </c>
      <c r="D224">
        <v>26</v>
      </c>
      <c r="E224" t="str">
        <f t="shared" si="28"/>
        <v>753</v>
      </c>
      <c r="F224" t="str">
        <f>"145"</f>
        <v>145</v>
      </c>
    </row>
    <row r="225" spans="1:6">
      <c r="A225" t="str">
        <f>"E1203-23"</f>
        <v>E1203-23</v>
      </c>
      <c r="B225" t="str">
        <f t="shared" si="27"/>
        <v>VIA P NEGROTTO CAMBIASO  121-</v>
      </c>
      <c r="C225" t="str">
        <f t="shared" ref="C225:C288" si="29">"RIV"</f>
        <v>RIV</v>
      </c>
      <c r="D225">
        <v>26</v>
      </c>
      <c r="E225" t="str">
        <f t="shared" si="28"/>
        <v>753</v>
      </c>
      <c r="F225" t="str">
        <f>"118"</f>
        <v>118</v>
      </c>
    </row>
    <row r="226" spans="1:6">
      <c r="A226" t="str">
        <f>"E1203-24"</f>
        <v>E1203-24</v>
      </c>
      <c r="B226" t="str">
        <f t="shared" si="27"/>
        <v>VIA P NEGROTTO CAMBIASO  121-</v>
      </c>
      <c r="C226" t="str">
        <f t="shared" si="29"/>
        <v>RIV</v>
      </c>
      <c r="D226">
        <v>26</v>
      </c>
      <c r="E226" t="str">
        <f t="shared" si="28"/>
        <v>753</v>
      </c>
      <c r="F226" t="str">
        <f>"120"</f>
        <v>120</v>
      </c>
    </row>
    <row r="227" spans="1:6">
      <c r="A227" t="str">
        <f>"E1203-25"</f>
        <v>E1203-25</v>
      </c>
      <c r="B227" t="str">
        <f t="shared" si="27"/>
        <v>VIA P NEGROTTO CAMBIASO  121-</v>
      </c>
      <c r="C227" t="str">
        <f t="shared" si="29"/>
        <v>RIV</v>
      </c>
      <c r="D227">
        <v>26</v>
      </c>
      <c r="E227" t="str">
        <f t="shared" si="28"/>
        <v>753</v>
      </c>
      <c r="F227" t="str">
        <f>"121"</f>
        <v>121</v>
      </c>
    </row>
    <row r="228" spans="1:6">
      <c r="A228" t="str">
        <f>"E1203-26"</f>
        <v>E1203-26</v>
      </c>
      <c r="B228" t="str">
        <f t="shared" si="27"/>
        <v>VIA P NEGROTTO CAMBIASO  121-</v>
      </c>
      <c r="C228" t="str">
        <f t="shared" si="29"/>
        <v>RIV</v>
      </c>
      <c r="D228">
        <v>26</v>
      </c>
      <c r="E228" t="str">
        <f t="shared" si="28"/>
        <v>753</v>
      </c>
      <c r="F228" t="str">
        <f>"122"</f>
        <v>122</v>
      </c>
    </row>
    <row r="229" spans="1:6">
      <c r="A229" t="str">
        <f>"E1203-28"</f>
        <v>E1203-28</v>
      </c>
      <c r="B229" t="str">
        <f t="shared" si="27"/>
        <v>VIA P NEGROTTO CAMBIASO  121-</v>
      </c>
      <c r="C229" t="str">
        <f t="shared" si="29"/>
        <v>RIV</v>
      </c>
      <c r="D229">
        <v>26</v>
      </c>
      <c r="E229" t="str">
        <f t="shared" si="28"/>
        <v>753</v>
      </c>
      <c r="F229" t="str">
        <f>"124"</f>
        <v>124</v>
      </c>
    </row>
    <row r="230" spans="1:6">
      <c r="A230" t="str">
        <f>"E1203-30"</f>
        <v>E1203-30</v>
      </c>
      <c r="B230" t="str">
        <f t="shared" si="27"/>
        <v>VIA P NEGROTTO CAMBIASO  121-</v>
      </c>
      <c r="C230" t="str">
        <f t="shared" si="29"/>
        <v>RIV</v>
      </c>
      <c r="D230">
        <v>26</v>
      </c>
      <c r="E230" t="str">
        <f t="shared" si="28"/>
        <v>753</v>
      </c>
      <c r="F230" t="str">
        <f>"126"</f>
        <v>126</v>
      </c>
    </row>
    <row r="231" spans="1:6">
      <c r="A231" t="str">
        <f>"E1203-31"</f>
        <v>E1203-31</v>
      </c>
      <c r="B231" t="str">
        <f t="shared" si="27"/>
        <v>VIA P NEGROTTO CAMBIASO  121-</v>
      </c>
      <c r="C231" t="str">
        <f t="shared" si="29"/>
        <v>RIV</v>
      </c>
      <c r="D231">
        <v>26</v>
      </c>
      <c r="E231" t="str">
        <f t="shared" si="28"/>
        <v>753</v>
      </c>
      <c r="F231" t="str">
        <f>"127"</f>
        <v>127</v>
      </c>
    </row>
    <row r="232" spans="1:6">
      <c r="A232" t="str">
        <f>"E1203-32"</f>
        <v>E1203-32</v>
      </c>
      <c r="B232" t="str">
        <f t="shared" si="27"/>
        <v>VIA P NEGROTTO CAMBIASO  121-</v>
      </c>
      <c r="C232" t="str">
        <f t="shared" si="29"/>
        <v>RIV</v>
      </c>
      <c r="D232">
        <v>26</v>
      </c>
      <c r="E232" t="str">
        <f t="shared" si="28"/>
        <v>753</v>
      </c>
      <c r="F232" t="str">
        <f>"128"</f>
        <v>128</v>
      </c>
    </row>
    <row r="233" spans="1:6">
      <c r="A233" t="str">
        <f>"E1203-34"</f>
        <v>E1203-34</v>
      </c>
      <c r="B233" t="str">
        <f t="shared" si="27"/>
        <v>VIA P NEGROTTO CAMBIASO  121-</v>
      </c>
      <c r="C233" t="str">
        <f t="shared" si="29"/>
        <v>RIV</v>
      </c>
      <c r="D233">
        <v>26</v>
      </c>
      <c r="E233" t="str">
        <f t="shared" si="28"/>
        <v>753</v>
      </c>
      <c r="F233" t="str">
        <f>"130"</f>
        <v>130</v>
      </c>
    </row>
    <row r="234" spans="1:6">
      <c r="A234" t="str">
        <f>"E1203-35"</f>
        <v>E1203-35</v>
      </c>
      <c r="B234" t="str">
        <f t="shared" si="27"/>
        <v>VIA P NEGROTTO CAMBIASO  121-</v>
      </c>
      <c r="C234" t="str">
        <f t="shared" si="29"/>
        <v>RIV</v>
      </c>
      <c r="D234">
        <v>26</v>
      </c>
      <c r="E234" t="str">
        <f t="shared" si="28"/>
        <v>753</v>
      </c>
      <c r="F234" t="str">
        <f>"131"</f>
        <v>131</v>
      </c>
    </row>
    <row r="235" spans="1:6">
      <c r="A235" t="str">
        <f>"E1203-36"</f>
        <v>E1203-36</v>
      </c>
      <c r="B235" t="str">
        <f t="shared" ref="B235:B255" si="30">"VIA P NEGROTTO CAMBIASO  121-"</f>
        <v>VIA P NEGROTTO CAMBIASO  121-</v>
      </c>
      <c r="C235" t="str">
        <f t="shared" si="29"/>
        <v>RIV</v>
      </c>
      <c r="D235">
        <v>26</v>
      </c>
      <c r="E235" t="str">
        <f t="shared" ref="E235:E266" si="31">"753"</f>
        <v>753</v>
      </c>
      <c r="F235" t="str">
        <f>"132"</f>
        <v>132</v>
      </c>
    </row>
    <row r="236" spans="1:6">
      <c r="A236" t="str">
        <f>"E1203-37"</f>
        <v>E1203-37</v>
      </c>
      <c r="B236" t="str">
        <f t="shared" si="30"/>
        <v>VIA P NEGROTTO CAMBIASO  121-</v>
      </c>
      <c r="C236" t="str">
        <f t="shared" si="29"/>
        <v>RIV</v>
      </c>
      <c r="D236">
        <v>26</v>
      </c>
      <c r="E236" t="str">
        <f t="shared" si="31"/>
        <v>753</v>
      </c>
      <c r="F236" t="str">
        <f>"133"</f>
        <v>133</v>
      </c>
    </row>
    <row r="237" spans="1:6">
      <c r="A237" t="str">
        <f>"E1203-38"</f>
        <v>E1203-38</v>
      </c>
      <c r="B237" t="str">
        <f t="shared" si="30"/>
        <v>VIA P NEGROTTO CAMBIASO  121-</v>
      </c>
      <c r="C237" t="str">
        <f t="shared" si="29"/>
        <v>RIV</v>
      </c>
      <c r="D237">
        <v>26</v>
      </c>
      <c r="E237" t="str">
        <f t="shared" si="31"/>
        <v>753</v>
      </c>
      <c r="F237" t="str">
        <f>"134"</f>
        <v>134</v>
      </c>
    </row>
    <row r="238" spans="1:6">
      <c r="A238" t="str">
        <f>"E1203-39"</f>
        <v>E1203-39</v>
      </c>
      <c r="B238" t="str">
        <f t="shared" si="30"/>
        <v>VIA P NEGROTTO CAMBIASO  121-</v>
      </c>
      <c r="C238" t="str">
        <f t="shared" si="29"/>
        <v>RIV</v>
      </c>
      <c r="D238">
        <v>26</v>
      </c>
      <c r="E238" t="str">
        <f t="shared" si="31"/>
        <v>753</v>
      </c>
      <c r="F238" t="str">
        <f>"135"</f>
        <v>135</v>
      </c>
    </row>
    <row r="239" spans="1:6">
      <c r="A239" t="str">
        <f>"E1203-41"</f>
        <v>E1203-41</v>
      </c>
      <c r="B239" t="str">
        <f t="shared" si="30"/>
        <v>VIA P NEGROTTO CAMBIASO  121-</v>
      </c>
      <c r="C239" t="str">
        <f t="shared" si="29"/>
        <v>RIV</v>
      </c>
      <c r="D239">
        <v>26</v>
      </c>
      <c r="E239" t="str">
        <f t="shared" si="31"/>
        <v>753</v>
      </c>
      <c r="F239" t="str">
        <f>"137"</f>
        <v>137</v>
      </c>
    </row>
    <row r="240" spans="1:6">
      <c r="A240" t="str">
        <f>"E1203-42"</f>
        <v>E1203-42</v>
      </c>
      <c r="B240" t="str">
        <f t="shared" si="30"/>
        <v>VIA P NEGROTTO CAMBIASO  121-</v>
      </c>
      <c r="C240" t="str">
        <f t="shared" si="29"/>
        <v>RIV</v>
      </c>
      <c r="D240">
        <v>26</v>
      </c>
      <c r="E240" t="str">
        <f t="shared" si="31"/>
        <v>753</v>
      </c>
      <c r="F240" t="str">
        <f>"138"</f>
        <v>138</v>
      </c>
    </row>
    <row r="241" spans="1:6">
      <c r="A241" t="str">
        <f>"E1203-43"</f>
        <v>E1203-43</v>
      </c>
      <c r="B241" t="str">
        <f t="shared" si="30"/>
        <v>VIA P NEGROTTO CAMBIASO  121-</v>
      </c>
      <c r="C241" t="str">
        <f t="shared" si="29"/>
        <v>RIV</v>
      </c>
      <c r="D241">
        <v>26</v>
      </c>
      <c r="E241" t="str">
        <f t="shared" si="31"/>
        <v>753</v>
      </c>
      <c r="F241" t="str">
        <f>"176"</f>
        <v>176</v>
      </c>
    </row>
    <row r="242" spans="1:6">
      <c r="A242" t="str">
        <f>"E1203-44"</f>
        <v>E1203-44</v>
      </c>
      <c r="B242" t="str">
        <f t="shared" si="30"/>
        <v>VIA P NEGROTTO CAMBIASO  121-</v>
      </c>
      <c r="C242" t="str">
        <f t="shared" si="29"/>
        <v>RIV</v>
      </c>
      <c r="D242">
        <v>26</v>
      </c>
      <c r="E242" t="str">
        <f t="shared" si="31"/>
        <v>753</v>
      </c>
      <c r="F242" t="str">
        <f>"177"</f>
        <v>177</v>
      </c>
    </row>
    <row r="243" spans="1:6">
      <c r="A243" t="str">
        <f>"E1203-45"</f>
        <v>E1203-45</v>
      </c>
      <c r="B243" t="str">
        <f t="shared" si="30"/>
        <v>VIA P NEGROTTO CAMBIASO  121-</v>
      </c>
      <c r="C243" t="str">
        <f t="shared" si="29"/>
        <v>RIV</v>
      </c>
      <c r="D243">
        <v>26</v>
      </c>
      <c r="E243" t="str">
        <f t="shared" si="31"/>
        <v>753</v>
      </c>
      <c r="F243" t="str">
        <f>"178"</f>
        <v>178</v>
      </c>
    </row>
    <row r="244" spans="1:6">
      <c r="A244" t="str">
        <f>"E1203-47"</f>
        <v>E1203-47</v>
      </c>
      <c r="B244" t="str">
        <f t="shared" si="30"/>
        <v>VIA P NEGROTTO CAMBIASO  121-</v>
      </c>
      <c r="C244" t="str">
        <f t="shared" si="29"/>
        <v>RIV</v>
      </c>
      <c r="D244">
        <v>26</v>
      </c>
      <c r="E244" t="str">
        <f t="shared" si="31"/>
        <v>753</v>
      </c>
      <c r="F244" t="str">
        <f>"152"</f>
        <v>152</v>
      </c>
    </row>
    <row r="245" spans="1:6">
      <c r="A245" t="str">
        <f>"E1203-49"</f>
        <v>E1203-49</v>
      </c>
      <c r="B245" t="str">
        <f t="shared" si="30"/>
        <v>VIA P NEGROTTO CAMBIASO  121-</v>
      </c>
      <c r="C245" t="str">
        <f t="shared" si="29"/>
        <v>RIV</v>
      </c>
      <c r="D245">
        <v>26</v>
      </c>
      <c r="E245" t="str">
        <f t="shared" si="31"/>
        <v>753</v>
      </c>
      <c r="F245" t="str">
        <f>"154"</f>
        <v>154</v>
      </c>
    </row>
    <row r="246" spans="1:6">
      <c r="A246" t="str">
        <f>"E1203-50"</f>
        <v>E1203-50</v>
      </c>
      <c r="B246" t="str">
        <f t="shared" si="30"/>
        <v>VIA P NEGROTTO CAMBIASO  121-</v>
      </c>
      <c r="C246" t="str">
        <f t="shared" si="29"/>
        <v>RIV</v>
      </c>
      <c r="D246">
        <v>26</v>
      </c>
      <c r="E246" t="str">
        <f t="shared" si="31"/>
        <v>753</v>
      </c>
      <c r="F246" t="str">
        <f>"155"</f>
        <v>155</v>
      </c>
    </row>
    <row r="247" spans="1:6">
      <c r="A247" t="str">
        <f>"E1203-51"</f>
        <v>E1203-51</v>
      </c>
      <c r="B247" t="str">
        <f t="shared" si="30"/>
        <v>VIA P NEGROTTO CAMBIASO  121-</v>
      </c>
      <c r="C247" t="str">
        <f t="shared" si="29"/>
        <v>RIV</v>
      </c>
      <c r="D247">
        <v>26</v>
      </c>
      <c r="E247" t="str">
        <f t="shared" si="31"/>
        <v>753</v>
      </c>
      <c r="F247" t="str">
        <f>"156"</f>
        <v>156</v>
      </c>
    </row>
    <row r="248" spans="1:6">
      <c r="A248" t="str">
        <f>"E1203-53"</f>
        <v>E1203-53</v>
      </c>
      <c r="B248" t="str">
        <f t="shared" si="30"/>
        <v>VIA P NEGROTTO CAMBIASO  121-</v>
      </c>
      <c r="C248" t="str">
        <f t="shared" si="29"/>
        <v>RIV</v>
      </c>
      <c r="D248">
        <v>26</v>
      </c>
      <c r="E248" t="str">
        <f t="shared" si="31"/>
        <v>753</v>
      </c>
      <c r="F248" t="str">
        <f>"158"</f>
        <v>158</v>
      </c>
    </row>
    <row r="249" spans="1:6">
      <c r="A249" t="str">
        <f>"E1203-54"</f>
        <v>E1203-54</v>
      </c>
      <c r="B249" t="str">
        <f t="shared" si="30"/>
        <v>VIA P NEGROTTO CAMBIASO  121-</v>
      </c>
      <c r="C249" t="str">
        <f t="shared" si="29"/>
        <v>RIV</v>
      </c>
      <c r="D249">
        <v>26</v>
      </c>
      <c r="E249" t="str">
        <f t="shared" si="31"/>
        <v>753</v>
      </c>
      <c r="F249" t="str">
        <f>"159"</f>
        <v>159</v>
      </c>
    </row>
    <row r="250" spans="1:6">
      <c r="A250" t="str">
        <f>"E1203-55"</f>
        <v>E1203-55</v>
      </c>
      <c r="B250" t="str">
        <f t="shared" si="30"/>
        <v>VIA P NEGROTTO CAMBIASO  121-</v>
      </c>
      <c r="C250" t="str">
        <f t="shared" si="29"/>
        <v>RIV</v>
      </c>
      <c r="D250">
        <v>26</v>
      </c>
      <c r="E250" t="str">
        <f t="shared" si="31"/>
        <v>753</v>
      </c>
      <c r="F250" t="str">
        <f>"160"</f>
        <v>160</v>
      </c>
    </row>
    <row r="251" spans="1:6">
      <c r="A251" t="str">
        <f>"E1203-56"</f>
        <v>E1203-56</v>
      </c>
      <c r="B251" t="str">
        <f t="shared" si="30"/>
        <v>VIA P NEGROTTO CAMBIASO  121-</v>
      </c>
      <c r="C251" t="str">
        <f t="shared" si="29"/>
        <v>RIV</v>
      </c>
      <c r="D251">
        <v>26</v>
      </c>
      <c r="E251" t="str">
        <f t="shared" si="31"/>
        <v>753</v>
      </c>
      <c r="F251" t="str">
        <f>"161"</f>
        <v>161</v>
      </c>
    </row>
    <row r="252" spans="1:6">
      <c r="A252" t="str">
        <f>"E1203-57"</f>
        <v>E1203-57</v>
      </c>
      <c r="B252" t="str">
        <f t="shared" si="30"/>
        <v>VIA P NEGROTTO CAMBIASO  121-</v>
      </c>
      <c r="C252" t="str">
        <f t="shared" si="29"/>
        <v>RIV</v>
      </c>
      <c r="D252">
        <v>26</v>
      </c>
      <c r="E252" t="str">
        <f t="shared" si="31"/>
        <v>753</v>
      </c>
      <c r="F252" t="str">
        <f>"162"</f>
        <v>162</v>
      </c>
    </row>
    <row r="253" spans="1:6">
      <c r="A253" t="str">
        <f>"E1203-58"</f>
        <v>E1203-58</v>
      </c>
      <c r="B253" t="str">
        <f t="shared" si="30"/>
        <v>VIA P NEGROTTO CAMBIASO  121-</v>
      </c>
      <c r="C253" t="str">
        <f t="shared" si="29"/>
        <v>RIV</v>
      </c>
      <c r="D253">
        <v>26</v>
      </c>
      <c r="E253" t="str">
        <f t="shared" si="31"/>
        <v>753</v>
      </c>
      <c r="F253" t="str">
        <f>"163"</f>
        <v>163</v>
      </c>
    </row>
    <row r="254" spans="1:6">
      <c r="A254" t="str">
        <f>"E1203-60"</f>
        <v>E1203-60</v>
      </c>
      <c r="B254" t="str">
        <f t="shared" si="30"/>
        <v>VIA P NEGROTTO CAMBIASO  121-</v>
      </c>
      <c r="C254" t="str">
        <f t="shared" si="29"/>
        <v>RIV</v>
      </c>
      <c r="D254">
        <v>26</v>
      </c>
      <c r="E254" t="str">
        <f t="shared" si="31"/>
        <v>753</v>
      </c>
      <c r="F254" t="str">
        <f>"165"</f>
        <v>165</v>
      </c>
    </row>
    <row r="255" spans="1:6">
      <c r="A255" t="str">
        <f>"E1203-61"</f>
        <v>E1203-61</v>
      </c>
      <c r="B255" t="str">
        <f t="shared" si="30"/>
        <v>VIA P NEGROTTO CAMBIASO  121-</v>
      </c>
      <c r="C255" t="str">
        <f t="shared" si="29"/>
        <v>RIV</v>
      </c>
      <c r="D255">
        <v>26</v>
      </c>
      <c r="E255" t="str">
        <f t="shared" si="31"/>
        <v>753</v>
      </c>
      <c r="F255" t="str">
        <f>"166"</f>
        <v>166</v>
      </c>
    </row>
    <row r="256" spans="1:6">
      <c r="A256" t="str">
        <f>"E1203-62"</f>
        <v>E1203-62</v>
      </c>
      <c r="B256" t="str">
        <f t="shared" ref="B256:B287" si="32">"VIA CARLO LINNEO  184-"</f>
        <v>VIA CARLO LINNEO  184-</v>
      </c>
      <c r="C256" t="str">
        <f t="shared" si="29"/>
        <v>RIV</v>
      </c>
      <c r="D256">
        <v>26</v>
      </c>
      <c r="E256" t="str">
        <f t="shared" si="31"/>
        <v>753</v>
      </c>
      <c r="F256" t="str">
        <f>"1"</f>
        <v>1</v>
      </c>
    </row>
    <row r="257" spans="1:6">
      <c r="A257" t="str">
        <f>"E1203-64"</f>
        <v>E1203-64</v>
      </c>
      <c r="B257" t="str">
        <f t="shared" si="32"/>
        <v>VIA CARLO LINNEO  184-</v>
      </c>
      <c r="C257" t="str">
        <f t="shared" si="29"/>
        <v>RIV</v>
      </c>
      <c r="D257">
        <v>26</v>
      </c>
      <c r="E257" t="str">
        <f t="shared" si="31"/>
        <v>753</v>
      </c>
      <c r="F257" t="str">
        <f>"8"</f>
        <v>8</v>
      </c>
    </row>
    <row r="258" spans="1:6">
      <c r="A258" t="str">
        <f>"E1203-67"</f>
        <v>E1203-67</v>
      </c>
      <c r="B258" t="str">
        <f t="shared" si="32"/>
        <v>VIA CARLO LINNEO  184-</v>
      </c>
      <c r="C258" t="str">
        <f t="shared" si="29"/>
        <v>RIV</v>
      </c>
      <c r="D258">
        <v>26</v>
      </c>
      <c r="E258" t="str">
        <f t="shared" si="31"/>
        <v>753</v>
      </c>
      <c r="F258" t="str">
        <f>"27"</f>
        <v>27</v>
      </c>
    </row>
    <row r="259" spans="1:6">
      <c r="A259" t="str">
        <f>"E1203-68"</f>
        <v>E1203-68</v>
      </c>
      <c r="B259" t="str">
        <f t="shared" si="32"/>
        <v>VIA CARLO LINNEO  184-</v>
      </c>
      <c r="C259" t="str">
        <f t="shared" si="29"/>
        <v>RIV</v>
      </c>
      <c r="D259">
        <v>26</v>
      </c>
      <c r="E259" t="str">
        <f t="shared" si="31"/>
        <v>753</v>
      </c>
      <c r="F259" t="str">
        <f>"28"</f>
        <v>28</v>
      </c>
    </row>
    <row r="260" spans="1:6">
      <c r="A260" t="str">
        <f>"E1203-70"</f>
        <v>E1203-70</v>
      </c>
      <c r="B260" t="str">
        <f t="shared" si="32"/>
        <v>VIA CARLO LINNEO  184-</v>
      </c>
      <c r="C260" t="str">
        <f t="shared" si="29"/>
        <v>RIV</v>
      </c>
      <c r="D260">
        <v>26</v>
      </c>
      <c r="E260" t="str">
        <f t="shared" si="31"/>
        <v>753</v>
      </c>
      <c r="F260" t="str">
        <f>"30"</f>
        <v>30</v>
      </c>
    </row>
    <row r="261" spans="1:6">
      <c r="A261" t="str">
        <f>"E1203-71"</f>
        <v>E1203-71</v>
      </c>
      <c r="B261" t="str">
        <f t="shared" si="32"/>
        <v>VIA CARLO LINNEO  184-</v>
      </c>
      <c r="C261" t="str">
        <f t="shared" si="29"/>
        <v>RIV</v>
      </c>
      <c r="D261">
        <v>26</v>
      </c>
      <c r="E261" t="str">
        <f t="shared" si="31"/>
        <v>753</v>
      </c>
      <c r="F261" t="str">
        <f>"31"</f>
        <v>31</v>
      </c>
    </row>
    <row r="262" spans="1:6">
      <c r="A262" t="str">
        <f>"E1203-72"</f>
        <v>E1203-72</v>
      </c>
      <c r="B262" t="str">
        <f t="shared" si="32"/>
        <v>VIA CARLO LINNEO  184-</v>
      </c>
      <c r="C262" t="str">
        <f t="shared" si="29"/>
        <v>RIV</v>
      </c>
      <c r="D262">
        <v>26</v>
      </c>
      <c r="E262" t="str">
        <f t="shared" si="31"/>
        <v>753</v>
      </c>
      <c r="F262" t="str">
        <f>"44"</f>
        <v>44</v>
      </c>
    </row>
    <row r="263" spans="1:6">
      <c r="A263" t="str">
        <f>"E1203-73"</f>
        <v>E1203-73</v>
      </c>
      <c r="B263" t="str">
        <f t="shared" si="32"/>
        <v>VIA CARLO LINNEO  184-</v>
      </c>
      <c r="C263" t="str">
        <f t="shared" si="29"/>
        <v>RIV</v>
      </c>
      <c r="D263">
        <v>26</v>
      </c>
      <c r="E263" t="str">
        <f t="shared" si="31"/>
        <v>753</v>
      </c>
      <c r="F263" t="str">
        <f>"45"</f>
        <v>45</v>
      </c>
    </row>
    <row r="264" spans="1:6">
      <c r="A264" t="str">
        <f>"E1203-74"</f>
        <v>E1203-74</v>
      </c>
      <c r="B264" t="str">
        <f t="shared" si="32"/>
        <v>VIA CARLO LINNEO  184-</v>
      </c>
      <c r="C264" t="str">
        <f t="shared" si="29"/>
        <v>RIV</v>
      </c>
      <c r="D264">
        <v>26</v>
      </c>
      <c r="E264" t="str">
        <f t="shared" si="31"/>
        <v>753</v>
      </c>
      <c r="F264" t="str">
        <f>"46"</f>
        <v>46</v>
      </c>
    </row>
    <row r="265" spans="1:6">
      <c r="A265" t="str">
        <f>"E1203-77"</f>
        <v>E1203-77</v>
      </c>
      <c r="B265" t="str">
        <f t="shared" si="32"/>
        <v>VIA CARLO LINNEO  184-</v>
      </c>
      <c r="C265" t="str">
        <f t="shared" si="29"/>
        <v>RIV</v>
      </c>
      <c r="D265">
        <v>26</v>
      </c>
      <c r="E265" t="str">
        <f t="shared" si="31"/>
        <v>753</v>
      </c>
      <c r="F265" t="str">
        <f>"49"</f>
        <v>49</v>
      </c>
    </row>
    <row r="266" spans="1:6">
      <c r="A266" t="str">
        <f>"E1203-78"</f>
        <v>E1203-78</v>
      </c>
      <c r="B266" t="str">
        <f t="shared" si="32"/>
        <v>VIA CARLO LINNEO  184-</v>
      </c>
      <c r="C266" t="str">
        <f t="shared" si="29"/>
        <v>RIV</v>
      </c>
      <c r="D266">
        <v>26</v>
      </c>
      <c r="E266" t="str">
        <f t="shared" si="31"/>
        <v>753</v>
      </c>
      <c r="F266" t="str">
        <f>"50"</f>
        <v>50</v>
      </c>
    </row>
    <row r="267" spans="1:6">
      <c r="A267" t="str">
        <f>"E1203-79"</f>
        <v>E1203-79</v>
      </c>
      <c r="B267" t="str">
        <f t="shared" si="32"/>
        <v>VIA CARLO LINNEO  184-</v>
      </c>
      <c r="C267" t="str">
        <f t="shared" si="29"/>
        <v>RIV</v>
      </c>
      <c r="D267">
        <v>26</v>
      </c>
      <c r="E267" t="str">
        <f t="shared" ref="E267:E298" si="33">"753"</f>
        <v>753</v>
      </c>
      <c r="F267" t="str">
        <f>"51"</f>
        <v>51</v>
      </c>
    </row>
    <row r="268" spans="1:6">
      <c r="A268" t="str">
        <f>"E1203-80"</f>
        <v>E1203-80</v>
      </c>
      <c r="B268" t="str">
        <f t="shared" si="32"/>
        <v>VIA CARLO LINNEO  184-</v>
      </c>
      <c r="C268" t="str">
        <f t="shared" si="29"/>
        <v>RIV</v>
      </c>
      <c r="D268">
        <v>26</v>
      </c>
      <c r="E268" t="str">
        <f t="shared" si="33"/>
        <v>753</v>
      </c>
      <c r="F268" t="str">
        <f>"52"</f>
        <v>52</v>
      </c>
    </row>
    <row r="269" spans="1:6">
      <c r="A269" t="str">
        <f>"E1203-81"</f>
        <v>E1203-81</v>
      </c>
      <c r="B269" t="str">
        <f t="shared" si="32"/>
        <v>VIA CARLO LINNEO  184-</v>
      </c>
      <c r="C269" t="str">
        <f t="shared" si="29"/>
        <v>RIV</v>
      </c>
      <c r="D269">
        <v>26</v>
      </c>
      <c r="E269" t="str">
        <f t="shared" si="33"/>
        <v>753</v>
      </c>
      <c r="F269" t="str">
        <f>"53"</f>
        <v>53</v>
      </c>
    </row>
    <row r="270" spans="1:6">
      <c r="A270" t="str">
        <f>"E1203-84"</f>
        <v>E1203-84</v>
      </c>
      <c r="B270" t="str">
        <f t="shared" si="32"/>
        <v>VIA CARLO LINNEO  184-</v>
      </c>
      <c r="C270" t="str">
        <f t="shared" si="29"/>
        <v>RIV</v>
      </c>
      <c r="D270">
        <v>26</v>
      </c>
      <c r="E270" t="str">
        <f t="shared" si="33"/>
        <v>753</v>
      </c>
      <c r="F270" t="str">
        <f>"56"</f>
        <v>56</v>
      </c>
    </row>
    <row r="271" spans="1:6">
      <c r="A271" t="str">
        <f>"E1203-85"</f>
        <v>E1203-85</v>
      </c>
      <c r="B271" t="str">
        <f t="shared" si="32"/>
        <v>VIA CARLO LINNEO  184-</v>
      </c>
      <c r="C271" t="str">
        <f t="shared" si="29"/>
        <v>RIV</v>
      </c>
      <c r="D271">
        <v>26</v>
      </c>
      <c r="E271" t="str">
        <f t="shared" si="33"/>
        <v>753</v>
      </c>
      <c r="F271" t="str">
        <f>"73"</f>
        <v>73</v>
      </c>
    </row>
    <row r="272" spans="1:6">
      <c r="A272" t="str">
        <f>"E1203-86"</f>
        <v>E1203-86</v>
      </c>
      <c r="B272" t="str">
        <f t="shared" si="32"/>
        <v>VIA CARLO LINNEO  184-</v>
      </c>
      <c r="C272" t="str">
        <f t="shared" si="29"/>
        <v>RIV</v>
      </c>
      <c r="D272">
        <v>26</v>
      </c>
      <c r="E272" t="str">
        <f t="shared" si="33"/>
        <v>753</v>
      </c>
      <c r="F272" t="str">
        <f>"74"</f>
        <v>74</v>
      </c>
    </row>
    <row r="273" spans="1:6">
      <c r="A273" t="str">
        <f>"E1203-87"</f>
        <v>E1203-87</v>
      </c>
      <c r="B273" t="str">
        <f t="shared" si="32"/>
        <v>VIA CARLO LINNEO  184-</v>
      </c>
      <c r="C273" t="str">
        <f t="shared" si="29"/>
        <v>RIV</v>
      </c>
      <c r="D273">
        <v>26</v>
      </c>
      <c r="E273" t="str">
        <f t="shared" si="33"/>
        <v>753</v>
      </c>
      <c r="F273" t="str">
        <f>"75"</f>
        <v>75</v>
      </c>
    </row>
    <row r="274" spans="1:6">
      <c r="A274" t="str">
        <f>"E1203-88"</f>
        <v>E1203-88</v>
      </c>
      <c r="B274" t="str">
        <f t="shared" si="32"/>
        <v>VIA CARLO LINNEO  184-</v>
      </c>
      <c r="C274" t="str">
        <f t="shared" si="29"/>
        <v>RIV</v>
      </c>
      <c r="D274">
        <v>26</v>
      </c>
      <c r="E274" t="str">
        <f t="shared" si="33"/>
        <v>753</v>
      </c>
      <c r="F274" t="str">
        <f>"76"</f>
        <v>76</v>
      </c>
    </row>
    <row r="275" spans="1:6">
      <c r="A275" t="str">
        <f>"E1203-89"</f>
        <v>E1203-89</v>
      </c>
      <c r="B275" t="str">
        <f t="shared" si="32"/>
        <v>VIA CARLO LINNEO  184-</v>
      </c>
      <c r="C275" t="str">
        <f t="shared" si="29"/>
        <v>RIV</v>
      </c>
      <c r="D275">
        <v>26</v>
      </c>
      <c r="E275" t="str">
        <f t="shared" si="33"/>
        <v>753</v>
      </c>
      <c r="F275" t="str">
        <f>"77"</f>
        <v>77</v>
      </c>
    </row>
    <row r="276" spans="1:6">
      <c r="A276" t="str">
        <f>"E1203-90"</f>
        <v>E1203-90</v>
      </c>
      <c r="B276" t="str">
        <f t="shared" si="32"/>
        <v>VIA CARLO LINNEO  184-</v>
      </c>
      <c r="C276" t="str">
        <f t="shared" si="29"/>
        <v>RIV</v>
      </c>
      <c r="D276">
        <v>26</v>
      </c>
      <c r="E276" t="str">
        <f t="shared" si="33"/>
        <v>753</v>
      </c>
      <c r="F276" t="str">
        <f>"78"</f>
        <v>78</v>
      </c>
    </row>
    <row r="277" spans="1:6">
      <c r="A277" t="str">
        <f>"E1203-91"</f>
        <v>E1203-91</v>
      </c>
      <c r="B277" t="str">
        <f t="shared" si="32"/>
        <v>VIA CARLO LINNEO  184-</v>
      </c>
      <c r="C277" t="str">
        <f t="shared" si="29"/>
        <v>RIV</v>
      </c>
      <c r="D277">
        <v>26</v>
      </c>
      <c r="E277" t="str">
        <f t="shared" si="33"/>
        <v>753</v>
      </c>
      <c r="F277" t="str">
        <f>"79"</f>
        <v>79</v>
      </c>
    </row>
    <row r="278" spans="1:6">
      <c r="A278" t="str">
        <f>"E1203-92"</f>
        <v>E1203-92</v>
      </c>
      <c r="B278" t="str">
        <f t="shared" si="32"/>
        <v>VIA CARLO LINNEO  184-</v>
      </c>
      <c r="C278" t="str">
        <f t="shared" si="29"/>
        <v>RIV</v>
      </c>
      <c r="D278">
        <v>26</v>
      </c>
      <c r="E278" t="str">
        <f t="shared" si="33"/>
        <v>753</v>
      </c>
      <c r="F278" t="str">
        <f>"80"</f>
        <v>80</v>
      </c>
    </row>
    <row r="279" spans="1:6">
      <c r="A279" t="str">
        <f>"E1203-93"</f>
        <v>E1203-93</v>
      </c>
      <c r="B279" t="str">
        <f t="shared" si="32"/>
        <v>VIA CARLO LINNEO  184-</v>
      </c>
      <c r="C279" t="str">
        <f t="shared" si="29"/>
        <v>RIV</v>
      </c>
      <c r="D279">
        <v>26</v>
      </c>
      <c r="E279" t="str">
        <f t="shared" si="33"/>
        <v>753</v>
      </c>
      <c r="F279" t="str">
        <f>"81"</f>
        <v>81</v>
      </c>
    </row>
    <row r="280" spans="1:6">
      <c r="A280" t="str">
        <f>"E1203-94"</f>
        <v>E1203-94</v>
      </c>
      <c r="B280" t="str">
        <f t="shared" si="32"/>
        <v>VIA CARLO LINNEO  184-</v>
      </c>
      <c r="C280" t="str">
        <f t="shared" si="29"/>
        <v>RIV</v>
      </c>
      <c r="D280">
        <v>26</v>
      </c>
      <c r="E280" t="str">
        <f t="shared" si="33"/>
        <v>753</v>
      </c>
      <c r="F280" t="str">
        <f>"82"</f>
        <v>82</v>
      </c>
    </row>
    <row r="281" spans="1:6">
      <c r="A281" t="str">
        <f>"E1203-95"</f>
        <v>E1203-95</v>
      </c>
      <c r="B281" t="str">
        <f t="shared" si="32"/>
        <v>VIA CARLO LINNEO  184-</v>
      </c>
      <c r="C281" t="str">
        <f t="shared" si="29"/>
        <v>RIV</v>
      </c>
      <c r="D281">
        <v>26</v>
      </c>
      <c r="E281" t="str">
        <f t="shared" si="33"/>
        <v>753</v>
      </c>
      <c r="F281" t="str">
        <f>"83"</f>
        <v>83</v>
      </c>
    </row>
    <row r="282" spans="1:6">
      <c r="A282" t="str">
        <f>"E1203-96"</f>
        <v>E1203-96</v>
      </c>
      <c r="B282" t="str">
        <f t="shared" si="32"/>
        <v>VIA CARLO LINNEO  184-</v>
      </c>
      <c r="C282" t="str">
        <f t="shared" si="29"/>
        <v>RIV</v>
      </c>
      <c r="D282">
        <v>26</v>
      </c>
      <c r="E282" t="str">
        <f t="shared" si="33"/>
        <v>753</v>
      </c>
      <c r="F282" t="str">
        <f>"84"</f>
        <v>84</v>
      </c>
    </row>
    <row r="283" spans="1:6">
      <c r="A283" t="str">
        <f>"E1203-97"</f>
        <v>E1203-97</v>
      </c>
      <c r="B283" t="str">
        <f t="shared" si="32"/>
        <v>VIA CARLO LINNEO  184-</v>
      </c>
      <c r="C283" t="str">
        <f t="shared" si="29"/>
        <v>RIV</v>
      </c>
      <c r="D283">
        <v>26</v>
      </c>
      <c r="E283" t="str">
        <f t="shared" si="33"/>
        <v>753</v>
      </c>
      <c r="F283" t="str">
        <f>"85"</f>
        <v>85</v>
      </c>
    </row>
    <row r="284" spans="1:6">
      <c r="A284" t="str">
        <f>"E1203-99"</f>
        <v>E1203-99</v>
      </c>
      <c r="B284" t="str">
        <f t="shared" si="32"/>
        <v>VIA CARLO LINNEO  184-</v>
      </c>
      <c r="C284" t="str">
        <f t="shared" si="29"/>
        <v>RIV</v>
      </c>
      <c r="D284">
        <v>26</v>
      </c>
      <c r="E284" t="str">
        <f t="shared" si="33"/>
        <v>753</v>
      </c>
      <c r="F284" t="str">
        <f>"87"</f>
        <v>87</v>
      </c>
    </row>
    <row r="285" spans="1:6">
      <c r="A285" t="str">
        <f>"E1203-100"</f>
        <v>E1203-100</v>
      </c>
      <c r="B285" t="str">
        <f t="shared" si="32"/>
        <v>VIA CARLO LINNEO  184-</v>
      </c>
      <c r="C285" t="str">
        <f t="shared" si="29"/>
        <v>RIV</v>
      </c>
      <c r="D285">
        <v>26</v>
      </c>
      <c r="E285" t="str">
        <f t="shared" si="33"/>
        <v>753</v>
      </c>
      <c r="F285" t="str">
        <f>"88"</f>
        <v>88</v>
      </c>
    </row>
    <row r="286" spans="1:6">
      <c r="A286" t="str">
        <f>"E1203-101"</f>
        <v>E1203-101</v>
      </c>
      <c r="B286" t="str">
        <f t="shared" si="32"/>
        <v>VIA CARLO LINNEO  184-</v>
      </c>
      <c r="C286" t="str">
        <f t="shared" si="29"/>
        <v>RIV</v>
      </c>
      <c r="D286">
        <v>26</v>
      </c>
      <c r="E286" t="str">
        <f t="shared" si="33"/>
        <v>753</v>
      </c>
      <c r="F286" t="str">
        <f>"108"</f>
        <v>108</v>
      </c>
    </row>
    <row r="287" spans="1:6">
      <c r="A287" t="str">
        <f>"E1203-102"</f>
        <v>E1203-102</v>
      </c>
      <c r="B287" t="str">
        <f t="shared" si="32"/>
        <v>VIA CARLO LINNEO  184-</v>
      </c>
      <c r="C287" t="str">
        <f t="shared" si="29"/>
        <v>RIV</v>
      </c>
      <c r="D287">
        <v>26</v>
      </c>
      <c r="E287" t="str">
        <f t="shared" si="33"/>
        <v>753</v>
      </c>
      <c r="F287" t="str">
        <f>"109"</f>
        <v>109</v>
      </c>
    </row>
    <row r="288" spans="1:6">
      <c r="A288" t="str">
        <f>"E1203-104"</f>
        <v>E1203-104</v>
      </c>
      <c r="B288" t="str">
        <f t="shared" ref="B288:B319" si="34">"VIA CARLO LINNEO  184-"</f>
        <v>VIA CARLO LINNEO  184-</v>
      </c>
      <c r="C288" t="str">
        <f t="shared" si="29"/>
        <v>RIV</v>
      </c>
      <c r="D288">
        <v>26</v>
      </c>
      <c r="E288" t="str">
        <f t="shared" si="33"/>
        <v>753</v>
      </c>
      <c r="F288" t="str">
        <f>"111"</f>
        <v>111</v>
      </c>
    </row>
    <row r="289" spans="1:6">
      <c r="A289" t="str">
        <f>"E1203-105"</f>
        <v>E1203-105</v>
      </c>
      <c r="B289" t="str">
        <f t="shared" si="34"/>
        <v>VIA CARLO LINNEO  184-</v>
      </c>
      <c r="C289" t="str">
        <f t="shared" ref="C289:C352" si="35">"RIV"</f>
        <v>RIV</v>
      </c>
      <c r="D289">
        <v>26</v>
      </c>
      <c r="E289" t="str">
        <f t="shared" si="33"/>
        <v>753</v>
      </c>
      <c r="F289" t="str">
        <f>"112"</f>
        <v>112</v>
      </c>
    </row>
    <row r="290" spans="1:6">
      <c r="A290" t="str">
        <f>"E1203-106"</f>
        <v>E1203-106</v>
      </c>
      <c r="B290" t="str">
        <f t="shared" si="34"/>
        <v>VIA CARLO LINNEO  184-</v>
      </c>
      <c r="C290" t="str">
        <f t="shared" si="35"/>
        <v>RIV</v>
      </c>
      <c r="D290">
        <v>26</v>
      </c>
      <c r="E290" t="str">
        <f t="shared" si="33"/>
        <v>753</v>
      </c>
      <c r="F290" t="str">
        <f>"113"</f>
        <v>113</v>
      </c>
    </row>
    <row r="291" spans="1:6">
      <c r="A291" t="str">
        <f>"E1203-107"</f>
        <v>E1203-107</v>
      </c>
      <c r="B291" t="str">
        <f t="shared" si="34"/>
        <v>VIA CARLO LINNEO  184-</v>
      </c>
      <c r="C291" t="str">
        <f t="shared" si="35"/>
        <v>RIV</v>
      </c>
      <c r="D291">
        <v>26</v>
      </c>
      <c r="E291" t="str">
        <f t="shared" si="33"/>
        <v>753</v>
      </c>
      <c r="F291" t="str">
        <f>"114"</f>
        <v>114</v>
      </c>
    </row>
    <row r="292" spans="1:6">
      <c r="A292" t="str">
        <f>"E1203-108"</f>
        <v>E1203-108</v>
      </c>
      <c r="B292" t="str">
        <f t="shared" si="34"/>
        <v>VIA CARLO LINNEO  184-</v>
      </c>
      <c r="C292" t="str">
        <f t="shared" si="35"/>
        <v>RIV</v>
      </c>
      <c r="D292">
        <v>26</v>
      </c>
      <c r="E292" t="str">
        <f t="shared" si="33"/>
        <v>753</v>
      </c>
      <c r="F292" t="str">
        <f>"115"</f>
        <v>115</v>
      </c>
    </row>
    <row r="293" spans="1:6">
      <c r="A293" t="str">
        <f>"E1203-109"</f>
        <v>E1203-109</v>
      </c>
      <c r="B293" t="str">
        <f t="shared" si="34"/>
        <v>VIA CARLO LINNEO  184-</v>
      </c>
      <c r="C293" t="str">
        <f t="shared" si="35"/>
        <v>RIV</v>
      </c>
      <c r="D293">
        <v>26</v>
      </c>
      <c r="E293" t="str">
        <f t="shared" si="33"/>
        <v>753</v>
      </c>
      <c r="F293" t="str">
        <f>"116"</f>
        <v>116</v>
      </c>
    </row>
    <row r="294" spans="1:6">
      <c r="A294" t="str">
        <f>"E1203-110"</f>
        <v>E1203-110</v>
      </c>
      <c r="B294" t="str">
        <f t="shared" si="34"/>
        <v>VIA CARLO LINNEO  184-</v>
      </c>
      <c r="C294" t="str">
        <f t="shared" si="35"/>
        <v>RIV</v>
      </c>
      <c r="D294">
        <v>26</v>
      </c>
      <c r="E294" t="str">
        <f t="shared" si="33"/>
        <v>753</v>
      </c>
      <c r="F294" t="str">
        <f>"117"</f>
        <v>117</v>
      </c>
    </row>
    <row r="295" spans="1:6">
      <c r="A295" t="str">
        <f>"E1203-111"</f>
        <v>E1203-111</v>
      </c>
      <c r="B295" t="str">
        <f t="shared" si="34"/>
        <v>VIA CARLO LINNEO  184-</v>
      </c>
      <c r="C295" t="str">
        <f t="shared" si="35"/>
        <v>RIV</v>
      </c>
      <c r="D295">
        <v>26</v>
      </c>
      <c r="E295" t="str">
        <f t="shared" si="33"/>
        <v>753</v>
      </c>
      <c r="F295" t="str">
        <f>"3"</f>
        <v>3</v>
      </c>
    </row>
    <row r="296" spans="1:6">
      <c r="A296" t="str">
        <f>"E1203-113"</f>
        <v>E1203-113</v>
      </c>
      <c r="B296" t="str">
        <f t="shared" si="34"/>
        <v>VIA CARLO LINNEO  184-</v>
      </c>
      <c r="C296" t="str">
        <f t="shared" si="35"/>
        <v>RIV</v>
      </c>
      <c r="D296">
        <v>26</v>
      </c>
      <c r="E296" t="str">
        <f t="shared" si="33"/>
        <v>753</v>
      </c>
      <c r="F296" t="str">
        <f>"5"</f>
        <v>5</v>
      </c>
    </row>
    <row r="297" spans="1:6">
      <c r="A297" t="str">
        <f>"E1203-116"</f>
        <v>E1203-116</v>
      </c>
      <c r="B297" t="str">
        <f t="shared" si="34"/>
        <v>VIA CARLO LINNEO  184-</v>
      </c>
      <c r="C297" t="str">
        <f t="shared" si="35"/>
        <v>RIV</v>
      </c>
      <c r="D297">
        <v>26</v>
      </c>
      <c r="E297" t="str">
        <f t="shared" si="33"/>
        <v>753</v>
      </c>
      <c r="F297" t="str">
        <f>"11"</f>
        <v>11</v>
      </c>
    </row>
    <row r="298" spans="1:6">
      <c r="A298" t="str">
        <f>"E1203-117"</f>
        <v>E1203-117</v>
      </c>
      <c r="B298" t="str">
        <f t="shared" si="34"/>
        <v>VIA CARLO LINNEO  184-</v>
      </c>
      <c r="C298" t="str">
        <f t="shared" si="35"/>
        <v>RIV</v>
      </c>
      <c r="D298">
        <v>26</v>
      </c>
      <c r="E298" t="str">
        <f t="shared" si="33"/>
        <v>753</v>
      </c>
      <c r="F298" t="str">
        <f>"12"</f>
        <v>12</v>
      </c>
    </row>
    <row r="299" spans="1:6">
      <c r="A299" t="str">
        <f>"E1203-119"</f>
        <v>E1203-119</v>
      </c>
      <c r="B299" t="str">
        <f t="shared" si="34"/>
        <v>VIA CARLO LINNEO  184-</v>
      </c>
      <c r="C299" t="str">
        <f t="shared" si="35"/>
        <v>RIV</v>
      </c>
      <c r="D299">
        <v>26</v>
      </c>
      <c r="E299" t="str">
        <f t="shared" ref="E299:E330" si="36">"753"</f>
        <v>753</v>
      </c>
      <c r="F299" t="str">
        <f>"14"</f>
        <v>14</v>
      </c>
    </row>
    <row r="300" spans="1:6">
      <c r="A300" t="str">
        <f>"E1203-120"</f>
        <v>E1203-120</v>
      </c>
      <c r="B300" t="str">
        <f t="shared" si="34"/>
        <v>VIA CARLO LINNEO  184-</v>
      </c>
      <c r="C300" t="str">
        <f t="shared" si="35"/>
        <v>RIV</v>
      </c>
      <c r="D300">
        <v>26</v>
      </c>
      <c r="E300" t="str">
        <f t="shared" si="36"/>
        <v>753</v>
      </c>
      <c r="F300" t="str">
        <f>"15"</f>
        <v>15</v>
      </c>
    </row>
    <row r="301" spans="1:6">
      <c r="A301" t="str">
        <f>"E1203-121"</f>
        <v>E1203-121</v>
      </c>
      <c r="B301" t="str">
        <f t="shared" si="34"/>
        <v>VIA CARLO LINNEO  184-</v>
      </c>
      <c r="C301" t="str">
        <f t="shared" si="35"/>
        <v>RIV</v>
      </c>
      <c r="D301">
        <v>26</v>
      </c>
      <c r="E301" t="str">
        <f t="shared" si="36"/>
        <v>753</v>
      </c>
      <c r="F301" t="str">
        <f>"16"</f>
        <v>16</v>
      </c>
    </row>
    <row r="302" spans="1:6">
      <c r="A302" t="str">
        <f>"E1203-122"</f>
        <v>E1203-122</v>
      </c>
      <c r="B302" t="str">
        <f t="shared" si="34"/>
        <v>VIA CARLO LINNEO  184-</v>
      </c>
      <c r="C302" t="str">
        <f t="shared" si="35"/>
        <v>RIV</v>
      </c>
      <c r="D302">
        <v>26</v>
      </c>
      <c r="E302" t="str">
        <f t="shared" si="36"/>
        <v>753</v>
      </c>
      <c r="F302" t="str">
        <f>"17"</f>
        <v>17</v>
      </c>
    </row>
    <row r="303" spans="1:6">
      <c r="A303" t="str">
        <f>"E1203-123"</f>
        <v>E1203-123</v>
      </c>
      <c r="B303" t="str">
        <f t="shared" si="34"/>
        <v>VIA CARLO LINNEO  184-</v>
      </c>
      <c r="C303" t="str">
        <f t="shared" si="35"/>
        <v>RIV</v>
      </c>
      <c r="D303">
        <v>26</v>
      </c>
      <c r="E303" t="str">
        <f t="shared" si="36"/>
        <v>753</v>
      </c>
      <c r="F303" t="str">
        <f>"18"</f>
        <v>18</v>
      </c>
    </row>
    <row r="304" spans="1:6">
      <c r="A304" t="str">
        <f>"E1203-126"</f>
        <v>E1203-126</v>
      </c>
      <c r="B304" t="str">
        <f t="shared" si="34"/>
        <v>VIA CARLO LINNEO  184-</v>
      </c>
      <c r="C304" t="str">
        <f t="shared" si="35"/>
        <v>RIV</v>
      </c>
      <c r="D304">
        <v>26</v>
      </c>
      <c r="E304" t="str">
        <f t="shared" si="36"/>
        <v>753</v>
      </c>
      <c r="F304" t="str">
        <f>"21"</f>
        <v>21</v>
      </c>
    </row>
    <row r="305" spans="1:6">
      <c r="A305" t="str">
        <f>"E1203-127"</f>
        <v>E1203-127</v>
      </c>
      <c r="B305" t="str">
        <f t="shared" si="34"/>
        <v>VIA CARLO LINNEO  184-</v>
      </c>
      <c r="C305" t="str">
        <f t="shared" si="35"/>
        <v>RIV</v>
      </c>
      <c r="D305">
        <v>26</v>
      </c>
      <c r="E305" t="str">
        <f t="shared" si="36"/>
        <v>753</v>
      </c>
      <c r="F305" t="str">
        <f>"22"</f>
        <v>22</v>
      </c>
    </row>
    <row r="306" spans="1:6">
      <c r="A306" t="str">
        <f>"E1203-128"</f>
        <v>E1203-128</v>
      </c>
      <c r="B306" t="str">
        <f t="shared" si="34"/>
        <v>VIA CARLO LINNEO  184-</v>
      </c>
      <c r="C306" t="str">
        <f t="shared" si="35"/>
        <v>RIV</v>
      </c>
      <c r="D306">
        <v>26</v>
      </c>
      <c r="E306" t="str">
        <f t="shared" si="36"/>
        <v>753</v>
      </c>
      <c r="F306" t="str">
        <f>"23"</f>
        <v>23</v>
      </c>
    </row>
    <row r="307" spans="1:6">
      <c r="A307" t="str">
        <f>"E1203-129"</f>
        <v>E1203-129</v>
      </c>
      <c r="B307" t="str">
        <f t="shared" si="34"/>
        <v>VIA CARLO LINNEO  184-</v>
      </c>
      <c r="C307" t="str">
        <f t="shared" si="35"/>
        <v>RIV</v>
      </c>
      <c r="D307">
        <v>26</v>
      </c>
      <c r="E307" t="str">
        <f t="shared" si="36"/>
        <v>753</v>
      </c>
      <c r="F307" t="str">
        <f>"24"</f>
        <v>24</v>
      </c>
    </row>
    <row r="308" spans="1:6">
      <c r="A308" t="str">
        <f>"E1203-130"</f>
        <v>E1203-130</v>
      </c>
      <c r="B308" t="str">
        <f t="shared" si="34"/>
        <v>VIA CARLO LINNEO  184-</v>
      </c>
      <c r="C308" t="str">
        <f t="shared" si="35"/>
        <v>RIV</v>
      </c>
      <c r="D308">
        <v>26</v>
      </c>
      <c r="E308" t="str">
        <f t="shared" si="36"/>
        <v>753</v>
      </c>
      <c r="F308" t="str">
        <f>"25"</f>
        <v>25</v>
      </c>
    </row>
    <row r="309" spans="1:6">
      <c r="A309" t="str">
        <f>"E1203-133"</f>
        <v>E1203-133</v>
      </c>
      <c r="B309" t="str">
        <f t="shared" si="34"/>
        <v>VIA CARLO LINNEO  184-</v>
      </c>
      <c r="C309" t="str">
        <f t="shared" si="35"/>
        <v>RIV</v>
      </c>
      <c r="D309">
        <v>26</v>
      </c>
      <c r="E309" t="str">
        <f t="shared" si="36"/>
        <v>753</v>
      </c>
      <c r="F309" t="str">
        <f>"33"</f>
        <v>33</v>
      </c>
    </row>
    <row r="310" spans="1:6">
      <c r="A310" t="str">
        <f>"E1203-134"</f>
        <v>E1203-134</v>
      </c>
      <c r="B310" t="str">
        <f t="shared" si="34"/>
        <v>VIA CARLO LINNEO  184-</v>
      </c>
      <c r="C310" t="str">
        <f t="shared" si="35"/>
        <v>RIV</v>
      </c>
      <c r="D310">
        <v>26</v>
      </c>
      <c r="E310" t="str">
        <f t="shared" si="36"/>
        <v>753</v>
      </c>
      <c r="F310" t="str">
        <f>"34"</f>
        <v>34</v>
      </c>
    </row>
    <row r="311" spans="1:6">
      <c r="A311" t="str">
        <f>"E1203-135"</f>
        <v>E1203-135</v>
      </c>
      <c r="B311" t="str">
        <f t="shared" si="34"/>
        <v>VIA CARLO LINNEO  184-</v>
      </c>
      <c r="C311" t="str">
        <f t="shared" si="35"/>
        <v>RIV</v>
      </c>
      <c r="D311">
        <v>26</v>
      </c>
      <c r="E311" t="str">
        <f t="shared" si="36"/>
        <v>753</v>
      </c>
      <c r="F311" t="str">
        <f>"35"</f>
        <v>35</v>
      </c>
    </row>
    <row r="312" spans="1:6">
      <c r="A312" t="str">
        <f>"E1203-136"</f>
        <v>E1203-136</v>
      </c>
      <c r="B312" t="str">
        <f t="shared" si="34"/>
        <v>VIA CARLO LINNEO  184-</v>
      </c>
      <c r="C312" t="str">
        <f t="shared" si="35"/>
        <v>RIV</v>
      </c>
      <c r="D312">
        <v>26</v>
      </c>
      <c r="E312" t="str">
        <f t="shared" si="36"/>
        <v>753</v>
      </c>
      <c r="F312" t="str">
        <f>"36"</f>
        <v>36</v>
      </c>
    </row>
    <row r="313" spans="1:6">
      <c r="A313" t="str">
        <f>"E1203-137"</f>
        <v>E1203-137</v>
      </c>
      <c r="B313" t="str">
        <f t="shared" si="34"/>
        <v>VIA CARLO LINNEO  184-</v>
      </c>
      <c r="C313" t="str">
        <f t="shared" si="35"/>
        <v>RIV</v>
      </c>
      <c r="D313">
        <v>26</v>
      </c>
      <c r="E313" t="str">
        <f t="shared" si="36"/>
        <v>753</v>
      </c>
      <c r="F313" t="str">
        <f>"37"</f>
        <v>37</v>
      </c>
    </row>
    <row r="314" spans="1:6">
      <c r="A314" t="str">
        <f>"E1203-138"</f>
        <v>E1203-138</v>
      </c>
      <c r="B314" t="str">
        <f t="shared" si="34"/>
        <v>VIA CARLO LINNEO  184-</v>
      </c>
      <c r="C314" t="str">
        <f t="shared" si="35"/>
        <v>RIV</v>
      </c>
      <c r="D314">
        <v>26</v>
      </c>
      <c r="E314" t="str">
        <f t="shared" si="36"/>
        <v>753</v>
      </c>
      <c r="F314" t="str">
        <f>"38"</f>
        <v>38</v>
      </c>
    </row>
    <row r="315" spans="1:6">
      <c r="A315" t="str">
        <f>"E1203-139"</f>
        <v>E1203-139</v>
      </c>
      <c r="B315" t="str">
        <f t="shared" si="34"/>
        <v>VIA CARLO LINNEO  184-</v>
      </c>
      <c r="C315" t="str">
        <f t="shared" si="35"/>
        <v>RIV</v>
      </c>
      <c r="D315">
        <v>26</v>
      </c>
      <c r="E315" t="str">
        <f t="shared" si="36"/>
        <v>753</v>
      </c>
      <c r="F315" t="str">
        <f>"39"</f>
        <v>39</v>
      </c>
    </row>
    <row r="316" spans="1:6">
      <c r="A316" t="str">
        <f>"E1203-140"</f>
        <v>E1203-140</v>
      </c>
      <c r="B316" t="str">
        <f t="shared" si="34"/>
        <v>VIA CARLO LINNEO  184-</v>
      </c>
      <c r="C316" t="str">
        <f t="shared" si="35"/>
        <v>RIV</v>
      </c>
      <c r="D316">
        <v>26</v>
      </c>
      <c r="E316" t="str">
        <f t="shared" si="36"/>
        <v>753</v>
      </c>
      <c r="F316" t="str">
        <f>"40"</f>
        <v>40</v>
      </c>
    </row>
    <row r="317" spans="1:6">
      <c r="A317" t="str">
        <f>"E1203-141"</f>
        <v>E1203-141</v>
      </c>
      <c r="B317" t="str">
        <f t="shared" si="34"/>
        <v>VIA CARLO LINNEO  184-</v>
      </c>
      <c r="C317" t="str">
        <f t="shared" si="35"/>
        <v>RIV</v>
      </c>
      <c r="D317">
        <v>26</v>
      </c>
      <c r="E317" t="str">
        <f t="shared" si="36"/>
        <v>753</v>
      </c>
      <c r="F317" t="str">
        <f>"41"</f>
        <v>41</v>
      </c>
    </row>
    <row r="318" spans="1:6">
      <c r="A318" t="str">
        <f>"E1203-142"</f>
        <v>E1203-142</v>
      </c>
      <c r="B318" t="str">
        <f t="shared" si="34"/>
        <v>VIA CARLO LINNEO  184-</v>
      </c>
      <c r="C318" t="str">
        <f t="shared" si="35"/>
        <v>RIV</v>
      </c>
      <c r="D318">
        <v>26</v>
      </c>
      <c r="E318" t="str">
        <f t="shared" si="36"/>
        <v>753</v>
      </c>
      <c r="F318" t="str">
        <f>"42"</f>
        <v>42</v>
      </c>
    </row>
    <row r="319" spans="1:6">
      <c r="A319" t="str">
        <f>"E1203-143"</f>
        <v>E1203-143</v>
      </c>
      <c r="B319" t="str">
        <f t="shared" si="34"/>
        <v>VIA CARLO LINNEO  184-</v>
      </c>
      <c r="C319" t="str">
        <f t="shared" si="35"/>
        <v>RIV</v>
      </c>
      <c r="D319">
        <v>26</v>
      </c>
      <c r="E319" t="str">
        <f t="shared" si="36"/>
        <v>753</v>
      </c>
      <c r="F319" t="str">
        <f>"43"</f>
        <v>43</v>
      </c>
    </row>
    <row r="320" spans="1:6">
      <c r="A320" t="str">
        <f>"E1203-144"</f>
        <v>E1203-144</v>
      </c>
      <c r="B320" t="str">
        <f t="shared" ref="B320:B352" si="37">"VIA CARLO LINNEO  184-"</f>
        <v>VIA CARLO LINNEO  184-</v>
      </c>
      <c r="C320" t="str">
        <f t="shared" si="35"/>
        <v>RIV</v>
      </c>
      <c r="D320">
        <v>26</v>
      </c>
      <c r="E320" t="str">
        <f t="shared" si="36"/>
        <v>753</v>
      </c>
      <c r="F320" t="str">
        <f>"57"</f>
        <v>57</v>
      </c>
    </row>
    <row r="321" spans="1:6">
      <c r="A321" t="str">
        <f>"E1203-145"</f>
        <v>E1203-145</v>
      </c>
      <c r="B321" t="str">
        <f t="shared" si="37"/>
        <v>VIA CARLO LINNEO  184-</v>
      </c>
      <c r="C321" t="str">
        <f t="shared" si="35"/>
        <v>RIV</v>
      </c>
      <c r="D321">
        <v>26</v>
      </c>
      <c r="E321" t="str">
        <f t="shared" si="36"/>
        <v>753</v>
      </c>
      <c r="F321" t="str">
        <f>"58"</f>
        <v>58</v>
      </c>
    </row>
    <row r="322" spans="1:6">
      <c r="A322" t="str">
        <f>"E1203-146"</f>
        <v>E1203-146</v>
      </c>
      <c r="B322" t="str">
        <f t="shared" si="37"/>
        <v>VIA CARLO LINNEO  184-</v>
      </c>
      <c r="C322" t="str">
        <f t="shared" si="35"/>
        <v>RIV</v>
      </c>
      <c r="D322">
        <v>26</v>
      </c>
      <c r="E322" t="str">
        <f t="shared" si="36"/>
        <v>753</v>
      </c>
      <c r="F322" t="str">
        <f>"59"</f>
        <v>59</v>
      </c>
    </row>
    <row r="323" spans="1:6">
      <c r="A323" t="str">
        <f>"E1203-148"</f>
        <v>E1203-148</v>
      </c>
      <c r="B323" t="str">
        <f t="shared" si="37"/>
        <v>VIA CARLO LINNEO  184-</v>
      </c>
      <c r="C323" t="str">
        <f t="shared" si="35"/>
        <v>RIV</v>
      </c>
      <c r="D323">
        <v>26</v>
      </c>
      <c r="E323" t="str">
        <f t="shared" si="36"/>
        <v>753</v>
      </c>
      <c r="F323" t="str">
        <f>"61"</f>
        <v>61</v>
      </c>
    </row>
    <row r="324" spans="1:6">
      <c r="A324" t="str">
        <f>"E1203-149"</f>
        <v>E1203-149</v>
      </c>
      <c r="B324" t="str">
        <f t="shared" si="37"/>
        <v>VIA CARLO LINNEO  184-</v>
      </c>
      <c r="C324" t="str">
        <f t="shared" si="35"/>
        <v>RIV</v>
      </c>
      <c r="D324">
        <v>26</v>
      </c>
      <c r="E324" t="str">
        <f t="shared" si="36"/>
        <v>753</v>
      </c>
      <c r="F324" t="str">
        <f>"62"</f>
        <v>62</v>
      </c>
    </row>
    <row r="325" spans="1:6">
      <c r="A325" t="str">
        <f>"E1203-150"</f>
        <v>E1203-150</v>
      </c>
      <c r="B325" t="str">
        <f t="shared" si="37"/>
        <v>VIA CARLO LINNEO  184-</v>
      </c>
      <c r="C325" t="str">
        <f t="shared" si="35"/>
        <v>RIV</v>
      </c>
      <c r="D325">
        <v>26</v>
      </c>
      <c r="E325" t="str">
        <f t="shared" si="36"/>
        <v>753</v>
      </c>
      <c r="F325" t="str">
        <f>"63"</f>
        <v>63</v>
      </c>
    </row>
    <row r="326" spans="1:6">
      <c r="A326" t="str">
        <f>"E1203-151"</f>
        <v>E1203-151</v>
      </c>
      <c r="B326" t="str">
        <f t="shared" si="37"/>
        <v>VIA CARLO LINNEO  184-</v>
      </c>
      <c r="C326" t="str">
        <f t="shared" si="35"/>
        <v>RIV</v>
      </c>
      <c r="D326">
        <v>26</v>
      </c>
      <c r="E326" t="str">
        <f t="shared" si="36"/>
        <v>753</v>
      </c>
      <c r="F326" t="str">
        <f>"64"</f>
        <v>64</v>
      </c>
    </row>
    <row r="327" spans="1:6">
      <c r="A327" t="str">
        <f>"E1203-153"</f>
        <v>E1203-153</v>
      </c>
      <c r="B327" t="str">
        <f t="shared" si="37"/>
        <v>VIA CARLO LINNEO  184-</v>
      </c>
      <c r="C327" t="str">
        <f t="shared" si="35"/>
        <v>RIV</v>
      </c>
      <c r="D327">
        <v>26</v>
      </c>
      <c r="E327" t="str">
        <f t="shared" si="36"/>
        <v>753</v>
      </c>
      <c r="F327" t="str">
        <f>"66"</f>
        <v>66</v>
      </c>
    </row>
    <row r="328" spans="1:6">
      <c r="A328" t="str">
        <f>"E1203-154"</f>
        <v>E1203-154</v>
      </c>
      <c r="B328" t="str">
        <f t="shared" si="37"/>
        <v>VIA CARLO LINNEO  184-</v>
      </c>
      <c r="C328" t="str">
        <f t="shared" si="35"/>
        <v>RIV</v>
      </c>
      <c r="D328">
        <v>26</v>
      </c>
      <c r="E328" t="str">
        <f t="shared" si="36"/>
        <v>753</v>
      </c>
      <c r="F328" t="str">
        <f>"67"</f>
        <v>67</v>
      </c>
    </row>
    <row r="329" spans="1:6">
      <c r="A329" t="str">
        <f>"E1203-155"</f>
        <v>E1203-155</v>
      </c>
      <c r="B329" t="str">
        <f t="shared" si="37"/>
        <v>VIA CARLO LINNEO  184-</v>
      </c>
      <c r="C329" t="str">
        <f t="shared" si="35"/>
        <v>RIV</v>
      </c>
      <c r="D329">
        <v>26</v>
      </c>
      <c r="E329" t="str">
        <f t="shared" si="36"/>
        <v>753</v>
      </c>
      <c r="F329" t="str">
        <f>"68"</f>
        <v>68</v>
      </c>
    </row>
    <row r="330" spans="1:6">
      <c r="A330" t="str">
        <f>"E1203-156"</f>
        <v>E1203-156</v>
      </c>
      <c r="B330" t="str">
        <f t="shared" si="37"/>
        <v>VIA CARLO LINNEO  184-</v>
      </c>
      <c r="C330" t="str">
        <f t="shared" si="35"/>
        <v>RIV</v>
      </c>
      <c r="D330">
        <v>26</v>
      </c>
      <c r="E330" t="str">
        <f t="shared" si="36"/>
        <v>753</v>
      </c>
      <c r="F330" t="str">
        <f>"69"</f>
        <v>69</v>
      </c>
    </row>
    <row r="331" spans="1:6">
      <c r="A331" t="str">
        <f>"E1203-157"</f>
        <v>E1203-157</v>
      </c>
      <c r="B331" t="str">
        <f t="shared" si="37"/>
        <v>VIA CARLO LINNEO  184-</v>
      </c>
      <c r="C331" t="str">
        <f t="shared" si="35"/>
        <v>RIV</v>
      </c>
      <c r="D331">
        <v>26</v>
      </c>
      <c r="E331" t="str">
        <f t="shared" ref="E331:E352" si="38">"753"</f>
        <v>753</v>
      </c>
      <c r="F331" t="str">
        <f>"70"</f>
        <v>70</v>
      </c>
    </row>
    <row r="332" spans="1:6">
      <c r="A332" t="str">
        <f>"E1203-158"</f>
        <v>E1203-158</v>
      </c>
      <c r="B332" t="str">
        <f t="shared" si="37"/>
        <v>VIA CARLO LINNEO  184-</v>
      </c>
      <c r="C332" t="str">
        <f t="shared" si="35"/>
        <v>RIV</v>
      </c>
      <c r="D332">
        <v>26</v>
      </c>
      <c r="E332" t="str">
        <f t="shared" si="38"/>
        <v>753</v>
      </c>
      <c r="F332" t="str">
        <f>"71"</f>
        <v>71</v>
      </c>
    </row>
    <row r="333" spans="1:6">
      <c r="A333" t="str">
        <f>"E1203-159"</f>
        <v>E1203-159</v>
      </c>
      <c r="B333" t="str">
        <f t="shared" si="37"/>
        <v>VIA CARLO LINNEO  184-</v>
      </c>
      <c r="C333" t="str">
        <f t="shared" si="35"/>
        <v>RIV</v>
      </c>
      <c r="D333">
        <v>26</v>
      </c>
      <c r="E333" t="str">
        <f t="shared" si="38"/>
        <v>753</v>
      </c>
      <c r="F333" t="str">
        <f>"72"</f>
        <v>72</v>
      </c>
    </row>
    <row r="334" spans="1:6">
      <c r="A334" t="str">
        <f>"E1203-160"</f>
        <v>E1203-160</v>
      </c>
      <c r="B334" t="str">
        <f t="shared" si="37"/>
        <v>VIA CARLO LINNEO  184-</v>
      </c>
      <c r="C334" t="str">
        <f t="shared" si="35"/>
        <v>RIV</v>
      </c>
      <c r="D334">
        <v>26</v>
      </c>
      <c r="E334" t="str">
        <f t="shared" si="38"/>
        <v>753</v>
      </c>
      <c r="F334" t="str">
        <f>"89"</f>
        <v>89</v>
      </c>
    </row>
    <row r="335" spans="1:6">
      <c r="A335" t="str">
        <f>"E1203-161"</f>
        <v>E1203-161</v>
      </c>
      <c r="B335" t="str">
        <f t="shared" si="37"/>
        <v>VIA CARLO LINNEO  184-</v>
      </c>
      <c r="C335" t="str">
        <f t="shared" si="35"/>
        <v>RIV</v>
      </c>
      <c r="D335">
        <v>26</v>
      </c>
      <c r="E335" t="str">
        <f t="shared" si="38"/>
        <v>753</v>
      </c>
      <c r="F335" t="str">
        <f>"90"</f>
        <v>90</v>
      </c>
    </row>
    <row r="336" spans="1:6">
      <c r="A336" t="str">
        <f>"E1203-162"</f>
        <v>E1203-162</v>
      </c>
      <c r="B336" t="str">
        <f t="shared" si="37"/>
        <v>VIA CARLO LINNEO  184-</v>
      </c>
      <c r="C336" t="str">
        <f t="shared" si="35"/>
        <v>RIV</v>
      </c>
      <c r="D336">
        <v>26</v>
      </c>
      <c r="E336" t="str">
        <f t="shared" si="38"/>
        <v>753</v>
      </c>
      <c r="F336" t="str">
        <f>"91"</f>
        <v>91</v>
      </c>
    </row>
    <row r="337" spans="1:6">
      <c r="A337" t="str">
        <f>"E1203-163"</f>
        <v>E1203-163</v>
      </c>
      <c r="B337" t="str">
        <f t="shared" si="37"/>
        <v>VIA CARLO LINNEO  184-</v>
      </c>
      <c r="C337" t="str">
        <f t="shared" si="35"/>
        <v>RIV</v>
      </c>
      <c r="D337">
        <v>26</v>
      </c>
      <c r="E337" t="str">
        <f t="shared" si="38"/>
        <v>753</v>
      </c>
      <c r="F337" t="str">
        <f>"92"</f>
        <v>92</v>
      </c>
    </row>
    <row r="338" spans="1:6">
      <c r="A338" t="str">
        <f>"E1203-164"</f>
        <v>E1203-164</v>
      </c>
      <c r="B338" t="str">
        <f t="shared" si="37"/>
        <v>VIA CARLO LINNEO  184-</v>
      </c>
      <c r="C338" t="str">
        <f t="shared" si="35"/>
        <v>RIV</v>
      </c>
      <c r="D338">
        <v>26</v>
      </c>
      <c r="E338" t="str">
        <f t="shared" si="38"/>
        <v>753</v>
      </c>
      <c r="F338" t="str">
        <f>"93"</f>
        <v>93</v>
      </c>
    </row>
    <row r="339" spans="1:6">
      <c r="A339" t="str">
        <f>"E1203-165"</f>
        <v>E1203-165</v>
      </c>
      <c r="B339" t="str">
        <f t="shared" si="37"/>
        <v>VIA CARLO LINNEO  184-</v>
      </c>
      <c r="C339" t="str">
        <f t="shared" si="35"/>
        <v>RIV</v>
      </c>
      <c r="D339">
        <v>26</v>
      </c>
      <c r="E339" t="str">
        <f t="shared" si="38"/>
        <v>753</v>
      </c>
      <c r="F339" t="str">
        <f>"94"</f>
        <v>94</v>
      </c>
    </row>
    <row r="340" spans="1:6">
      <c r="A340" t="str">
        <f>"E1203-166"</f>
        <v>E1203-166</v>
      </c>
      <c r="B340" t="str">
        <f t="shared" si="37"/>
        <v>VIA CARLO LINNEO  184-</v>
      </c>
      <c r="C340" t="str">
        <f t="shared" si="35"/>
        <v>RIV</v>
      </c>
      <c r="D340">
        <v>26</v>
      </c>
      <c r="E340" t="str">
        <f t="shared" si="38"/>
        <v>753</v>
      </c>
      <c r="F340" t="str">
        <f>"95"</f>
        <v>95</v>
      </c>
    </row>
    <row r="341" spans="1:6">
      <c r="A341" t="str">
        <f>"E1203-167"</f>
        <v>E1203-167</v>
      </c>
      <c r="B341" t="str">
        <f t="shared" si="37"/>
        <v>VIA CARLO LINNEO  184-</v>
      </c>
      <c r="C341" t="str">
        <f t="shared" si="35"/>
        <v>RIV</v>
      </c>
      <c r="D341">
        <v>26</v>
      </c>
      <c r="E341" t="str">
        <f t="shared" si="38"/>
        <v>753</v>
      </c>
      <c r="F341" t="str">
        <f>"96"</f>
        <v>96</v>
      </c>
    </row>
    <row r="342" spans="1:6">
      <c r="A342" t="str">
        <f>"E1203-168"</f>
        <v>E1203-168</v>
      </c>
      <c r="B342" t="str">
        <f t="shared" si="37"/>
        <v>VIA CARLO LINNEO  184-</v>
      </c>
      <c r="C342" t="str">
        <f t="shared" si="35"/>
        <v>RIV</v>
      </c>
      <c r="D342">
        <v>26</v>
      </c>
      <c r="E342" t="str">
        <f t="shared" si="38"/>
        <v>753</v>
      </c>
      <c r="F342" t="str">
        <f>"97"</f>
        <v>97</v>
      </c>
    </row>
    <row r="343" spans="1:6">
      <c r="A343" t="str">
        <f>"E1203-169"</f>
        <v>E1203-169</v>
      </c>
      <c r="B343" t="str">
        <f t="shared" si="37"/>
        <v>VIA CARLO LINNEO  184-</v>
      </c>
      <c r="C343" t="str">
        <f t="shared" si="35"/>
        <v>RIV</v>
      </c>
      <c r="D343">
        <v>26</v>
      </c>
      <c r="E343" t="str">
        <f t="shared" si="38"/>
        <v>753</v>
      </c>
      <c r="F343" t="str">
        <f>"98"</f>
        <v>98</v>
      </c>
    </row>
    <row r="344" spans="1:6">
      <c r="A344" t="str">
        <f>"E1203-170"</f>
        <v>E1203-170</v>
      </c>
      <c r="B344" t="str">
        <f t="shared" si="37"/>
        <v>VIA CARLO LINNEO  184-</v>
      </c>
      <c r="C344" t="str">
        <f t="shared" si="35"/>
        <v>RIV</v>
      </c>
      <c r="D344">
        <v>26</v>
      </c>
      <c r="E344" t="str">
        <f t="shared" si="38"/>
        <v>753</v>
      </c>
      <c r="F344" t="str">
        <f>"99"</f>
        <v>99</v>
      </c>
    </row>
    <row r="345" spans="1:6">
      <c r="A345" t="str">
        <f>"E1203-171"</f>
        <v>E1203-171</v>
      </c>
      <c r="B345" t="str">
        <f t="shared" si="37"/>
        <v>VIA CARLO LINNEO  184-</v>
      </c>
      <c r="C345" t="str">
        <f t="shared" si="35"/>
        <v>RIV</v>
      </c>
      <c r="D345">
        <v>26</v>
      </c>
      <c r="E345" t="str">
        <f t="shared" si="38"/>
        <v>753</v>
      </c>
      <c r="F345" t="str">
        <f>"100"</f>
        <v>100</v>
      </c>
    </row>
    <row r="346" spans="1:6">
      <c r="A346" t="str">
        <f>"E1203-172"</f>
        <v>E1203-172</v>
      </c>
      <c r="B346" t="str">
        <f t="shared" si="37"/>
        <v>VIA CARLO LINNEO  184-</v>
      </c>
      <c r="C346" t="str">
        <f t="shared" si="35"/>
        <v>RIV</v>
      </c>
      <c r="D346">
        <v>26</v>
      </c>
      <c r="E346" t="str">
        <f t="shared" si="38"/>
        <v>753</v>
      </c>
      <c r="F346" t="str">
        <f>"101"</f>
        <v>101</v>
      </c>
    </row>
    <row r="347" spans="1:6">
      <c r="A347" t="str">
        <f>"E1203-173"</f>
        <v>E1203-173</v>
      </c>
      <c r="B347" t="str">
        <f t="shared" si="37"/>
        <v>VIA CARLO LINNEO  184-</v>
      </c>
      <c r="C347" t="str">
        <f t="shared" si="35"/>
        <v>RIV</v>
      </c>
      <c r="D347">
        <v>26</v>
      </c>
      <c r="E347" t="str">
        <f t="shared" si="38"/>
        <v>753</v>
      </c>
      <c r="F347" t="str">
        <f>"102"</f>
        <v>102</v>
      </c>
    </row>
    <row r="348" spans="1:6">
      <c r="A348" t="str">
        <f>"E1203-174"</f>
        <v>E1203-174</v>
      </c>
      <c r="B348" t="str">
        <f t="shared" si="37"/>
        <v>VIA CARLO LINNEO  184-</v>
      </c>
      <c r="C348" t="str">
        <f t="shared" si="35"/>
        <v>RIV</v>
      </c>
      <c r="D348">
        <v>26</v>
      </c>
      <c r="E348" t="str">
        <f t="shared" si="38"/>
        <v>753</v>
      </c>
      <c r="F348" t="str">
        <f>"103"</f>
        <v>103</v>
      </c>
    </row>
    <row r="349" spans="1:6">
      <c r="A349" t="str">
        <f>"E1203-175"</f>
        <v>E1203-175</v>
      </c>
      <c r="B349" t="str">
        <f t="shared" si="37"/>
        <v>VIA CARLO LINNEO  184-</v>
      </c>
      <c r="C349" t="str">
        <f t="shared" si="35"/>
        <v>RIV</v>
      </c>
      <c r="D349">
        <v>26</v>
      </c>
      <c r="E349" t="str">
        <f t="shared" si="38"/>
        <v>753</v>
      </c>
      <c r="F349" t="str">
        <f>"104"</f>
        <v>104</v>
      </c>
    </row>
    <row r="350" spans="1:6">
      <c r="A350" t="str">
        <f>"E1203-176"</f>
        <v>E1203-176</v>
      </c>
      <c r="B350" t="str">
        <f t="shared" si="37"/>
        <v>VIA CARLO LINNEO  184-</v>
      </c>
      <c r="C350" t="str">
        <f t="shared" si="35"/>
        <v>RIV</v>
      </c>
      <c r="D350">
        <v>26</v>
      </c>
      <c r="E350" t="str">
        <f t="shared" si="38"/>
        <v>753</v>
      </c>
      <c r="F350" t="str">
        <f>"105"</f>
        <v>105</v>
      </c>
    </row>
    <row r="351" spans="1:6">
      <c r="A351" t="str">
        <f>"E1203-177"</f>
        <v>E1203-177</v>
      </c>
      <c r="B351" t="str">
        <f t="shared" si="37"/>
        <v>VIA CARLO LINNEO  184-</v>
      </c>
      <c r="C351" t="str">
        <f t="shared" si="35"/>
        <v>RIV</v>
      </c>
      <c r="D351">
        <v>26</v>
      </c>
      <c r="E351" t="str">
        <f t="shared" si="38"/>
        <v>753</v>
      </c>
      <c r="F351" t="str">
        <f>"106"</f>
        <v>106</v>
      </c>
    </row>
    <row r="352" spans="1:6">
      <c r="A352" t="str">
        <f>"E1203-178"</f>
        <v>E1203-178</v>
      </c>
      <c r="B352" t="str">
        <f t="shared" si="37"/>
        <v>VIA CARLO LINNEO  184-</v>
      </c>
      <c r="C352" t="str">
        <f t="shared" si="35"/>
        <v>RIV</v>
      </c>
      <c r="D352">
        <v>26</v>
      </c>
      <c r="E352" t="str">
        <f t="shared" si="38"/>
        <v>753</v>
      </c>
      <c r="F352" t="str">
        <f>"107"</f>
        <v>107</v>
      </c>
    </row>
    <row r="353" spans="1:6">
      <c r="A353" t="str">
        <f>"E1203-183"</f>
        <v>E1203-183</v>
      </c>
      <c r="B353" t="str">
        <f>"VIA CARLO LINNEO  218-"</f>
        <v>VIA CARLO LINNEO  218-</v>
      </c>
      <c r="C353" t="str">
        <f t="shared" ref="C353:C365" si="39">"RIV"</f>
        <v>RIV</v>
      </c>
      <c r="D353">
        <v>26</v>
      </c>
      <c r="E353" t="str">
        <f t="shared" ref="E353:E365" si="40">"750"</f>
        <v>750</v>
      </c>
      <c r="F353" t="str">
        <f>"5"</f>
        <v>5</v>
      </c>
    </row>
    <row r="354" spans="1:6">
      <c r="A354" t="str">
        <f>"E1203-184"</f>
        <v>E1203-184</v>
      </c>
      <c r="B354" t="str">
        <f>"VIA CARLO LINNEO  216-"</f>
        <v>VIA CARLO LINNEO  216-</v>
      </c>
      <c r="C354" t="str">
        <f t="shared" si="39"/>
        <v>RIV</v>
      </c>
      <c r="D354">
        <v>26</v>
      </c>
      <c r="E354" t="str">
        <f t="shared" si="40"/>
        <v>750</v>
      </c>
      <c r="F354" t="str">
        <f>"6"</f>
        <v>6</v>
      </c>
    </row>
    <row r="355" spans="1:6">
      <c r="A355" t="str">
        <f>"E1203-186"</f>
        <v>E1203-186</v>
      </c>
      <c r="B355" t="str">
        <f>"VIA CARLO LINNEO  212-"</f>
        <v>VIA CARLO LINNEO  212-</v>
      </c>
      <c r="C355" t="str">
        <f t="shared" si="39"/>
        <v>RIV</v>
      </c>
      <c r="D355">
        <v>26</v>
      </c>
      <c r="E355" t="str">
        <f t="shared" si="40"/>
        <v>750</v>
      </c>
      <c r="F355" t="str">
        <f>"8"</f>
        <v>8</v>
      </c>
    </row>
    <row r="356" spans="1:6">
      <c r="A356" t="str">
        <f>"E1203-187"</f>
        <v>E1203-187</v>
      </c>
      <c r="B356" t="str">
        <f>"VIA CARLO LINNEO  210-"</f>
        <v>VIA CARLO LINNEO  210-</v>
      </c>
      <c r="C356" t="str">
        <f t="shared" si="39"/>
        <v>RIV</v>
      </c>
      <c r="D356">
        <v>26</v>
      </c>
      <c r="E356" t="str">
        <f t="shared" si="40"/>
        <v>750</v>
      </c>
      <c r="F356" t="str">
        <f>"9"</f>
        <v>9</v>
      </c>
    </row>
    <row r="357" spans="1:6">
      <c r="A357" t="str">
        <f>"E1203-188"</f>
        <v>E1203-188</v>
      </c>
      <c r="B357" t="str">
        <f>"VIA CARLO LINNEO  208-"</f>
        <v>VIA CARLO LINNEO  208-</v>
      </c>
      <c r="C357" t="str">
        <f t="shared" si="39"/>
        <v>RIV</v>
      </c>
      <c r="D357">
        <v>26</v>
      </c>
      <c r="E357" t="str">
        <f t="shared" si="40"/>
        <v>750</v>
      </c>
      <c r="F357" t="str">
        <f>"10"</f>
        <v>10</v>
      </c>
    </row>
    <row r="358" spans="1:6">
      <c r="A358" t="str">
        <f>"E1203-190"</f>
        <v>E1203-190</v>
      </c>
      <c r="B358" t="str">
        <f>"VIA CARLO LINNEO  204-"</f>
        <v>VIA CARLO LINNEO  204-</v>
      </c>
      <c r="C358" t="str">
        <f t="shared" si="39"/>
        <v>RIV</v>
      </c>
      <c r="D358">
        <v>26</v>
      </c>
      <c r="E358" t="str">
        <f t="shared" si="40"/>
        <v>750</v>
      </c>
      <c r="F358" t="str">
        <f>"12"</f>
        <v>12</v>
      </c>
    </row>
    <row r="359" spans="1:6">
      <c r="A359" t="str">
        <f>"E1203-191"</f>
        <v>E1203-191</v>
      </c>
      <c r="B359" t="str">
        <f>"VIA CARLO LINNEO  202-"</f>
        <v>VIA CARLO LINNEO  202-</v>
      </c>
      <c r="C359" t="str">
        <f t="shared" si="39"/>
        <v>RIV</v>
      </c>
      <c r="D359">
        <v>26</v>
      </c>
      <c r="E359" t="str">
        <f t="shared" si="40"/>
        <v>750</v>
      </c>
      <c r="F359" t="str">
        <f>"13"</f>
        <v>13</v>
      </c>
    </row>
    <row r="360" spans="1:6">
      <c r="A360" t="str">
        <f>"E1203-192"</f>
        <v>E1203-192</v>
      </c>
      <c r="B360" t="str">
        <f>"VIA CARLO LINNEO  200-"</f>
        <v>VIA CARLO LINNEO  200-</v>
      </c>
      <c r="C360" t="str">
        <f t="shared" si="39"/>
        <v>RIV</v>
      </c>
      <c r="D360">
        <v>26</v>
      </c>
      <c r="E360" t="str">
        <f t="shared" si="40"/>
        <v>750</v>
      </c>
      <c r="F360" t="str">
        <f>"14"</f>
        <v>14</v>
      </c>
    </row>
    <row r="361" spans="1:6">
      <c r="A361" t="str">
        <f>"E1203-193"</f>
        <v>E1203-193</v>
      </c>
      <c r="B361" t="str">
        <f>"VIA CARLO LINNEO  198-"</f>
        <v>VIA CARLO LINNEO  198-</v>
      </c>
      <c r="C361" t="str">
        <f t="shared" si="39"/>
        <v>RIV</v>
      </c>
      <c r="D361">
        <v>26</v>
      </c>
      <c r="E361" t="str">
        <f t="shared" si="40"/>
        <v>750</v>
      </c>
      <c r="F361" t="str">
        <f>"15"</f>
        <v>15</v>
      </c>
    </row>
    <row r="362" spans="1:6">
      <c r="A362" t="str">
        <f>"E1203-194"</f>
        <v>E1203-194</v>
      </c>
      <c r="B362" t="str">
        <f>"VIA CARLO LINNEO  196-"</f>
        <v>VIA CARLO LINNEO  196-</v>
      </c>
      <c r="C362" t="str">
        <f t="shared" si="39"/>
        <v>RIV</v>
      </c>
      <c r="D362">
        <v>26</v>
      </c>
      <c r="E362" t="str">
        <f t="shared" si="40"/>
        <v>750</v>
      </c>
      <c r="F362" t="str">
        <f>"16"</f>
        <v>16</v>
      </c>
    </row>
    <row r="363" spans="1:6">
      <c r="A363" t="str">
        <f>"E1203-196"</f>
        <v>E1203-196</v>
      </c>
      <c r="B363" t="str">
        <f>"VIA CARLO LINNEO  192-"</f>
        <v>VIA CARLO LINNEO  192-</v>
      </c>
      <c r="C363" t="str">
        <f t="shared" si="39"/>
        <v>RIV</v>
      </c>
      <c r="D363">
        <v>26</v>
      </c>
      <c r="E363" t="str">
        <f t="shared" si="40"/>
        <v>750</v>
      </c>
      <c r="F363" t="str">
        <f>"18"</f>
        <v>18</v>
      </c>
    </row>
    <row r="364" spans="1:6">
      <c r="A364" t="str">
        <f>"E1203-197"</f>
        <v>E1203-197</v>
      </c>
      <c r="B364" t="str">
        <f>"VIA CARLO LINNEO  190-"</f>
        <v>VIA CARLO LINNEO  190-</v>
      </c>
      <c r="C364" t="str">
        <f t="shared" si="39"/>
        <v>RIV</v>
      </c>
      <c r="D364">
        <v>26</v>
      </c>
      <c r="E364" t="str">
        <f t="shared" si="40"/>
        <v>750</v>
      </c>
      <c r="F364" t="str">
        <f>"19"</f>
        <v>19</v>
      </c>
    </row>
    <row r="365" spans="1:6">
      <c r="A365" t="str">
        <f>"E1203-199"</f>
        <v>E1203-199</v>
      </c>
      <c r="B365" t="str">
        <f>"VIA CARLO LINNEO  186-"</f>
        <v>VIA CARLO LINNEO  186-</v>
      </c>
      <c r="C365" t="str">
        <f t="shared" si="39"/>
        <v>RIV</v>
      </c>
      <c r="D365">
        <v>26</v>
      </c>
      <c r="E365" t="str">
        <f t="shared" si="40"/>
        <v>750</v>
      </c>
      <c r="F365" t="str">
        <f>"21"</f>
        <v>21</v>
      </c>
    </row>
    <row r="366" spans="1:6">
      <c r="A366" t="str">
        <f>"E1203-200"</f>
        <v>E1203-200</v>
      </c>
      <c r="B366" t="str">
        <f>"VIA P NEGROTTO CAMBIASO VICINO AL 121-"</f>
        <v>VIA P NEGROTTO CAMBIASO VICINO AL 121-</v>
      </c>
      <c r="C366" t="str">
        <f t="shared" ref="C366:C429" si="41">"4"</f>
        <v>4</v>
      </c>
      <c r="D366">
        <v>26</v>
      </c>
      <c r="E366" t="str">
        <f>"267"</f>
        <v>267</v>
      </c>
      <c r="F366" t="str">
        <f t="shared" ref="F366:F429" si="42">"0000"</f>
        <v>0000</v>
      </c>
    </row>
    <row r="367" spans="1:6">
      <c r="C367" t="str">
        <f t="shared" si="41"/>
        <v>4</v>
      </c>
      <c r="D367">
        <v>26</v>
      </c>
      <c r="E367" t="str">
        <f>"268"</f>
        <v>268</v>
      </c>
      <c r="F367" t="str">
        <f t="shared" si="42"/>
        <v>0000</v>
      </c>
    </row>
    <row r="368" spans="1:6">
      <c r="C368" t="str">
        <f t="shared" si="41"/>
        <v>4</v>
      </c>
      <c r="D368">
        <v>26</v>
      </c>
      <c r="E368" t="str">
        <f>"271"</f>
        <v>271</v>
      </c>
      <c r="F368" t="str">
        <f t="shared" si="42"/>
        <v>0000</v>
      </c>
    </row>
    <row r="369" spans="1:6">
      <c r="C369" t="str">
        <f t="shared" si="41"/>
        <v>4</v>
      </c>
      <c r="D369">
        <v>26</v>
      </c>
      <c r="E369" t="str">
        <f>"419"</f>
        <v>419</v>
      </c>
      <c r="F369" t="str">
        <f t="shared" si="42"/>
        <v>0000</v>
      </c>
    </row>
    <row r="370" spans="1:6">
      <c r="C370" t="str">
        <f t="shared" si="41"/>
        <v>4</v>
      </c>
      <c r="D370">
        <v>26</v>
      </c>
      <c r="E370" t="str">
        <f>"439"</f>
        <v>439</v>
      </c>
      <c r="F370" t="str">
        <f t="shared" si="42"/>
        <v>0000</v>
      </c>
    </row>
    <row r="371" spans="1:6">
      <c r="C371" t="str">
        <f t="shared" si="41"/>
        <v>4</v>
      </c>
      <c r="D371">
        <v>26</v>
      </c>
      <c r="E371" t="str">
        <f>"99999"</f>
        <v>99999</v>
      </c>
      <c r="F371" t="str">
        <f t="shared" si="42"/>
        <v>0000</v>
      </c>
    </row>
    <row r="372" spans="1:6">
      <c r="C372" t="str">
        <f t="shared" si="41"/>
        <v>4</v>
      </c>
      <c r="D372">
        <v>26</v>
      </c>
      <c r="E372" t="str">
        <f>"822"</f>
        <v>822</v>
      </c>
      <c r="F372" t="str">
        <f t="shared" si="42"/>
        <v>0000</v>
      </c>
    </row>
    <row r="373" spans="1:6">
      <c r="C373" t="str">
        <f t="shared" si="41"/>
        <v>4</v>
      </c>
      <c r="D373">
        <v>26</v>
      </c>
      <c r="E373" t="str">
        <f>"549"</f>
        <v>549</v>
      </c>
      <c r="F373" t="str">
        <f t="shared" si="42"/>
        <v>0000</v>
      </c>
    </row>
    <row r="374" spans="1:6">
      <c r="C374" t="str">
        <f t="shared" si="41"/>
        <v>4</v>
      </c>
      <c r="D374">
        <v>26</v>
      </c>
      <c r="E374" t="str">
        <f>"447"</f>
        <v>447</v>
      </c>
      <c r="F374" t="str">
        <f t="shared" si="42"/>
        <v>0000</v>
      </c>
    </row>
    <row r="375" spans="1:6">
      <c r="C375" t="str">
        <f t="shared" si="41"/>
        <v>4</v>
      </c>
      <c r="D375">
        <v>26</v>
      </c>
      <c r="E375" t="str">
        <f>"437"</f>
        <v>437</v>
      </c>
      <c r="F375" t="str">
        <f t="shared" si="42"/>
        <v>0000</v>
      </c>
    </row>
    <row r="376" spans="1:6">
      <c r="C376" t="str">
        <f t="shared" si="41"/>
        <v>4</v>
      </c>
      <c r="D376">
        <v>26</v>
      </c>
      <c r="E376" t="str">
        <f>"413"</f>
        <v>413</v>
      </c>
      <c r="F376" t="str">
        <f t="shared" si="42"/>
        <v>0000</v>
      </c>
    </row>
    <row r="377" spans="1:6">
      <c r="C377" t="str">
        <f t="shared" si="41"/>
        <v>4</v>
      </c>
      <c r="D377">
        <v>26</v>
      </c>
      <c r="E377" t="str">
        <f>"270"</f>
        <v>270</v>
      </c>
      <c r="F377" t="str">
        <f t="shared" si="42"/>
        <v>0000</v>
      </c>
    </row>
    <row r="378" spans="1:6">
      <c r="A378" t="str">
        <f>"E1203-201"</f>
        <v>E1203-201</v>
      </c>
      <c r="B378" t="str">
        <f>"VIA P NEGROTTO CAMBIASO VICINO AL 121-"</f>
        <v>VIA P NEGROTTO CAMBIASO VICINO AL 121-</v>
      </c>
      <c r="C378" t="str">
        <f t="shared" si="41"/>
        <v>4</v>
      </c>
      <c r="D378">
        <v>26</v>
      </c>
      <c r="E378" t="str">
        <f>"267"</f>
        <v>267</v>
      </c>
      <c r="F378" t="str">
        <f t="shared" si="42"/>
        <v>0000</v>
      </c>
    </row>
    <row r="379" spans="1:6">
      <c r="C379" t="str">
        <f t="shared" si="41"/>
        <v>4</v>
      </c>
      <c r="D379">
        <v>26</v>
      </c>
      <c r="E379" t="str">
        <f>"99999"</f>
        <v>99999</v>
      </c>
      <c r="F379" t="str">
        <f t="shared" si="42"/>
        <v>0000</v>
      </c>
    </row>
    <row r="380" spans="1:6">
      <c r="C380" t="str">
        <f t="shared" si="41"/>
        <v>4</v>
      </c>
      <c r="D380">
        <v>26</v>
      </c>
      <c r="E380" t="str">
        <f>"822"</f>
        <v>822</v>
      </c>
      <c r="F380" t="str">
        <f t="shared" si="42"/>
        <v>0000</v>
      </c>
    </row>
    <row r="381" spans="1:6">
      <c r="C381" t="str">
        <f t="shared" si="41"/>
        <v>4</v>
      </c>
      <c r="D381">
        <v>26</v>
      </c>
      <c r="E381" t="str">
        <f>"549"</f>
        <v>549</v>
      </c>
      <c r="F381" t="str">
        <f t="shared" si="42"/>
        <v>0000</v>
      </c>
    </row>
    <row r="382" spans="1:6">
      <c r="C382" t="str">
        <f t="shared" si="41"/>
        <v>4</v>
      </c>
      <c r="D382">
        <v>26</v>
      </c>
      <c r="E382" t="str">
        <f>"447"</f>
        <v>447</v>
      </c>
      <c r="F382" t="str">
        <f t="shared" si="42"/>
        <v>0000</v>
      </c>
    </row>
    <row r="383" spans="1:6">
      <c r="C383" t="str">
        <f t="shared" si="41"/>
        <v>4</v>
      </c>
      <c r="D383">
        <v>26</v>
      </c>
      <c r="E383" t="str">
        <f>"439"</f>
        <v>439</v>
      </c>
      <c r="F383" t="str">
        <f t="shared" si="42"/>
        <v>0000</v>
      </c>
    </row>
    <row r="384" spans="1:6">
      <c r="C384" t="str">
        <f t="shared" si="41"/>
        <v>4</v>
      </c>
      <c r="D384">
        <v>26</v>
      </c>
      <c r="E384" t="str">
        <f>"437"</f>
        <v>437</v>
      </c>
      <c r="F384" t="str">
        <f t="shared" si="42"/>
        <v>0000</v>
      </c>
    </row>
    <row r="385" spans="1:6">
      <c r="C385" t="str">
        <f t="shared" si="41"/>
        <v>4</v>
      </c>
      <c r="D385">
        <v>26</v>
      </c>
      <c r="E385" t="str">
        <f>"419"</f>
        <v>419</v>
      </c>
      <c r="F385" t="str">
        <f t="shared" si="42"/>
        <v>0000</v>
      </c>
    </row>
    <row r="386" spans="1:6">
      <c r="C386" t="str">
        <f t="shared" si="41"/>
        <v>4</v>
      </c>
      <c r="D386">
        <v>26</v>
      </c>
      <c r="E386" t="str">
        <f>"413"</f>
        <v>413</v>
      </c>
      <c r="F386" t="str">
        <f t="shared" si="42"/>
        <v>0000</v>
      </c>
    </row>
    <row r="387" spans="1:6">
      <c r="C387" t="str">
        <f t="shared" si="41"/>
        <v>4</v>
      </c>
      <c r="D387">
        <v>26</v>
      </c>
      <c r="E387" t="str">
        <f>"268"</f>
        <v>268</v>
      </c>
      <c r="F387" t="str">
        <f t="shared" si="42"/>
        <v>0000</v>
      </c>
    </row>
    <row r="388" spans="1:6">
      <c r="C388" t="str">
        <f t="shared" si="41"/>
        <v>4</v>
      </c>
      <c r="D388">
        <v>26</v>
      </c>
      <c r="E388" t="str">
        <f>"271"</f>
        <v>271</v>
      </c>
      <c r="F388" t="str">
        <f t="shared" si="42"/>
        <v>0000</v>
      </c>
    </row>
    <row r="389" spans="1:6">
      <c r="C389" t="str">
        <f t="shared" si="41"/>
        <v>4</v>
      </c>
      <c r="D389">
        <v>26</v>
      </c>
      <c r="E389" t="str">
        <f>"270"</f>
        <v>270</v>
      </c>
      <c r="F389" t="str">
        <f t="shared" si="42"/>
        <v>0000</v>
      </c>
    </row>
    <row r="390" spans="1:6">
      <c r="A390" t="str">
        <f>"E1203-202"</f>
        <v>E1203-202</v>
      </c>
      <c r="B390" t="str">
        <f>"VIA P NEGROTTO CAMBIASO VICINO AL 121-"</f>
        <v>VIA P NEGROTTO CAMBIASO VICINO AL 121-</v>
      </c>
      <c r="C390" t="str">
        <f t="shared" si="41"/>
        <v>4</v>
      </c>
      <c r="D390">
        <v>26</v>
      </c>
      <c r="E390" t="str">
        <f>"267"</f>
        <v>267</v>
      </c>
      <c r="F390" t="str">
        <f t="shared" si="42"/>
        <v>0000</v>
      </c>
    </row>
    <row r="391" spans="1:6">
      <c r="C391" t="str">
        <f t="shared" si="41"/>
        <v>4</v>
      </c>
      <c r="D391">
        <v>26</v>
      </c>
      <c r="E391" t="str">
        <f>"268"</f>
        <v>268</v>
      </c>
      <c r="F391" t="str">
        <f t="shared" si="42"/>
        <v>0000</v>
      </c>
    </row>
    <row r="392" spans="1:6">
      <c r="C392" t="str">
        <f t="shared" si="41"/>
        <v>4</v>
      </c>
      <c r="D392">
        <v>26</v>
      </c>
      <c r="E392" t="str">
        <f>"271"</f>
        <v>271</v>
      </c>
      <c r="F392" t="str">
        <f t="shared" si="42"/>
        <v>0000</v>
      </c>
    </row>
    <row r="393" spans="1:6">
      <c r="C393" t="str">
        <f t="shared" si="41"/>
        <v>4</v>
      </c>
      <c r="D393">
        <v>26</v>
      </c>
      <c r="E393" t="str">
        <f>"419"</f>
        <v>419</v>
      </c>
      <c r="F393" t="str">
        <f t="shared" si="42"/>
        <v>0000</v>
      </c>
    </row>
    <row r="394" spans="1:6">
      <c r="C394" t="str">
        <f t="shared" si="41"/>
        <v>4</v>
      </c>
      <c r="D394">
        <v>26</v>
      </c>
      <c r="E394" t="str">
        <f>"439"</f>
        <v>439</v>
      </c>
      <c r="F394" t="str">
        <f t="shared" si="42"/>
        <v>0000</v>
      </c>
    </row>
    <row r="395" spans="1:6">
      <c r="C395" t="str">
        <f t="shared" si="41"/>
        <v>4</v>
      </c>
      <c r="D395">
        <v>26</v>
      </c>
      <c r="E395" t="str">
        <f>"99999"</f>
        <v>99999</v>
      </c>
      <c r="F395" t="str">
        <f t="shared" si="42"/>
        <v>0000</v>
      </c>
    </row>
    <row r="396" spans="1:6">
      <c r="C396" t="str">
        <f t="shared" si="41"/>
        <v>4</v>
      </c>
      <c r="D396">
        <v>26</v>
      </c>
      <c r="E396" t="str">
        <f>"822"</f>
        <v>822</v>
      </c>
      <c r="F396" t="str">
        <f t="shared" si="42"/>
        <v>0000</v>
      </c>
    </row>
    <row r="397" spans="1:6">
      <c r="C397" t="str">
        <f t="shared" si="41"/>
        <v>4</v>
      </c>
      <c r="D397">
        <v>26</v>
      </c>
      <c r="E397" t="str">
        <f>"549"</f>
        <v>549</v>
      </c>
      <c r="F397" t="str">
        <f t="shared" si="42"/>
        <v>0000</v>
      </c>
    </row>
    <row r="398" spans="1:6">
      <c r="C398" t="str">
        <f t="shared" si="41"/>
        <v>4</v>
      </c>
      <c r="D398">
        <v>26</v>
      </c>
      <c r="E398" t="str">
        <f>"447"</f>
        <v>447</v>
      </c>
      <c r="F398" t="str">
        <f t="shared" si="42"/>
        <v>0000</v>
      </c>
    </row>
    <row r="399" spans="1:6">
      <c r="C399" t="str">
        <f t="shared" si="41"/>
        <v>4</v>
      </c>
      <c r="D399">
        <v>26</v>
      </c>
      <c r="E399" t="str">
        <f>"437"</f>
        <v>437</v>
      </c>
      <c r="F399" t="str">
        <f t="shared" si="42"/>
        <v>0000</v>
      </c>
    </row>
    <row r="400" spans="1:6">
      <c r="C400" t="str">
        <f t="shared" si="41"/>
        <v>4</v>
      </c>
      <c r="D400">
        <v>26</v>
      </c>
      <c r="E400" t="str">
        <f>"413"</f>
        <v>413</v>
      </c>
      <c r="F400" t="str">
        <f t="shared" si="42"/>
        <v>0000</v>
      </c>
    </row>
    <row r="401" spans="1:6">
      <c r="C401" t="str">
        <f t="shared" si="41"/>
        <v>4</v>
      </c>
      <c r="D401">
        <v>26</v>
      </c>
      <c r="E401" t="str">
        <f>"270"</f>
        <v>270</v>
      </c>
      <c r="F401" t="str">
        <f t="shared" si="42"/>
        <v>0000</v>
      </c>
    </row>
    <row r="402" spans="1:6">
      <c r="A402" t="str">
        <f>"E1203-203"</f>
        <v>E1203-203</v>
      </c>
      <c r="B402" t="str">
        <f>"VIA P NEGROTTO CAMBIASO VICINO AL 121-"</f>
        <v>VIA P NEGROTTO CAMBIASO VICINO AL 121-</v>
      </c>
      <c r="C402" t="str">
        <f t="shared" si="41"/>
        <v>4</v>
      </c>
      <c r="D402">
        <v>26</v>
      </c>
      <c r="E402" t="str">
        <f>"267"</f>
        <v>267</v>
      </c>
      <c r="F402" t="str">
        <f t="shared" si="42"/>
        <v>0000</v>
      </c>
    </row>
    <row r="403" spans="1:6">
      <c r="C403" t="str">
        <f t="shared" si="41"/>
        <v>4</v>
      </c>
      <c r="D403">
        <v>26</v>
      </c>
      <c r="E403" t="str">
        <f>"99999"</f>
        <v>99999</v>
      </c>
      <c r="F403" t="str">
        <f t="shared" si="42"/>
        <v>0000</v>
      </c>
    </row>
    <row r="404" spans="1:6">
      <c r="C404" t="str">
        <f t="shared" si="41"/>
        <v>4</v>
      </c>
      <c r="D404">
        <v>26</v>
      </c>
      <c r="E404" t="str">
        <f>"822"</f>
        <v>822</v>
      </c>
      <c r="F404" t="str">
        <f t="shared" si="42"/>
        <v>0000</v>
      </c>
    </row>
    <row r="405" spans="1:6">
      <c r="C405" t="str">
        <f t="shared" si="41"/>
        <v>4</v>
      </c>
      <c r="D405">
        <v>26</v>
      </c>
      <c r="E405" t="str">
        <f>"549"</f>
        <v>549</v>
      </c>
      <c r="F405" t="str">
        <f t="shared" si="42"/>
        <v>0000</v>
      </c>
    </row>
    <row r="406" spans="1:6">
      <c r="C406" t="str">
        <f t="shared" si="41"/>
        <v>4</v>
      </c>
      <c r="D406">
        <v>26</v>
      </c>
      <c r="E406" t="str">
        <f>"447"</f>
        <v>447</v>
      </c>
      <c r="F406" t="str">
        <f t="shared" si="42"/>
        <v>0000</v>
      </c>
    </row>
    <row r="407" spans="1:6">
      <c r="C407" t="str">
        <f t="shared" si="41"/>
        <v>4</v>
      </c>
      <c r="D407">
        <v>26</v>
      </c>
      <c r="E407" t="str">
        <f>"439"</f>
        <v>439</v>
      </c>
      <c r="F407" t="str">
        <f t="shared" si="42"/>
        <v>0000</v>
      </c>
    </row>
    <row r="408" spans="1:6">
      <c r="C408" t="str">
        <f t="shared" si="41"/>
        <v>4</v>
      </c>
      <c r="D408">
        <v>26</v>
      </c>
      <c r="E408" t="str">
        <f>"437"</f>
        <v>437</v>
      </c>
      <c r="F408" t="str">
        <f t="shared" si="42"/>
        <v>0000</v>
      </c>
    </row>
    <row r="409" spans="1:6">
      <c r="C409" t="str">
        <f t="shared" si="41"/>
        <v>4</v>
      </c>
      <c r="D409">
        <v>26</v>
      </c>
      <c r="E409" t="str">
        <f>"419"</f>
        <v>419</v>
      </c>
      <c r="F409" t="str">
        <f t="shared" si="42"/>
        <v>0000</v>
      </c>
    </row>
    <row r="410" spans="1:6">
      <c r="C410" t="str">
        <f t="shared" si="41"/>
        <v>4</v>
      </c>
      <c r="D410">
        <v>26</v>
      </c>
      <c r="E410" t="str">
        <f>"413"</f>
        <v>413</v>
      </c>
      <c r="F410" t="str">
        <f t="shared" si="42"/>
        <v>0000</v>
      </c>
    </row>
    <row r="411" spans="1:6">
      <c r="C411" t="str">
        <f t="shared" si="41"/>
        <v>4</v>
      </c>
      <c r="D411">
        <v>26</v>
      </c>
      <c r="E411" t="str">
        <f>"268"</f>
        <v>268</v>
      </c>
      <c r="F411" t="str">
        <f t="shared" si="42"/>
        <v>0000</v>
      </c>
    </row>
    <row r="412" spans="1:6">
      <c r="C412" t="str">
        <f t="shared" si="41"/>
        <v>4</v>
      </c>
      <c r="D412">
        <v>26</v>
      </c>
      <c r="E412" t="str">
        <f>"271"</f>
        <v>271</v>
      </c>
      <c r="F412" t="str">
        <f t="shared" si="42"/>
        <v>0000</v>
      </c>
    </row>
    <row r="413" spans="1:6">
      <c r="C413" t="str">
        <f t="shared" si="41"/>
        <v>4</v>
      </c>
      <c r="D413">
        <v>26</v>
      </c>
      <c r="E413" t="str">
        <f>"270"</f>
        <v>270</v>
      </c>
      <c r="F413" t="str">
        <f t="shared" si="42"/>
        <v>0000</v>
      </c>
    </row>
    <row r="414" spans="1:6">
      <c r="A414" t="str">
        <f>"E1203-204"</f>
        <v>E1203-204</v>
      </c>
      <c r="B414" t="str">
        <f>"VIA P NEGROTTO CAMBIASO VICINO AL 121-"</f>
        <v>VIA P NEGROTTO CAMBIASO VICINO AL 121-</v>
      </c>
      <c r="C414" t="str">
        <f t="shared" si="41"/>
        <v>4</v>
      </c>
      <c r="D414">
        <v>26</v>
      </c>
      <c r="E414" t="str">
        <f>"267"</f>
        <v>267</v>
      </c>
      <c r="F414" t="str">
        <f t="shared" si="42"/>
        <v>0000</v>
      </c>
    </row>
    <row r="415" spans="1:6">
      <c r="C415" t="str">
        <f t="shared" si="41"/>
        <v>4</v>
      </c>
      <c r="D415">
        <v>26</v>
      </c>
      <c r="E415" t="str">
        <f>"268"</f>
        <v>268</v>
      </c>
      <c r="F415" t="str">
        <f t="shared" si="42"/>
        <v>0000</v>
      </c>
    </row>
    <row r="416" spans="1:6">
      <c r="C416" t="str">
        <f t="shared" si="41"/>
        <v>4</v>
      </c>
      <c r="D416">
        <v>26</v>
      </c>
      <c r="E416" t="str">
        <f>"271"</f>
        <v>271</v>
      </c>
      <c r="F416" t="str">
        <f t="shared" si="42"/>
        <v>0000</v>
      </c>
    </row>
    <row r="417" spans="1:6">
      <c r="C417" t="str">
        <f t="shared" si="41"/>
        <v>4</v>
      </c>
      <c r="D417">
        <v>26</v>
      </c>
      <c r="E417" t="str">
        <f>"419"</f>
        <v>419</v>
      </c>
      <c r="F417" t="str">
        <f t="shared" si="42"/>
        <v>0000</v>
      </c>
    </row>
    <row r="418" spans="1:6">
      <c r="C418" t="str">
        <f t="shared" si="41"/>
        <v>4</v>
      </c>
      <c r="D418">
        <v>26</v>
      </c>
      <c r="E418" t="str">
        <f>"439"</f>
        <v>439</v>
      </c>
      <c r="F418" t="str">
        <f t="shared" si="42"/>
        <v>0000</v>
      </c>
    </row>
    <row r="419" spans="1:6">
      <c r="C419" t="str">
        <f t="shared" si="41"/>
        <v>4</v>
      </c>
      <c r="D419">
        <v>26</v>
      </c>
      <c r="E419" t="str">
        <f>"99999"</f>
        <v>99999</v>
      </c>
      <c r="F419" t="str">
        <f t="shared" si="42"/>
        <v>0000</v>
      </c>
    </row>
    <row r="420" spans="1:6">
      <c r="C420" t="str">
        <f t="shared" si="41"/>
        <v>4</v>
      </c>
      <c r="D420">
        <v>26</v>
      </c>
      <c r="E420" t="str">
        <f>"822"</f>
        <v>822</v>
      </c>
      <c r="F420" t="str">
        <f t="shared" si="42"/>
        <v>0000</v>
      </c>
    </row>
    <row r="421" spans="1:6">
      <c r="C421" t="str">
        <f t="shared" si="41"/>
        <v>4</v>
      </c>
      <c r="D421">
        <v>26</v>
      </c>
      <c r="E421" t="str">
        <f>"549"</f>
        <v>549</v>
      </c>
      <c r="F421" t="str">
        <f t="shared" si="42"/>
        <v>0000</v>
      </c>
    </row>
    <row r="422" spans="1:6">
      <c r="C422" t="str">
        <f t="shared" si="41"/>
        <v>4</v>
      </c>
      <c r="D422">
        <v>26</v>
      </c>
      <c r="E422" t="str">
        <f>"447"</f>
        <v>447</v>
      </c>
      <c r="F422" t="str">
        <f t="shared" si="42"/>
        <v>0000</v>
      </c>
    </row>
    <row r="423" spans="1:6">
      <c r="C423" t="str">
        <f t="shared" si="41"/>
        <v>4</v>
      </c>
      <c r="D423">
        <v>26</v>
      </c>
      <c r="E423" t="str">
        <f>"437"</f>
        <v>437</v>
      </c>
      <c r="F423" t="str">
        <f t="shared" si="42"/>
        <v>0000</v>
      </c>
    </row>
    <row r="424" spans="1:6">
      <c r="C424" t="str">
        <f t="shared" si="41"/>
        <v>4</v>
      </c>
      <c r="D424">
        <v>26</v>
      </c>
      <c r="E424" t="str">
        <f>"413"</f>
        <v>413</v>
      </c>
      <c r="F424" t="str">
        <f t="shared" si="42"/>
        <v>0000</v>
      </c>
    </row>
    <row r="425" spans="1:6">
      <c r="C425" t="str">
        <f t="shared" si="41"/>
        <v>4</v>
      </c>
      <c r="D425">
        <v>26</v>
      </c>
      <c r="E425" t="str">
        <f>"270"</f>
        <v>270</v>
      </c>
      <c r="F425" t="str">
        <f t="shared" si="42"/>
        <v>0000</v>
      </c>
    </row>
    <row r="426" spans="1:6">
      <c r="A426" t="str">
        <f>"E1203-205"</f>
        <v>E1203-205</v>
      </c>
      <c r="B426" t="str">
        <f>"VIA P NEGROTTO CAMBIASO VICINO AL 121-"</f>
        <v>VIA P NEGROTTO CAMBIASO VICINO AL 121-</v>
      </c>
      <c r="C426" t="str">
        <f t="shared" si="41"/>
        <v>4</v>
      </c>
      <c r="D426">
        <v>26</v>
      </c>
      <c r="E426" t="str">
        <f>"267"</f>
        <v>267</v>
      </c>
      <c r="F426" t="str">
        <f t="shared" si="42"/>
        <v>0000</v>
      </c>
    </row>
    <row r="427" spans="1:6">
      <c r="C427" t="str">
        <f t="shared" si="41"/>
        <v>4</v>
      </c>
      <c r="D427">
        <v>26</v>
      </c>
      <c r="E427" t="str">
        <f>"99999"</f>
        <v>99999</v>
      </c>
      <c r="F427" t="str">
        <f t="shared" si="42"/>
        <v>0000</v>
      </c>
    </row>
    <row r="428" spans="1:6">
      <c r="C428" t="str">
        <f t="shared" si="41"/>
        <v>4</v>
      </c>
      <c r="D428">
        <v>26</v>
      </c>
      <c r="E428" t="str">
        <f>"822"</f>
        <v>822</v>
      </c>
      <c r="F428" t="str">
        <f t="shared" si="42"/>
        <v>0000</v>
      </c>
    </row>
    <row r="429" spans="1:6">
      <c r="C429" t="str">
        <f t="shared" si="41"/>
        <v>4</v>
      </c>
      <c r="D429">
        <v>26</v>
      </c>
      <c r="E429" t="str">
        <f>"549"</f>
        <v>549</v>
      </c>
      <c r="F429" t="str">
        <f t="shared" si="42"/>
        <v>0000</v>
      </c>
    </row>
    <row r="430" spans="1:6">
      <c r="C430" t="str">
        <f t="shared" ref="C430:C493" si="43">"4"</f>
        <v>4</v>
      </c>
      <c r="D430">
        <v>26</v>
      </c>
      <c r="E430" t="str">
        <f>"447"</f>
        <v>447</v>
      </c>
      <c r="F430" t="str">
        <f t="shared" ref="F430:F493" si="44">"0000"</f>
        <v>0000</v>
      </c>
    </row>
    <row r="431" spans="1:6">
      <c r="C431" t="str">
        <f t="shared" si="43"/>
        <v>4</v>
      </c>
      <c r="D431">
        <v>26</v>
      </c>
      <c r="E431" t="str">
        <f>"439"</f>
        <v>439</v>
      </c>
      <c r="F431" t="str">
        <f t="shared" si="44"/>
        <v>0000</v>
      </c>
    </row>
    <row r="432" spans="1:6">
      <c r="C432" t="str">
        <f t="shared" si="43"/>
        <v>4</v>
      </c>
      <c r="D432">
        <v>26</v>
      </c>
      <c r="E432" t="str">
        <f>"437"</f>
        <v>437</v>
      </c>
      <c r="F432" t="str">
        <f t="shared" si="44"/>
        <v>0000</v>
      </c>
    </row>
    <row r="433" spans="1:6">
      <c r="C433" t="str">
        <f t="shared" si="43"/>
        <v>4</v>
      </c>
      <c r="D433">
        <v>26</v>
      </c>
      <c r="E433" t="str">
        <f>"419"</f>
        <v>419</v>
      </c>
      <c r="F433" t="str">
        <f t="shared" si="44"/>
        <v>0000</v>
      </c>
    </row>
    <row r="434" spans="1:6">
      <c r="C434" t="str">
        <f t="shared" si="43"/>
        <v>4</v>
      </c>
      <c r="D434">
        <v>26</v>
      </c>
      <c r="E434" t="str">
        <f>"413"</f>
        <v>413</v>
      </c>
      <c r="F434" t="str">
        <f t="shared" si="44"/>
        <v>0000</v>
      </c>
    </row>
    <row r="435" spans="1:6">
      <c r="C435" t="str">
        <f t="shared" si="43"/>
        <v>4</v>
      </c>
      <c r="D435">
        <v>26</v>
      </c>
      <c r="E435" t="str">
        <f>"268"</f>
        <v>268</v>
      </c>
      <c r="F435" t="str">
        <f t="shared" si="44"/>
        <v>0000</v>
      </c>
    </row>
    <row r="436" spans="1:6">
      <c r="C436" t="str">
        <f t="shared" si="43"/>
        <v>4</v>
      </c>
      <c r="D436">
        <v>26</v>
      </c>
      <c r="E436" t="str">
        <f>"271"</f>
        <v>271</v>
      </c>
      <c r="F436" t="str">
        <f t="shared" si="44"/>
        <v>0000</v>
      </c>
    </row>
    <row r="437" spans="1:6">
      <c r="C437" t="str">
        <f t="shared" si="43"/>
        <v>4</v>
      </c>
      <c r="D437">
        <v>26</v>
      </c>
      <c r="E437" t="str">
        <f>"270"</f>
        <v>270</v>
      </c>
      <c r="F437" t="str">
        <f t="shared" si="44"/>
        <v>0000</v>
      </c>
    </row>
    <row r="438" spans="1:6">
      <c r="A438" t="str">
        <f>"E1203-206"</f>
        <v>E1203-206</v>
      </c>
      <c r="B438" t="str">
        <f>"VIA P NEGROTTO CAMBIASO VICINO AL 121-"</f>
        <v>VIA P NEGROTTO CAMBIASO VICINO AL 121-</v>
      </c>
      <c r="C438" t="str">
        <f t="shared" si="43"/>
        <v>4</v>
      </c>
      <c r="D438">
        <v>26</v>
      </c>
      <c r="E438" t="str">
        <f>"267"</f>
        <v>267</v>
      </c>
      <c r="F438" t="str">
        <f t="shared" si="44"/>
        <v>0000</v>
      </c>
    </row>
    <row r="439" spans="1:6">
      <c r="C439" t="str">
        <f t="shared" si="43"/>
        <v>4</v>
      </c>
      <c r="D439">
        <v>26</v>
      </c>
      <c r="E439" t="str">
        <f>"268"</f>
        <v>268</v>
      </c>
      <c r="F439" t="str">
        <f t="shared" si="44"/>
        <v>0000</v>
      </c>
    </row>
    <row r="440" spans="1:6">
      <c r="C440" t="str">
        <f t="shared" si="43"/>
        <v>4</v>
      </c>
      <c r="D440">
        <v>26</v>
      </c>
      <c r="E440" t="str">
        <f>"271"</f>
        <v>271</v>
      </c>
      <c r="F440" t="str">
        <f t="shared" si="44"/>
        <v>0000</v>
      </c>
    </row>
    <row r="441" spans="1:6">
      <c r="C441" t="str">
        <f t="shared" si="43"/>
        <v>4</v>
      </c>
      <c r="D441">
        <v>26</v>
      </c>
      <c r="E441" t="str">
        <f>"419"</f>
        <v>419</v>
      </c>
      <c r="F441" t="str">
        <f t="shared" si="44"/>
        <v>0000</v>
      </c>
    </row>
    <row r="442" spans="1:6">
      <c r="C442" t="str">
        <f t="shared" si="43"/>
        <v>4</v>
      </c>
      <c r="D442">
        <v>26</v>
      </c>
      <c r="E442" t="str">
        <f>"439"</f>
        <v>439</v>
      </c>
      <c r="F442" t="str">
        <f t="shared" si="44"/>
        <v>0000</v>
      </c>
    </row>
    <row r="443" spans="1:6">
      <c r="C443" t="str">
        <f t="shared" si="43"/>
        <v>4</v>
      </c>
      <c r="D443">
        <v>26</v>
      </c>
      <c r="E443" t="str">
        <f>"99999"</f>
        <v>99999</v>
      </c>
      <c r="F443" t="str">
        <f t="shared" si="44"/>
        <v>0000</v>
      </c>
    </row>
    <row r="444" spans="1:6">
      <c r="C444" t="str">
        <f t="shared" si="43"/>
        <v>4</v>
      </c>
      <c r="D444">
        <v>26</v>
      </c>
      <c r="E444" t="str">
        <f>"822"</f>
        <v>822</v>
      </c>
      <c r="F444" t="str">
        <f t="shared" si="44"/>
        <v>0000</v>
      </c>
    </row>
    <row r="445" spans="1:6">
      <c r="C445" t="str">
        <f t="shared" si="43"/>
        <v>4</v>
      </c>
      <c r="D445">
        <v>26</v>
      </c>
      <c r="E445" t="str">
        <f>"549"</f>
        <v>549</v>
      </c>
      <c r="F445" t="str">
        <f t="shared" si="44"/>
        <v>0000</v>
      </c>
    </row>
    <row r="446" spans="1:6">
      <c r="C446" t="str">
        <f t="shared" si="43"/>
        <v>4</v>
      </c>
      <c r="D446">
        <v>26</v>
      </c>
      <c r="E446" t="str">
        <f>"447"</f>
        <v>447</v>
      </c>
      <c r="F446" t="str">
        <f t="shared" si="44"/>
        <v>0000</v>
      </c>
    </row>
    <row r="447" spans="1:6">
      <c r="C447" t="str">
        <f t="shared" si="43"/>
        <v>4</v>
      </c>
      <c r="D447">
        <v>26</v>
      </c>
      <c r="E447" t="str">
        <f>"437"</f>
        <v>437</v>
      </c>
      <c r="F447" t="str">
        <f t="shared" si="44"/>
        <v>0000</v>
      </c>
    </row>
    <row r="448" spans="1:6">
      <c r="C448" t="str">
        <f t="shared" si="43"/>
        <v>4</v>
      </c>
      <c r="D448">
        <v>26</v>
      </c>
      <c r="E448" t="str">
        <f>"413"</f>
        <v>413</v>
      </c>
      <c r="F448" t="str">
        <f t="shared" si="44"/>
        <v>0000</v>
      </c>
    </row>
    <row r="449" spans="1:6">
      <c r="C449" t="str">
        <f t="shared" si="43"/>
        <v>4</v>
      </c>
      <c r="D449">
        <v>26</v>
      </c>
      <c r="E449" t="str">
        <f>"270"</f>
        <v>270</v>
      </c>
      <c r="F449" t="str">
        <f t="shared" si="44"/>
        <v>0000</v>
      </c>
    </row>
    <row r="450" spans="1:6">
      <c r="A450" t="str">
        <f>"E1203-207"</f>
        <v>E1203-207</v>
      </c>
      <c r="B450" t="str">
        <f>"VIA P NEGROTTO CAMBIASO VICINO AL 121-"</f>
        <v>VIA P NEGROTTO CAMBIASO VICINO AL 121-</v>
      </c>
      <c r="C450" t="str">
        <f t="shared" si="43"/>
        <v>4</v>
      </c>
      <c r="D450">
        <v>26</v>
      </c>
      <c r="E450" t="str">
        <f>"267"</f>
        <v>267</v>
      </c>
      <c r="F450" t="str">
        <f t="shared" si="44"/>
        <v>0000</v>
      </c>
    </row>
    <row r="451" spans="1:6">
      <c r="C451" t="str">
        <f t="shared" si="43"/>
        <v>4</v>
      </c>
      <c r="D451">
        <v>26</v>
      </c>
      <c r="E451" t="str">
        <f>"99999"</f>
        <v>99999</v>
      </c>
      <c r="F451" t="str">
        <f t="shared" si="44"/>
        <v>0000</v>
      </c>
    </row>
    <row r="452" spans="1:6">
      <c r="C452" t="str">
        <f t="shared" si="43"/>
        <v>4</v>
      </c>
      <c r="D452">
        <v>26</v>
      </c>
      <c r="E452" t="str">
        <f>"822"</f>
        <v>822</v>
      </c>
      <c r="F452" t="str">
        <f t="shared" si="44"/>
        <v>0000</v>
      </c>
    </row>
    <row r="453" spans="1:6">
      <c r="C453" t="str">
        <f t="shared" si="43"/>
        <v>4</v>
      </c>
      <c r="D453">
        <v>26</v>
      </c>
      <c r="E453" t="str">
        <f>"549"</f>
        <v>549</v>
      </c>
      <c r="F453" t="str">
        <f t="shared" si="44"/>
        <v>0000</v>
      </c>
    </row>
    <row r="454" spans="1:6">
      <c r="C454" t="str">
        <f t="shared" si="43"/>
        <v>4</v>
      </c>
      <c r="D454">
        <v>26</v>
      </c>
      <c r="E454" t="str">
        <f>"447"</f>
        <v>447</v>
      </c>
      <c r="F454" t="str">
        <f t="shared" si="44"/>
        <v>0000</v>
      </c>
    </row>
    <row r="455" spans="1:6">
      <c r="C455" t="str">
        <f t="shared" si="43"/>
        <v>4</v>
      </c>
      <c r="D455">
        <v>26</v>
      </c>
      <c r="E455" t="str">
        <f>"439"</f>
        <v>439</v>
      </c>
      <c r="F455" t="str">
        <f t="shared" si="44"/>
        <v>0000</v>
      </c>
    </row>
    <row r="456" spans="1:6">
      <c r="C456" t="str">
        <f t="shared" si="43"/>
        <v>4</v>
      </c>
      <c r="D456">
        <v>26</v>
      </c>
      <c r="E456" t="str">
        <f>"437"</f>
        <v>437</v>
      </c>
      <c r="F456" t="str">
        <f t="shared" si="44"/>
        <v>0000</v>
      </c>
    </row>
    <row r="457" spans="1:6">
      <c r="C457" t="str">
        <f t="shared" si="43"/>
        <v>4</v>
      </c>
      <c r="D457">
        <v>26</v>
      </c>
      <c r="E457" t="str">
        <f>"419"</f>
        <v>419</v>
      </c>
      <c r="F457" t="str">
        <f t="shared" si="44"/>
        <v>0000</v>
      </c>
    </row>
    <row r="458" spans="1:6">
      <c r="C458" t="str">
        <f t="shared" si="43"/>
        <v>4</v>
      </c>
      <c r="D458">
        <v>26</v>
      </c>
      <c r="E458" t="str">
        <f>"413"</f>
        <v>413</v>
      </c>
      <c r="F458" t="str">
        <f t="shared" si="44"/>
        <v>0000</v>
      </c>
    </row>
    <row r="459" spans="1:6">
      <c r="C459" t="str">
        <f t="shared" si="43"/>
        <v>4</v>
      </c>
      <c r="D459">
        <v>26</v>
      </c>
      <c r="E459" t="str">
        <f>"268"</f>
        <v>268</v>
      </c>
      <c r="F459" t="str">
        <f t="shared" si="44"/>
        <v>0000</v>
      </c>
    </row>
    <row r="460" spans="1:6">
      <c r="C460" t="str">
        <f t="shared" si="43"/>
        <v>4</v>
      </c>
      <c r="D460">
        <v>26</v>
      </c>
      <c r="E460" t="str">
        <f>"271"</f>
        <v>271</v>
      </c>
      <c r="F460" t="str">
        <f t="shared" si="44"/>
        <v>0000</v>
      </c>
    </row>
    <row r="461" spans="1:6">
      <c r="C461" t="str">
        <f t="shared" si="43"/>
        <v>4</v>
      </c>
      <c r="D461">
        <v>26</v>
      </c>
      <c r="E461" t="str">
        <f>"270"</f>
        <v>270</v>
      </c>
      <c r="F461" t="str">
        <f t="shared" si="44"/>
        <v>0000</v>
      </c>
    </row>
    <row r="462" spans="1:6">
      <c r="A462" t="str">
        <f>"E1203-208"</f>
        <v>E1203-208</v>
      </c>
      <c r="B462" t="str">
        <f>"VIA P NEGROTTO CAMBIASO VICINO AL 121-"</f>
        <v>VIA P NEGROTTO CAMBIASO VICINO AL 121-</v>
      </c>
      <c r="C462" t="str">
        <f t="shared" si="43"/>
        <v>4</v>
      </c>
      <c r="D462">
        <v>26</v>
      </c>
      <c r="E462" t="str">
        <f>"267"</f>
        <v>267</v>
      </c>
      <c r="F462" t="str">
        <f t="shared" si="44"/>
        <v>0000</v>
      </c>
    </row>
    <row r="463" spans="1:6">
      <c r="C463" t="str">
        <f t="shared" si="43"/>
        <v>4</v>
      </c>
      <c r="D463">
        <v>26</v>
      </c>
      <c r="E463" t="str">
        <f>"268"</f>
        <v>268</v>
      </c>
      <c r="F463" t="str">
        <f t="shared" si="44"/>
        <v>0000</v>
      </c>
    </row>
    <row r="464" spans="1:6">
      <c r="C464" t="str">
        <f t="shared" si="43"/>
        <v>4</v>
      </c>
      <c r="D464">
        <v>26</v>
      </c>
      <c r="E464" t="str">
        <f>"271"</f>
        <v>271</v>
      </c>
      <c r="F464" t="str">
        <f t="shared" si="44"/>
        <v>0000</v>
      </c>
    </row>
    <row r="465" spans="1:6">
      <c r="C465" t="str">
        <f t="shared" si="43"/>
        <v>4</v>
      </c>
      <c r="D465">
        <v>26</v>
      </c>
      <c r="E465" t="str">
        <f>"419"</f>
        <v>419</v>
      </c>
      <c r="F465" t="str">
        <f t="shared" si="44"/>
        <v>0000</v>
      </c>
    </row>
    <row r="466" spans="1:6">
      <c r="C466" t="str">
        <f t="shared" si="43"/>
        <v>4</v>
      </c>
      <c r="D466">
        <v>26</v>
      </c>
      <c r="E466" t="str">
        <f>"439"</f>
        <v>439</v>
      </c>
      <c r="F466" t="str">
        <f t="shared" si="44"/>
        <v>0000</v>
      </c>
    </row>
    <row r="467" spans="1:6">
      <c r="C467" t="str">
        <f t="shared" si="43"/>
        <v>4</v>
      </c>
      <c r="D467">
        <v>26</v>
      </c>
      <c r="E467" t="str">
        <f>"99999"</f>
        <v>99999</v>
      </c>
      <c r="F467" t="str">
        <f t="shared" si="44"/>
        <v>0000</v>
      </c>
    </row>
    <row r="468" spans="1:6">
      <c r="C468" t="str">
        <f t="shared" si="43"/>
        <v>4</v>
      </c>
      <c r="D468">
        <v>26</v>
      </c>
      <c r="E468" t="str">
        <f>"822"</f>
        <v>822</v>
      </c>
      <c r="F468" t="str">
        <f t="shared" si="44"/>
        <v>0000</v>
      </c>
    </row>
    <row r="469" spans="1:6">
      <c r="C469" t="str">
        <f t="shared" si="43"/>
        <v>4</v>
      </c>
      <c r="D469">
        <v>26</v>
      </c>
      <c r="E469" t="str">
        <f>"549"</f>
        <v>549</v>
      </c>
      <c r="F469" t="str">
        <f t="shared" si="44"/>
        <v>0000</v>
      </c>
    </row>
    <row r="470" spans="1:6">
      <c r="C470" t="str">
        <f t="shared" si="43"/>
        <v>4</v>
      </c>
      <c r="D470">
        <v>26</v>
      </c>
      <c r="E470" t="str">
        <f>"447"</f>
        <v>447</v>
      </c>
      <c r="F470" t="str">
        <f t="shared" si="44"/>
        <v>0000</v>
      </c>
    </row>
    <row r="471" spans="1:6">
      <c r="C471" t="str">
        <f t="shared" si="43"/>
        <v>4</v>
      </c>
      <c r="D471">
        <v>26</v>
      </c>
      <c r="E471" t="str">
        <f>"437"</f>
        <v>437</v>
      </c>
      <c r="F471" t="str">
        <f t="shared" si="44"/>
        <v>0000</v>
      </c>
    </row>
    <row r="472" spans="1:6">
      <c r="C472" t="str">
        <f t="shared" si="43"/>
        <v>4</v>
      </c>
      <c r="D472">
        <v>26</v>
      </c>
      <c r="E472" t="str">
        <f>"413"</f>
        <v>413</v>
      </c>
      <c r="F472" t="str">
        <f t="shared" si="44"/>
        <v>0000</v>
      </c>
    </row>
    <row r="473" spans="1:6">
      <c r="C473" t="str">
        <f t="shared" si="43"/>
        <v>4</v>
      </c>
      <c r="D473">
        <v>26</v>
      </c>
      <c r="E473" t="str">
        <f>"270"</f>
        <v>270</v>
      </c>
      <c r="F473" t="str">
        <f t="shared" si="44"/>
        <v>0000</v>
      </c>
    </row>
    <row r="474" spans="1:6">
      <c r="A474" t="str">
        <f>"E1203-209"</f>
        <v>E1203-209</v>
      </c>
      <c r="B474" t="str">
        <f>"VIA P NEGROTTO CAMBIASO VICINO AL 121-"</f>
        <v>VIA P NEGROTTO CAMBIASO VICINO AL 121-</v>
      </c>
      <c r="C474" t="str">
        <f t="shared" si="43"/>
        <v>4</v>
      </c>
      <c r="D474">
        <v>26</v>
      </c>
      <c r="E474" t="str">
        <f>"267"</f>
        <v>267</v>
      </c>
      <c r="F474" t="str">
        <f t="shared" si="44"/>
        <v>0000</v>
      </c>
    </row>
    <row r="475" spans="1:6">
      <c r="C475" t="str">
        <f t="shared" si="43"/>
        <v>4</v>
      </c>
      <c r="D475">
        <v>26</v>
      </c>
      <c r="E475" t="str">
        <f>"99999"</f>
        <v>99999</v>
      </c>
      <c r="F475" t="str">
        <f t="shared" si="44"/>
        <v>0000</v>
      </c>
    </row>
    <row r="476" spans="1:6">
      <c r="C476" t="str">
        <f t="shared" si="43"/>
        <v>4</v>
      </c>
      <c r="D476">
        <v>26</v>
      </c>
      <c r="E476" t="str">
        <f>"822"</f>
        <v>822</v>
      </c>
      <c r="F476" t="str">
        <f t="shared" si="44"/>
        <v>0000</v>
      </c>
    </row>
    <row r="477" spans="1:6">
      <c r="C477" t="str">
        <f t="shared" si="43"/>
        <v>4</v>
      </c>
      <c r="D477">
        <v>26</v>
      </c>
      <c r="E477" t="str">
        <f>"549"</f>
        <v>549</v>
      </c>
      <c r="F477" t="str">
        <f t="shared" si="44"/>
        <v>0000</v>
      </c>
    </row>
    <row r="478" spans="1:6">
      <c r="C478" t="str">
        <f t="shared" si="43"/>
        <v>4</v>
      </c>
      <c r="D478">
        <v>26</v>
      </c>
      <c r="E478" t="str">
        <f>"447"</f>
        <v>447</v>
      </c>
      <c r="F478" t="str">
        <f t="shared" si="44"/>
        <v>0000</v>
      </c>
    </row>
    <row r="479" spans="1:6">
      <c r="C479" t="str">
        <f t="shared" si="43"/>
        <v>4</v>
      </c>
      <c r="D479">
        <v>26</v>
      </c>
      <c r="E479" t="str">
        <f>"439"</f>
        <v>439</v>
      </c>
      <c r="F479" t="str">
        <f t="shared" si="44"/>
        <v>0000</v>
      </c>
    </row>
    <row r="480" spans="1:6">
      <c r="C480" t="str">
        <f t="shared" si="43"/>
        <v>4</v>
      </c>
      <c r="D480">
        <v>26</v>
      </c>
      <c r="E480" t="str">
        <f>"437"</f>
        <v>437</v>
      </c>
      <c r="F480" t="str">
        <f t="shared" si="44"/>
        <v>0000</v>
      </c>
    </row>
    <row r="481" spans="1:6">
      <c r="C481" t="str">
        <f t="shared" si="43"/>
        <v>4</v>
      </c>
      <c r="D481">
        <v>26</v>
      </c>
      <c r="E481" t="str">
        <f>"419"</f>
        <v>419</v>
      </c>
      <c r="F481" t="str">
        <f t="shared" si="44"/>
        <v>0000</v>
      </c>
    </row>
    <row r="482" spans="1:6">
      <c r="C482" t="str">
        <f t="shared" si="43"/>
        <v>4</v>
      </c>
      <c r="D482">
        <v>26</v>
      </c>
      <c r="E482" t="str">
        <f>"413"</f>
        <v>413</v>
      </c>
      <c r="F482" t="str">
        <f t="shared" si="44"/>
        <v>0000</v>
      </c>
    </row>
    <row r="483" spans="1:6">
      <c r="C483" t="str">
        <f t="shared" si="43"/>
        <v>4</v>
      </c>
      <c r="D483">
        <v>26</v>
      </c>
      <c r="E483" t="str">
        <f>"268"</f>
        <v>268</v>
      </c>
      <c r="F483" t="str">
        <f t="shared" si="44"/>
        <v>0000</v>
      </c>
    </row>
    <row r="484" spans="1:6">
      <c r="C484" t="str">
        <f t="shared" si="43"/>
        <v>4</v>
      </c>
      <c r="D484">
        <v>26</v>
      </c>
      <c r="E484" t="str">
        <f>"271"</f>
        <v>271</v>
      </c>
      <c r="F484" t="str">
        <f t="shared" si="44"/>
        <v>0000</v>
      </c>
    </row>
    <row r="485" spans="1:6">
      <c r="C485" t="str">
        <f t="shared" si="43"/>
        <v>4</v>
      </c>
      <c r="D485">
        <v>26</v>
      </c>
      <c r="E485" t="str">
        <f>"270"</f>
        <v>270</v>
      </c>
      <c r="F485" t="str">
        <f t="shared" si="44"/>
        <v>0000</v>
      </c>
    </row>
    <row r="486" spans="1:6">
      <c r="A486" t="str">
        <f>"E1203-210"</f>
        <v>E1203-210</v>
      </c>
      <c r="B486" t="str">
        <f>"VIA P NEGROTTO CAMBIASO VICINO AL 121-"</f>
        <v>VIA P NEGROTTO CAMBIASO VICINO AL 121-</v>
      </c>
      <c r="C486" t="str">
        <f t="shared" si="43"/>
        <v>4</v>
      </c>
      <c r="D486">
        <v>26</v>
      </c>
      <c r="E486" t="str">
        <f>"267"</f>
        <v>267</v>
      </c>
      <c r="F486" t="str">
        <f t="shared" si="44"/>
        <v>0000</v>
      </c>
    </row>
    <row r="487" spans="1:6">
      <c r="C487" t="str">
        <f t="shared" si="43"/>
        <v>4</v>
      </c>
      <c r="D487">
        <v>26</v>
      </c>
      <c r="E487" t="str">
        <f>"268"</f>
        <v>268</v>
      </c>
      <c r="F487" t="str">
        <f t="shared" si="44"/>
        <v>0000</v>
      </c>
    </row>
    <row r="488" spans="1:6">
      <c r="C488" t="str">
        <f t="shared" si="43"/>
        <v>4</v>
      </c>
      <c r="D488">
        <v>26</v>
      </c>
      <c r="E488" t="str">
        <f>"271"</f>
        <v>271</v>
      </c>
      <c r="F488" t="str">
        <f t="shared" si="44"/>
        <v>0000</v>
      </c>
    </row>
    <row r="489" spans="1:6">
      <c r="C489" t="str">
        <f t="shared" si="43"/>
        <v>4</v>
      </c>
      <c r="D489">
        <v>26</v>
      </c>
      <c r="E489" t="str">
        <f>"419"</f>
        <v>419</v>
      </c>
      <c r="F489" t="str">
        <f t="shared" si="44"/>
        <v>0000</v>
      </c>
    </row>
    <row r="490" spans="1:6">
      <c r="C490" t="str">
        <f t="shared" si="43"/>
        <v>4</v>
      </c>
      <c r="D490">
        <v>26</v>
      </c>
      <c r="E490" t="str">
        <f>"439"</f>
        <v>439</v>
      </c>
      <c r="F490" t="str">
        <f t="shared" si="44"/>
        <v>0000</v>
      </c>
    </row>
    <row r="491" spans="1:6">
      <c r="C491" t="str">
        <f t="shared" si="43"/>
        <v>4</v>
      </c>
      <c r="D491">
        <v>26</v>
      </c>
      <c r="E491" t="str">
        <f>"99999"</f>
        <v>99999</v>
      </c>
      <c r="F491" t="str">
        <f t="shared" si="44"/>
        <v>0000</v>
      </c>
    </row>
    <row r="492" spans="1:6">
      <c r="C492" t="str">
        <f t="shared" si="43"/>
        <v>4</v>
      </c>
      <c r="D492">
        <v>26</v>
      </c>
      <c r="E492" t="str">
        <f>"822"</f>
        <v>822</v>
      </c>
      <c r="F492" t="str">
        <f t="shared" si="44"/>
        <v>0000</v>
      </c>
    </row>
    <row r="493" spans="1:6">
      <c r="C493" t="str">
        <f t="shared" si="43"/>
        <v>4</v>
      </c>
      <c r="D493">
        <v>26</v>
      </c>
      <c r="E493" t="str">
        <f>"549"</f>
        <v>549</v>
      </c>
      <c r="F493" t="str">
        <f t="shared" si="44"/>
        <v>0000</v>
      </c>
    </row>
    <row r="494" spans="1:6">
      <c r="C494" t="str">
        <f t="shared" ref="C494:C557" si="45">"4"</f>
        <v>4</v>
      </c>
      <c r="D494">
        <v>26</v>
      </c>
      <c r="E494" t="str">
        <f>"447"</f>
        <v>447</v>
      </c>
      <c r="F494" t="str">
        <f t="shared" ref="F494:F557" si="46">"0000"</f>
        <v>0000</v>
      </c>
    </row>
    <row r="495" spans="1:6">
      <c r="C495" t="str">
        <f t="shared" si="45"/>
        <v>4</v>
      </c>
      <c r="D495">
        <v>26</v>
      </c>
      <c r="E495" t="str">
        <f>"437"</f>
        <v>437</v>
      </c>
      <c r="F495" t="str">
        <f t="shared" si="46"/>
        <v>0000</v>
      </c>
    </row>
    <row r="496" spans="1:6">
      <c r="C496" t="str">
        <f t="shared" si="45"/>
        <v>4</v>
      </c>
      <c r="D496">
        <v>26</v>
      </c>
      <c r="E496" t="str">
        <f>"413"</f>
        <v>413</v>
      </c>
      <c r="F496" t="str">
        <f t="shared" si="46"/>
        <v>0000</v>
      </c>
    </row>
    <row r="497" spans="1:6">
      <c r="C497" t="str">
        <f t="shared" si="45"/>
        <v>4</v>
      </c>
      <c r="D497">
        <v>26</v>
      </c>
      <c r="E497" t="str">
        <f>"270"</f>
        <v>270</v>
      </c>
      <c r="F497" t="str">
        <f t="shared" si="46"/>
        <v>0000</v>
      </c>
    </row>
    <row r="498" spans="1:6">
      <c r="A498" t="str">
        <f>"E1203-211"</f>
        <v>E1203-211</v>
      </c>
      <c r="B498" t="str">
        <f>"VIA P NEGROTTO CAMBIASO VICINO AL 121-"</f>
        <v>VIA P NEGROTTO CAMBIASO VICINO AL 121-</v>
      </c>
      <c r="C498" t="str">
        <f t="shared" si="45"/>
        <v>4</v>
      </c>
      <c r="D498">
        <v>26</v>
      </c>
      <c r="E498" t="str">
        <f>"267"</f>
        <v>267</v>
      </c>
      <c r="F498" t="str">
        <f t="shared" si="46"/>
        <v>0000</v>
      </c>
    </row>
    <row r="499" spans="1:6">
      <c r="C499" t="str">
        <f t="shared" si="45"/>
        <v>4</v>
      </c>
      <c r="D499">
        <v>26</v>
      </c>
      <c r="E499" t="str">
        <f>"99999"</f>
        <v>99999</v>
      </c>
      <c r="F499" t="str">
        <f t="shared" si="46"/>
        <v>0000</v>
      </c>
    </row>
    <row r="500" spans="1:6">
      <c r="C500" t="str">
        <f t="shared" si="45"/>
        <v>4</v>
      </c>
      <c r="D500">
        <v>26</v>
      </c>
      <c r="E500" t="str">
        <f>"822"</f>
        <v>822</v>
      </c>
      <c r="F500" t="str">
        <f t="shared" si="46"/>
        <v>0000</v>
      </c>
    </row>
    <row r="501" spans="1:6">
      <c r="C501" t="str">
        <f t="shared" si="45"/>
        <v>4</v>
      </c>
      <c r="D501">
        <v>26</v>
      </c>
      <c r="E501" t="str">
        <f>"549"</f>
        <v>549</v>
      </c>
      <c r="F501" t="str">
        <f t="shared" si="46"/>
        <v>0000</v>
      </c>
    </row>
    <row r="502" spans="1:6">
      <c r="C502" t="str">
        <f t="shared" si="45"/>
        <v>4</v>
      </c>
      <c r="D502">
        <v>26</v>
      </c>
      <c r="E502" t="str">
        <f>"447"</f>
        <v>447</v>
      </c>
      <c r="F502" t="str">
        <f t="shared" si="46"/>
        <v>0000</v>
      </c>
    </row>
    <row r="503" spans="1:6">
      <c r="C503" t="str">
        <f t="shared" si="45"/>
        <v>4</v>
      </c>
      <c r="D503">
        <v>26</v>
      </c>
      <c r="E503" t="str">
        <f>"439"</f>
        <v>439</v>
      </c>
      <c r="F503" t="str">
        <f t="shared" si="46"/>
        <v>0000</v>
      </c>
    </row>
    <row r="504" spans="1:6">
      <c r="C504" t="str">
        <f t="shared" si="45"/>
        <v>4</v>
      </c>
      <c r="D504">
        <v>26</v>
      </c>
      <c r="E504" t="str">
        <f>"437"</f>
        <v>437</v>
      </c>
      <c r="F504" t="str">
        <f t="shared" si="46"/>
        <v>0000</v>
      </c>
    </row>
    <row r="505" spans="1:6">
      <c r="C505" t="str">
        <f t="shared" si="45"/>
        <v>4</v>
      </c>
      <c r="D505">
        <v>26</v>
      </c>
      <c r="E505" t="str">
        <f>"419"</f>
        <v>419</v>
      </c>
      <c r="F505" t="str">
        <f t="shared" si="46"/>
        <v>0000</v>
      </c>
    </row>
    <row r="506" spans="1:6">
      <c r="C506" t="str">
        <f t="shared" si="45"/>
        <v>4</v>
      </c>
      <c r="D506">
        <v>26</v>
      </c>
      <c r="E506" t="str">
        <f>"413"</f>
        <v>413</v>
      </c>
      <c r="F506" t="str">
        <f t="shared" si="46"/>
        <v>0000</v>
      </c>
    </row>
    <row r="507" spans="1:6">
      <c r="C507" t="str">
        <f t="shared" si="45"/>
        <v>4</v>
      </c>
      <c r="D507">
        <v>26</v>
      </c>
      <c r="E507" t="str">
        <f>"268"</f>
        <v>268</v>
      </c>
      <c r="F507" t="str">
        <f t="shared" si="46"/>
        <v>0000</v>
      </c>
    </row>
    <row r="508" spans="1:6">
      <c r="C508" t="str">
        <f t="shared" si="45"/>
        <v>4</v>
      </c>
      <c r="D508">
        <v>26</v>
      </c>
      <c r="E508" t="str">
        <f>"271"</f>
        <v>271</v>
      </c>
      <c r="F508" t="str">
        <f t="shared" si="46"/>
        <v>0000</v>
      </c>
    </row>
    <row r="509" spans="1:6">
      <c r="C509" t="str">
        <f t="shared" si="45"/>
        <v>4</v>
      </c>
      <c r="D509">
        <v>26</v>
      </c>
      <c r="E509" t="str">
        <f>"270"</f>
        <v>270</v>
      </c>
      <c r="F509" t="str">
        <f t="shared" si="46"/>
        <v>0000</v>
      </c>
    </row>
    <row r="510" spans="1:6">
      <c r="A510" t="str">
        <f>"E1203-212"</f>
        <v>E1203-212</v>
      </c>
      <c r="B510" t="str">
        <f>"VIA P NEGROTTO CAMBIASO VICINO AL 121-"</f>
        <v>VIA P NEGROTTO CAMBIASO VICINO AL 121-</v>
      </c>
      <c r="C510" t="str">
        <f t="shared" si="45"/>
        <v>4</v>
      </c>
      <c r="D510">
        <v>26</v>
      </c>
      <c r="E510" t="str">
        <f>"267"</f>
        <v>267</v>
      </c>
      <c r="F510" t="str">
        <f t="shared" si="46"/>
        <v>0000</v>
      </c>
    </row>
    <row r="511" spans="1:6">
      <c r="C511" t="str">
        <f t="shared" si="45"/>
        <v>4</v>
      </c>
      <c r="D511">
        <v>26</v>
      </c>
      <c r="E511" t="str">
        <f>"268"</f>
        <v>268</v>
      </c>
      <c r="F511" t="str">
        <f t="shared" si="46"/>
        <v>0000</v>
      </c>
    </row>
    <row r="512" spans="1:6">
      <c r="C512" t="str">
        <f t="shared" si="45"/>
        <v>4</v>
      </c>
      <c r="D512">
        <v>26</v>
      </c>
      <c r="E512" t="str">
        <f>"271"</f>
        <v>271</v>
      </c>
      <c r="F512" t="str">
        <f t="shared" si="46"/>
        <v>0000</v>
      </c>
    </row>
    <row r="513" spans="1:6">
      <c r="C513" t="str">
        <f t="shared" si="45"/>
        <v>4</v>
      </c>
      <c r="D513">
        <v>26</v>
      </c>
      <c r="E513" t="str">
        <f>"419"</f>
        <v>419</v>
      </c>
      <c r="F513" t="str">
        <f t="shared" si="46"/>
        <v>0000</v>
      </c>
    </row>
    <row r="514" spans="1:6">
      <c r="C514" t="str">
        <f t="shared" si="45"/>
        <v>4</v>
      </c>
      <c r="D514">
        <v>26</v>
      </c>
      <c r="E514" t="str">
        <f>"439"</f>
        <v>439</v>
      </c>
      <c r="F514" t="str">
        <f t="shared" si="46"/>
        <v>0000</v>
      </c>
    </row>
    <row r="515" spans="1:6">
      <c r="C515" t="str">
        <f t="shared" si="45"/>
        <v>4</v>
      </c>
      <c r="D515">
        <v>26</v>
      </c>
      <c r="E515" t="str">
        <f>"99999"</f>
        <v>99999</v>
      </c>
      <c r="F515" t="str">
        <f t="shared" si="46"/>
        <v>0000</v>
      </c>
    </row>
    <row r="516" spans="1:6">
      <c r="C516" t="str">
        <f t="shared" si="45"/>
        <v>4</v>
      </c>
      <c r="D516">
        <v>26</v>
      </c>
      <c r="E516" t="str">
        <f>"822"</f>
        <v>822</v>
      </c>
      <c r="F516" t="str">
        <f t="shared" si="46"/>
        <v>0000</v>
      </c>
    </row>
    <row r="517" spans="1:6">
      <c r="C517" t="str">
        <f t="shared" si="45"/>
        <v>4</v>
      </c>
      <c r="D517">
        <v>26</v>
      </c>
      <c r="E517" t="str">
        <f>"549"</f>
        <v>549</v>
      </c>
      <c r="F517" t="str">
        <f t="shared" si="46"/>
        <v>0000</v>
      </c>
    </row>
    <row r="518" spans="1:6">
      <c r="C518" t="str">
        <f t="shared" si="45"/>
        <v>4</v>
      </c>
      <c r="D518">
        <v>26</v>
      </c>
      <c r="E518" t="str">
        <f>"447"</f>
        <v>447</v>
      </c>
      <c r="F518" t="str">
        <f t="shared" si="46"/>
        <v>0000</v>
      </c>
    </row>
    <row r="519" spans="1:6">
      <c r="C519" t="str">
        <f t="shared" si="45"/>
        <v>4</v>
      </c>
      <c r="D519">
        <v>26</v>
      </c>
      <c r="E519" t="str">
        <f>"437"</f>
        <v>437</v>
      </c>
      <c r="F519" t="str">
        <f t="shared" si="46"/>
        <v>0000</v>
      </c>
    </row>
    <row r="520" spans="1:6">
      <c r="C520" t="str">
        <f t="shared" si="45"/>
        <v>4</v>
      </c>
      <c r="D520">
        <v>26</v>
      </c>
      <c r="E520" t="str">
        <f>"413"</f>
        <v>413</v>
      </c>
      <c r="F520" t="str">
        <f t="shared" si="46"/>
        <v>0000</v>
      </c>
    </row>
    <row r="521" spans="1:6">
      <c r="C521" t="str">
        <f t="shared" si="45"/>
        <v>4</v>
      </c>
      <c r="D521">
        <v>26</v>
      </c>
      <c r="E521" t="str">
        <f>"270"</f>
        <v>270</v>
      </c>
      <c r="F521" t="str">
        <f t="shared" si="46"/>
        <v>0000</v>
      </c>
    </row>
    <row r="522" spans="1:6">
      <c r="A522" t="str">
        <f>"E1203-213"</f>
        <v>E1203-213</v>
      </c>
      <c r="B522" t="str">
        <f>"VIA P NEGROTTO CAMBIASO VICINO AL 121-"</f>
        <v>VIA P NEGROTTO CAMBIASO VICINO AL 121-</v>
      </c>
      <c r="C522" t="str">
        <f t="shared" si="45"/>
        <v>4</v>
      </c>
      <c r="D522">
        <v>26</v>
      </c>
      <c r="E522" t="str">
        <f>"267"</f>
        <v>267</v>
      </c>
      <c r="F522" t="str">
        <f t="shared" si="46"/>
        <v>0000</v>
      </c>
    </row>
    <row r="523" spans="1:6">
      <c r="C523" t="str">
        <f t="shared" si="45"/>
        <v>4</v>
      </c>
      <c r="D523">
        <v>26</v>
      </c>
      <c r="E523" t="str">
        <f>"99999"</f>
        <v>99999</v>
      </c>
      <c r="F523" t="str">
        <f t="shared" si="46"/>
        <v>0000</v>
      </c>
    </row>
    <row r="524" spans="1:6">
      <c r="C524" t="str">
        <f t="shared" si="45"/>
        <v>4</v>
      </c>
      <c r="D524">
        <v>26</v>
      </c>
      <c r="E524" t="str">
        <f>"822"</f>
        <v>822</v>
      </c>
      <c r="F524" t="str">
        <f t="shared" si="46"/>
        <v>0000</v>
      </c>
    </row>
    <row r="525" spans="1:6">
      <c r="C525" t="str">
        <f t="shared" si="45"/>
        <v>4</v>
      </c>
      <c r="D525">
        <v>26</v>
      </c>
      <c r="E525" t="str">
        <f>"549"</f>
        <v>549</v>
      </c>
      <c r="F525" t="str">
        <f t="shared" si="46"/>
        <v>0000</v>
      </c>
    </row>
    <row r="526" spans="1:6">
      <c r="C526" t="str">
        <f t="shared" si="45"/>
        <v>4</v>
      </c>
      <c r="D526">
        <v>26</v>
      </c>
      <c r="E526" t="str">
        <f>"447"</f>
        <v>447</v>
      </c>
      <c r="F526" t="str">
        <f t="shared" si="46"/>
        <v>0000</v>
      </c>
    </row>
    <row r="527" spans="1:6">
      <c r="C527" t="str">
        <f t="shared" si="45"/>
        <v>4</v>
      </c>
      <c r="D527">
        <v>26</v>
      </c>
      <c r="E527" t="str">
        <f>"439"</f>
        <v>439</v>
      </c>
      <c r="F527" t="str">
        <f t="shared" si="46"/>
        <v>0000</v>
      </c>
    </row>
    <row r="528" spans="1:6">
      <c r="C528" t="str">
        <f t="shared" si="45"/>
        <v>4</v>
      </c>
      <c r="D528">
        <v>26</v>
      </c>
      <c r="E528" t="str">
        <f>"437"</f>
        <v>437</v>
      </c>
      <c r="F528" t="str">
        <f t="shared" si="46"/>
        <v>0000</v>
      </c>
    </row>
    <row r="529" spans="1:6">
      <c r="C529" t="str">
        <f t="shared" si="45"/>
        <v>4</v>
      </c>
      <c r="D529">
        <v>26</v>
      </c>
      <c r="E529" t="str">
        <f>"419"</f>
        <v>419</v>
      </c>
      <c r="F529" t="str">
        <f t="shared" si="46"/>
        <v>0000</v>
      </c>
    </row>
    <row r="530" spans="1:6">
      <c r="C530" t="str">
        <f t="shared" si="45"/>
        <v>4</v>
      </c>
      <c r="D530">
        <v>26</v>
      </c>
      <c r="E530" t="str">
        <f>"413"</f>
        <v>413</v>
      </c>
      <c r="F530" t="str">
        <f t="shared" si="46"/>
        <v>0000</v>
      </c>
    </row>
    <row r="531" spans="1:6">
      <c r="C531" t="str">
        <f t="shared" si="45"/>
        <v>4</v>
      </c>
      <c r="D531">
        <v>26</v>
      </c>
      <c r="E531" t="str">
        <f>"268"</f>
        <v>268</v>
      </c>
      <c r="F531" t="str">
        <f t="shared" si="46"/>
        <v>0000</v>
      </c>
    </row>
    <row r="532" spans="1:6">
      <c r="C532" t="str">
        <f t="shared" si="45"/>
        <v>4</v>
      </c>
      <c r="D532">
        <v>26</v>
      </c>
      <c r="E532" t="str">
        <f>"271"</f>
        <v>271</v>
      </c>
      <c r="F532" t="str">
        <f t="shared" si="46"/>
        <v>0000</v>
      </c>
    </row>
    <row r="533" spans="1:6">
      <c r="C533" t="str">
        <f t="shared" si="45"/>
        <v>4</v>
      </c>
      <c r="D533">
        <v>26</v>
      </c>
      <c r="E533" t="str">
        <f>"270"</f>
        <v>270</v>
      </c>
      <c r="F533" t="str">
        <f t="shared" si="46"/>
        <v>0000</v>
      </c>
    </row>
    <row r="534" spans="1:6">
      <c r="A534" t="str">
        <f>"E1203-214"</f>
        <v>E1203-214</v>
      </c>
      <c r="B534" t="str">
        <f>"VIA P NEGROTTO CAMBIASO VICINO AL 121-"</f>
        <v>VIA P NEGROTTO CAMBIASO VICINO AL 121-</v>
      </c>
      <c r="C534" t="str">
        <f t="shared" si="45"/>
        <v>4</v>
      </c>
      <c r="D534">
        <v>26</v>
      </c>
      <c r="E534" t="str">
        <f>"267"</f>
        <v>267</v>
      </c>
      <c r="F534" t="str">
        <f t="shared" si="46"/>
        <v>0000</v>
      </c>
    </row>
    <row r="535" spans="1:6">
      <c r="C535" t="str">
        <f t="shared" si="45"/>
        <v>4</v>
      </c>
      <c r="D535">
        <v>26</v>
      </c>
      <c r="E535" t="str">
        <f>"268"</f>
        <v>268</v>
      </c>
      <c r="F535" t="str">
        <f t="shared" si="46"/>
        <v>0000</v>
      </c>
    </row>
    <row r="536" spans="1:6">
      <c r="C536" t="str">
        <f t="shared" si="45"/>
        <v>4</v>
      </c>
      <c r="D536">
        <v>26</v>
      </c>
      <c r="E536" t="str">
        <f>"271"</f>
        <v>271</v>
      </c>
      <c r="F536" t="str">
        <f t="shared" si="46"/>
        <v>0000</v>
      </c>
    </row>
    <row r="537" spans="1:6">
      <c r="C537" t="str">
        <f t="shared" si="45"/>
        <v>4</v>
      </c>
      <c r="D537">
        <v>26</v>
      </c>
      <c r="E537" t="str">
        <f>"419"</f>
        <v>419</v>
      </c>
      <c r="F537" t="str">
        <f t="shared" si="46"/>
        <v>0000</v>
      </c>
    </row>
    <row r="538" spans="1:6">
      <c r="C538" t="str">
        <f t="shared" si="45"/>
        <v>4</v>
      </c>
      <c r="D538">
        <v>26</v>
      </c>
      <c r="E538" t="str">
        <f>"439"</f>
        <v>439</v>
      </c>
      <c r="F538" t="str">
        <f t="shared" si="46"/>
        <v>0000</v>
      </c>
    </row>
    <row r="539" spans="1:6">
      <c r="C539" t="str">
        <f t="shared" si="45"/>
        <v>4</v>
      </c>
      <c r="D539">
        <v>26</v>
      </c>
      <c r="E539" t="str">
        <f>"99999"</f>
        <v>99999</v>
      </c>
      <c r="F539" t="str">
        <f t="shared" si="46"/>
        <v>0000</v>
      </c>
    </row>
    <row r="540" spans="1:6">
      <c r="C540" t="str">
        <f t="shared" si="45"/>
        <v>4</v>
      </c>
      <c r="D540">
        <v>26</v>
      </c>
      <c r="E540" t="str">
        <f>"822"</f>
        <v>822</v>
      </c>
      <c r="F540" t="str">
        <f t="shared" si="46"/>
        <v>0000</v>
      </c>
    </row>
    <row r="541" spans="1:6">
      <c r="C541" t="str">
        <f t="shared" si="45"/>
        <v>4</v>
      </c>
      <c r="D541">
        <v>26</v>
      </c>
      <c r="E541" t="str">
        <f>"549"</f>
        <v>549</v>
      </c>
      <c r="F541" t="str">
        <f t="shared" si="46"/>
        <v>0000</v>
      </c>
    </row>
    <row r="542" spans="1:6">
      <c r="C542" t="str">
        <f t="shared" si="45"/>
        <v>4</v>
      </c>
      <c r="D542">
        <v>26</v>
      </c>
      <c r="E542" t="str">
        <f>"447"</f>
        <v>447</v>
      </c>
      <c r="F542" t="str">
        <f t="shared" si="46"/>
        <v>0000</v>
      </c>
    </row>
    <row r="543" spans="1:6">
      <c r="C543" t="str">
        <f t="shared" si="45"/>
        <v>4</v>
      </c>
      <c r="D543">
        <v>26</v>
      </c>
      <c r="E543" t="str">
        <f>"437"</f>
        <v>437</v>
      </c>
      <c r="F543" t="str">
        <f t="shared" si="46"/>
        <v>0000</v>
      </c>
    </row>
    <row r="544" spans="1:6">
      <c r="C544" t="str">
        <f t="shared" si="45"/>
        <v>4</v>
      </c>
      <c r="D544">
        <v>26</v>
      </c>
      <c r="E544" t="str">
        <f>"413"</f>
        <v>413</v>
      </c>
      <c r="F544" t="str">
        <f t="shared" si="46"/>
        <v>0000</v>
      </c>
    </row>
    <row r="545" spans="1:6">
      <c r="C545" t="str">
        <f t="shared" si="45"/>
        <v>4</v>
      </c>
      <c r="D545">
        <v>26</v>
      </c>
      <c r="E545" t="str">
        <f>"270"</f>
        <v>270</v>
      </c>
      <c r="F545" t="str">
        <f t="shared" si="46"/>
        <v>0000</v>
      </c>
    </row>
    <row r="546" spans="1:6">
      <c r="A546" t="str">
        <f>"E1203-215"</f>
        <v>E1203-215</v>
      </c>
      <c r="B546" t="str">
        <f>"VIA P NEGROTTO CAMBIASO VICINO AL 121-"</f>
        <v>VIA P NEGROTTO CAMBIASO VICINO AL 121-</v>
      </c>
      <c r="C546" t="str">
        <f t="shared" si="45"/>
        <v>4</v>
      </c>
      <c r="D546">
        <v>26</v>
      </c>
      <c r="E546" t="str">
        <f>"267"</f>
        <v>267</v>
      </c>
      <c r="F546" t="str">
        <f t="shared" si="46"/>
        <v>0000</v>
      </c>
    </row>
    <row r="547" spans="1:6">
      <c r="C547" t="str">
        <f t="shared" si="45"/>
        <v>4</v>
      </c>
      <c r="D547">
        <v>26</v>
      </c>
      <c r="E547" t="str">
        <f>"99999"</f>
        <v>99999</v>
      </c>
      <c r="F547" t="str">
        <f t="shared" si="46"/>
        <v>0000</v>
      </c>
    </row>
    <row r="548" spans="1:6">
      <c r="C548" t="str">
        <f t="shared" si="45"/>
        <v>4</v>
      </c>
      <c r="D548">
        <v>26</v>
      </c>
      <c r="E548" t="str">
        <f>"822"</f>
        <v>822</v>
      </c>
      <c r="F548" t="str">
        <f t="shared" si="46"/>
        <v>0000</v>
      </c>
    </row>
    <row r="549" spans="1:6">
      <c r="C549" t="str">
        <f t="shared" si="45"/>
        <v>4</v>
      </c>
      <c r="D549">
        <v>26</v>
      </c>
      <c r="E549" t="str">
        <f>"549"</f>
        <v>549</v>
      </c>
      <c r="F549" t="str">
        <f t="shared" si="46"/>
        <v>0000</v>
      </c>
    </row>
    <row r="550" spans="1:6">
      <c r="C550" t="str">
        <f t="shared" si="45"/>
        <v>4</v>
      </c>
      <c r="D550">
        <v>26</v>
      </c>
      <c r="E550" t="str">
        <f>"447"</f>
        <v>447</v>
      </c>
      <c r="F550" t="str">
        <f t="shared" si="46"/>
        <v>0000</v>
      </c>
    </row>
    <row r="551" spans="1:6">
      <c r="C551" t="str">
        <f t="shared" si="45"/>
        <v>4</v>
      </c>
      <c r="D551">
        <v>26</v>
      </c>
      <c r="E551" t="str">
        <f>"439"</f>
        <v>439</v>
      </c>
      <c r="F551" t="str">
        <f t="shared" si="46"/>
        <v>0000</v>
      </c>
    </row>
    <row r="552" spans="1:6">
      <c r="C552" t="str">
        <f t="shared" si="45"/>
        <v>4</v>
      </c>
      <c r="D552">
        <v>26</v>
      </c>
      <c r="E552" t="str">
        <f>"437"</f>
        <v>437</v>
      </c>
      <c r="F552" t="str">
        <f t="shared" si="46"/>
        <v>0000</v>
      </c>
    </row>
    <row r="553" spans="1:6">
      <c r="C553" t="str">
        <f t="shared" si="45"/>
        <v>4</v>
      </c>
      <c r="D553">
        <v>26</v>
      </c>
      <c r="E553" t="str">
        <f>"419"</f>
        <v>419</v>
      </c>
      <c r="F553" t="str">
        <f t="shared" si="46"/>
        <v>0000</v>
      </c>
    </row>
    <row r="554" spans="1:6">
      <c r="C554" t="str">
        <f t="shared" si="45"/>
        <v>4</v>
      </c>
      <c r="D554">
        <v>26</v>
      </c>
      <c r="E554" t="str">
        <f>"413"</f>
        <v>413</v>
      </c>
      <c r="F554" t="str">
        <f t="shared" si="46"/>
        <v>0000</v>
      </c>
    </row>
    <row r="555" spans="1:6">
      <c r="C555" t="str">
        <f t="shared" si="45"/>
        <v>4</v>
      </c>
      <c r="D555">
        <v>26</v>
      </c>
      <c r="E555" t="str">
        <f>"268"</f>
        <v>268</v>
      </c>
      <c r="F555" t="str">
        <f t="shared" si="46"/>
        <v>0000</v>
      </c>
    </row>
    <row r="556" spans="1:6">
      <c r="C556" t="str">
        <f t="shared" si="45"/>
        <v>4</v>
      </c>
      <c r="D556">
        <v>26</v>
      </c>
      <c r="E556" t="str">
        <f>"271"</f>
        <v>271</v>
      </c>
      <c r="F556" t="str">
        <f t="shared" si="46"/>
        <v>0000</v>
      </c>
    </row>
    <row r="557" spans="1:6">
      <c r="C557" t="str">
        <f t="shared" si="45"/>
        <v>4</v>
      </c>
      <c r="D557">
        <v>26</v>
      </c>
      <c r="E557" t="str">
        <f>"270"</f>
        <v>270</v>
      </c>
      <c r="F557" t="str">
        <f t="shared" si="46"/>
        <v>0000</v>
      </c>
    </row>
    <row r="558" spans="1:6">
      <c r="A558" t="str">
        <f>"E1203-216"</f>
        <v>E1203-216</v>
      </c>
      <c r="B558" t="str">
        <f>"VIA P NEGROTTO CAMBIASO VICINO AL 121-"</f>
        <v>VIA P NEGROTTO CAMBIASO VICINO AL 121-</v>
      </c>
      <c r="C558" t="str">
        <f t="shared" ref="C558:C621" si="47">"4"</f>
        <v>4</v>
      </c>
      <c r="D558">
        <v>26</v>
      </c>
      <c r="E558" t="str">
        <f>"267"</f>
        <v>267</v>
      </c>
      <c r="F558" t="str">
        <f t="shared" ref="F558:F621" si="48">"0000"</f>
        <v>0000</v>
      </c>
    </row>
    <row r="559" spans="1:6">
      <c r="C559" t="str">
        <f t="shared" si="47"/>
        <v>4</v>
      </c>
      <c r="D559">
        <v>26</v>
      </c>
      <c r="E559" t="str">
        <f>"268"</f>
        <v>268</v>
      </c>
      <c r="F559" t="str">
        <f t="shared" si="48"/>
        <v>0000</v>
      </c>
    </row>
    <row r="560" spans="1:6">
      <c r="C560" t="str">
        <f t="shared" si="47"/>
        <v>4</v>
      </c>
      <c r="D560">
        <v>26</v>
      </c>
      <c r="E560" t="str">
        <f>"271"</f>
        <v>271</v>
      </c>
      <c r="F560" t="str">
        <f t="shared" si="48"/>
        <v>0000</v>
      </c>
    </row>
    <row r="561" spans="1:6">
      <c r="C561" t="str">
        <f t="shared" si="47"/>
        <v>4</v>
      </c>
      <c r="D561">
        <v>26</v>
      </c>
      <c r="E561" t="str">
        <f>"419"</f>
        <v>419</v>
      </c>
      <c r="F561" t="str">
        <f t="shared" si="48"/>
        <v>0000</v>
      </c>
    </row>
    <row r="562" spans="1:6">
      <c r="C562" t="str">
        <f t="shared" si="47"/>
        <v>4</v>
      </c>
      <c r="D562">
        <v>26</v>
      </c>
      <c r="E562" t="str">
        <f>"439"</f>
        <v>439</v>
      </c>
      <c r="F562" t="str">
        <f t="shared" si="48"/>
        <v>0000</v>
      </c>
    </row>
    <row r="563" spans="1:6">
      <c r="C563" t="str">
        <f t="shared" si="47"/>
        <v>4</v>
      </c>
      <c r="D563">
        <v>26</v>
      </c>
      <c r="E563" t="str">
        <f>"99999"</f>
        <v>99999</v>
      </c>
      <c r="F563" t="str">
        <f t="shared" si="48"/>
        <v>0000</v>
      </c>
    </row>
    <row r="564" spans="1:6">
      <c r="C564" t="str">
        <f t="shared" si="47"/>
        <v>4</v>
      </c>
      <c r="D564">
        <v>26</v>
      </c>
      <c r="E564" t="str">
        <f>"822"</f>
        <v>822</v>
      </c>
      <c r="F564" t="str">
        <f t="shared" si="48"/>
        <v>0000</v>
      </c>
    </row>
    <row r="565" spans="1:6">
      <c r="C565" t="str">
        <f t="shared" si="47"/>
        <v>4</v>
      </c>
      <c r="D565">
        <v>26</v>
      </c>
      <c r="E565" t="str">
        <f>"549"</f>
        <v>549</v>
      </c>
      <c r="F565" t="str">
        <f t="shared" si="48"/>
        <v>0000</v>
      </c>
    </row>
    <row r="566" spans="1:6">
      <c r="C566" t="str">
        <f t="shared" si="47"/>
        <v>4</v>
      </c>
      <c r="D566">
        <v>26</v>
      </c>
      <c r="E566" t="str">
        <f>"447"</f>
        <v>447</v>
      </c>
      <c r="F566" t="str">
        <f t="shared" si="48"/>
        <v>0000</v>
      </c>
    </row>
    <row r="567" spans="1:6">
      <c r="C567" t="str">
        <f t="shared" si="47"/>
        <v>4</v>
      </c>
      <c r="D567">
        <v>26</v>
      </c>
      <c r="E567" t="str">
        <f>"437"</f>
        <v>437</v>
      </c>
      <c r="F567" t="str">
        <f t="shared" si="48"/>
        <v>0000</v>
      </c>
    </row>
    <row r="568" spans="1:6">
      <c r="C568" t="str">
        <f t="shared" si="47"/>
        <v>4</v>
      </c>
      <c r="D568">
        <v>26</v>
      </c>
      <c r="E568" t="str">
        <f>"413"</f>
        <v>413</v>
      </c>
      <c r="F568" t="str">
        <f t="shared" si="48"/>
        <v>0000</v>
      </c>
    </row>
    <row r="569" spans="1:6">
      <c r="C569" t="str">
        <f t="shared" si="47"/>
        <v>4</v>
      </c>
      <c r="D569">
        <v>26</v>
      </c>
      <c r="E569" t="str">
        <f>"270"</f>
        <v>270</v>
      </c>
      <c r="F569" t="str">
        <f t="shared" si="48"/>
        <v>0000</v>
      </c>
    </row>
    <row r="570" spans="1:6">
      <c r="A570" t="str">
        <f>"E1203-217"</f>
        <v>E1203-217</v>
      </c>
      <c r="B570" t="str">
        <f>"VIA P NEGROTTO CAMBIASO VICINO AL 121-"</f>
        <v>VIA P NEGROTTO CAMBIASO VICINO AL 121-</v>
      </c>
      <c r="C570" t="str">
        <f t="shared" si="47"/>
        <v>4</v>
      </c>
      <c r="D570">
        <v>26</v>
      </c>
      <c r="E570" t="str">
        <f>"267"</f>
        <v>267</v>
      </c>
      <c r="F570" t="str">
        <f t="shared" si="48"/>
        <v>0000</v>
      </c>
    </row>
    <row r="571" spans="1:6">
      <c r="C571" t="str">
        <f t="shared" si="47"/>
        <v>4</v>
      </c>
      <c r="D571">
        <v>26</v>
      </c>
      <c r="E571" t="str">
        <f>"99999"</f>
        <v>99999</v>
      </c>
      <c r="F571" t="str">
        <f t="shared" si="48"/>
        <v>0000</v>
      </c>
    </row>
    <row r="572" spans="1:6">
      <c r="C572" t="str">
        <f t="shared" si="47"/>
        <v>4</v>
      </c>
      <c r="D572">
        <v>26</v>
      </c>
      <c r="E572" t="str">
        <f>"822"</f>
        <v>822</v>
      </c>
      <c r="F572" t="str">
        <f t="shared" si="48"/>
        <v>0000</v>
      </c>
    </row>
    <row r="573" spans="1:6">
      <c r="C573" t="str">
        <f t="shared" si="47"/>
        <v>4</v>
      </c>
      <c r="D573">
        <v>26</v>
      </c>
      <c r="E573" t="str">
        <f>"549"</f>
        <v>549</v>
      </c>
      <c r="F573" t="str">
        <f t="shared" si="48"/>
        <v>0000</v>
      </c>
    </row>
    <row r="574" spans="1:6">
      <c r="C574" t="str">
        <f t="shared" si="47"/>
        <v>4</v>
      </c>
      <c r="D574">
        <v>26</v>
      </c>
      <c r="E574" t="str">
        <f>"447"</f>
        <v>447</v>
      </c>
      <c r="F574" t="str">
        <f t="shared" si="48"/>
        <v>0000</v>
      </c>
    </row>
    <row r="575" spans="1:6">
      <c r="C575" t="str">
        <f t="shared" si="47"/>
        <v>4</v>
      </c>
      <c r="D575">
        <v>26</v>
      </c>
      <c r="E575" t="str">
        <f>"439"</f>
        <v>439</v>
      </c>
      <c r="F575" t="str">
        <f t="shared" si="48"/>
        <v>0000</v>
      </c>
    </row>
    <row r="576" spans="1:6">
      <c r="C576" t="str">
        <f t="shared" si="47"/>
        <v>4</v>
      </c>
      <c r="D576">
        <v>26</v>
      </c>
      <c r="E576" t="str">
        <f>"437"</f>
        <v>437</v>
      </c>
      <c r="F576" t="str">
        <f t="shared" si="48"/>
        <v>0000</v>
      </c>
    </row>
    <row r="577" spans="1:6">
      <c r="C577" t="str">
        <f t="shared" si="47"/>
        <v>4</v>
      </c>
      <c r="D577">
        <v>26</v>
      </c>
      <c r="E577" t="str">
        <f>"419"</f>
        <v>419</v>
      </c>
      <c r="F577" t="str">
        <f t="shared" si="48"/>
        <v>0000</v>
      </c>
    </row>
    <row r="578" spans="1:6">
      <c r="C578" t="str">
        <f t="shared" si="47"/>
        <v>4</v>
      </c>
      <c r="D578">
        <v>26</v>
      </c>
      <c r="E578" t="str">
        <f>"413"</f>
        <v>413</v>
      </c>
      <c r="F578" t="str">
        <f t="shared" si="48"/>
        <v>0000</v>
      </c>
    </row>
    <row r="579" spans="1:6">
      <c r="C579" t="str">
        <f t="shared" si="47"/>
        <v>4</v>
      </c>
      <c r="D579">
        <v>26</v>
      </c>
      <c r="E579" t="str">
        <f>"268"</f>
        <v>268</v>
      </c>
      <c r="F579" t="str">
        <f t="shared" si="48"/>
        <v>0000</v>
      </c>
    </row>
    <row r="580" spans="1:6">
      <c r="C580" t="str">
        <f t="shared" si="47"/>
        <v>4</v>
      </c>
      <c r="D580">
        <v>26</v>
      </c>
      <c r="E580" t="str">
        <f>"271"</f>
        <v>271</v>
      </c>
      <c r="F580" t="str">
        <f t="shared" si="48"/>
        <v>0000</v>
      </c>
    </row>
    <row r="581" spans="1:6">
      <c r="C581" t="str">
        <f t="shared" si="47"/>
        <v>4</v>
      </c>
      <c r="D581">
        <v>26</v>
      </c>
      <c r="E581" t="str">
        <f>"270"</f>
        <v>270</v>
      </c>
      <c r="F581" t="str">
        <f t="shared" si="48"/>
        <v>0000</v>
      </c>
    </row>
    <row r="582" spans="1:6">
      <c r="A582" t="str">
        <f>"E1203-218"</f>
        <v>E1203-218</v>
      </c>
      <c r="B582" t="str">
        <f>"VIA P NEGROTTO CAMBIASO VICINO AL 121-"</f>
        <v>VIA P NEGROTTO CAMBIASO VICINO AL 121-</v>
      </c>
      <c r="C582" t="str">
        <f t="shared" si="47"/>
        <v>4</v>
      </c>
      <c r="D582">
        <v>26</v>
      </c>
      <c r="E582" t="str">
        <f>"267"</f>
        <v>267</v>
      </c>
      <c r="F582" t="str">
        <f t="shared" si="48"/>
        <v>0000</v>
      </c>
    </row>
    <row r="583" spans="1:6">
      <c r="C583" t="str">
        <f t="shared" si="47"/>
        <v>4</v>
      </c>
      <c r="D583">
        <v>26</v>
      </c>
      <c r="E583" t="str">
        <f>"268"</f>
        <v>268</v>
      </c>
      <c r="F583" t="str">
        <f t="shared" si="48"/>
        <v>0000</v>
      </c>
    </row>
    <row r="584" spans="1:6">
      <c r="C584" t="str">
        <f t="shared" si="47"/>
        <v>4</v>
      </c>
      <c r="D584">
        <v>26</v>
      </c>
      <c r="E584" t="str">
        <f>"271"</f>
        <v>271</v>
      </c>
      <c r="F584" t="str">
        <f t="shared" si="48"/>
        <v>0000</v>
      </c>
    </row>
    <row r="585" spans="1:6">
      <c r="C585" t="str">
        <f t="shared" si="47"/>
        <v>4</v>
      </c>
      <c r="D585">
        <v>26</v>
      </c>
      <c r="E585" t="str">
        <f>"419"</f>
        <v>419</v>
      </c>
      <c r="F585" t="str">
        <f t="shared" si="48"/>
        <v>0000</v>
      </c>
    </row>
    <row r="586" spans="1:6">
      <c r="C586" t="str">
        <f t="shared" si="47"/>
        <v>4</v>
      </c>
      <c r="D586">
        <v>26</v>
      </c>
      <c r="E586" t="str">
        <f>"439"</f>
        <v>439</v>
      </c>
      <c r="F586" t="str">
        <f t="shared" si="48"/>
        <v>0000</v>
      </c>
    </row>
    <row r="587" spans="1:6">
      <c r="C587" t="str">
        <f t="shared" si="47"/>
        <v>4</v>
      </c>
      <c r="D587">
        <v>26</v>
      </c>
      <c r="E587" t="str">
        <f>"99999"</f>
        <v>99999</v>
      </c>
      <c r="F587" t="str">
        <f t="shared" si="48"/>
        <v>0000</v>
      </c>
    </row>
    <row r="588" spans="1:6">
      <c r="C588" t="str">
        <f t="shared" si="47"/>
        <v>4</v>
      </c>
      <c r="D588">
        <v>26</v>
      </c>
      <c r="E588" t="str">
        <f>"822"</f>
        <v>822</v>
      </c>
      <c r="F588" t="str">
        <f t="shared" si="48"/>
        <v>0000</v>
      </c>
    </row>
    <row r="589" spans="1:6">
      <c r="C589" t="str">
        <f t="shared" si="47"/>
        <v>4</v>
      </c>
      <c r="D589">
        <v>26</v>
      </c>
      <c r="E589" t="str">
        <f>"549"</f>
        <v>549</v>
      </c>
      <c r="F589" t="str">
        <f t="shared" si="48"/>
        <v>0000</v>
      </c>
    </row>
    <row r="590" spans="1:6">
      <c r="C590" t="str">
        <f t="shared" si="47"/>
        <v>4</v>
      </c>
      <c r="D590">
        <v>26</v>
      </c>
      <c r="E590" t="str">
        <f>"447"</f>
        <v>447</v>
      </c>
      <c r="F590" t="str">
        <f t="shared" si="48"/>
        <v>0000</v>
      </c>
    </row>
    <row r="591" spans="1:6">
      <c r="C591" t="str">
        <f t="shared" si="47"/>
        <v>4</v>
      </c>
      <c r="D591">
        <v>26</v>
      </c>
      <c r="E591" t="str">
        <f>"437"</f>
        <v>437</v>
      </c>
      <c r="F591" t="str">
        <f t="shared" si="48"/>
        <v>0000</v>
      </c>
    </row>
    <row r="592" spans="1:6">
      <c r="C592" t="str">
        <f t="shared" si="47"/>
        <v>4</v>
      </c>
      <c r="D592">
        <v>26</v>
      </c>
      <c r="E592" t="str">
        <f>"413"</f>
        <v>413</v>
      </c>
      <c r="F592" t="str">
        <f t="shared" si="48"/>
        <v>0000</v>
      </c>
    </row>
    <row r="593" spans="1:6">
      <c r="C593" t="str">
        <f t="shared" si="47"/>
        <v>4</v>
      </c>
      <c r="D593">
        <v>26</v>
      </c>
      <c r="E593" t="str">
        <f>"270"</f>
        <v>270</v>
      </c>
      <c r="F593" t="str">
        <f t="shared" si="48"/>
        <v>0000</v>
      </c>
    </row>
    <row r="594" spans="1:6">
      <c r="A594" t="str">
        <f>"E1203-219"</f>
        <v>E1203-219</v>
      </c>
      <c r="B594" t="str">
        <f>"VIA P NEGROTTO CAMBIASO VICINO AL 121-"</f>
        <v>VIA P NEGROTTO CAMBIASO VICINO AL 121-</v>
      </c>
      <c r="C594" t="str">
        <f t="shared" si="47"/>
        <v>4</v>
      </c>
      <c r="D594">
        <v>26</v>
      </c>
      <c r="E594" t="str">
        <f>"267"</f>
        <v>267</v>
      </c>
      <c r="F594" t="str">
        <f t="shared" si="48"/>
        <v>0000</v>
      </c>
    </row>
    <row r="595" spans="1:6">
      <c r="C595" t="str">
        <f t="shared" si="47"/>
        <v>4</v>
      </c>
      <c r="D595">
        <v>26</v>
      </c>
      <c r="E595" t="str">
        <f>"99999"</f>
        <v>99999</v>
      </c>
      <c r="F595" t="str">
        <f t="shared" si="48"/>
        <v>0000</v>
      </c>
    </row>
    <row r="596" spans="1:6">
      <c r="C596" t="str">
        <f t="shared" si="47"/>
        <v>4</v>
      </c>
      <c r="D596">
        <v>26</v>
      </c>
      <c r="E596" t="str">
        <f>"822"</f>
        <v>822</v>
      </c>
      <c r="F596" t="str">
        <f t="shared" si="48"/>
        <v>0000</v>
      </c>
    </row>
    <row r="597" spans="1:6">
      <c r="C597" t="str">
        <f t="shared" si="47"/>
        <v>4</v>
      </c>
      <c r="D597">
        <v>26</v>
      </c>
      <c r="E597" t="str">
        <f>"549"</f>
        <v>549</v>
      </c>
      <c r="F597" t="str">
        <f t="shared" si="48"/>
        <v>0000</v>
      </c>
    </row>
    <row r="598" spans="1:6">
      <c r="C598" t="str">
        <f t="shared" si="47"/>
        <v>4</v>
      </c>
      <c r="D598">
        <v>26</v>
      </c>
      <c r="E598" t="str">
        <f>"447"</f>
        <v>447</v>
      </c>
      <c r="F598" t="str">
        <f t="shared" si="48"/>
        <v>0000</v>
      </c>
    </row>
    <row r="599" spans="1:6">
      <c r="C599" t="str">
        <f t="shared" si="47"/>
        <v>4</v>
      </c>
      <c r="D599">
        <v>26</v>
      </c>
      <c r="E599" t="str">
        <f>"439"</f>
        <v>439</v>
      </c>
      <c r="F599" t="str">
        <f t="shared" si="48"/>
        <v>0000</v>
      </c>
    </row>
    <row r="600" spans="1:6">
      <c r="C600" t="str">
        <f t="shared" si="47"/>
        <v>4</v>
      </c>
      <c r="D600">
        <v>26</v>
      </c>
      <c r="E600" t="str">
        <f>"437"</f>
        <v>437</v>
      </c>
      <c r="F600" t="str">
        <f t="shared" si="48"/>
        <v>0000</v>
      </c>
    </row>
    <row r="601" spans="1:6">
      <c r="C601" t="str">
        <f t="shared" si="47"/>
        <v>4</v>
      </c>
      <c r="D601">
        <v>26</v>
      </c>
      <c r="E601" t="str">
        <f>"419"</f>
        <v>419</v>
      </c>
      <c r="F601" t="str">
        <f t="shared" si="48"/>
        <v>0000</v>
      </c>
    </row>
    <row r="602" spans="1:6">
      <c r="C602" t="str">
        <f t="shared" si="47"/>
        <v>4</v>
      </c>
      <c r="D602">
        <v>26</v>
      </c>
      <c r="E602" t="str">
        <f>"413"</f>
        <v>413</v>
      </c>
      <c r="F602" t="str">
        <f t="shared" si="48"/>
        <v>0000</v>
      </c>
    </row>
    <row r="603" spans="1:6">
      <c r="C603" t="str">
        <f t="shared" si="47"/>
        <v>4</v>
      </c>
      <c r="D603">
        <v>26</v>
      </c>
      <c r="E603" t="str">
        <f>"268"</f>
        <v>268</v>
      </c>
      <c r="F603" t="str">
        <f t="shared" si="48"/>
        <v>0000</v>
      </c>
    </row>
    <row r="604" spans="1:6">
      <c r="C604" t="str">
        <f t="shared" si="47"/>
        <v>4</v>
      </c>
      <c r="D604">
        <v>26</v>
      </c>
      <c r="E604" t="str">
        <f>"271"</f>
        <v>271</v>
      </c>
      <c r="F604" t="str">
        <f t="shared" si="48"/>
        <v>0000</v>
      </c>
    </row>
    <row r="605" spans="1:6">
      <c r="C605" t="str">
        <f t="shared" si="47"/>
        <v>4</v>
      </c>
      <c r="D605">
        <v>26</v>
      </c>
      <c r="E605" t="str">
        <f>"270"</f>
        <v>270</v>
      </c>
      <c r="F605" t="str">
        <f t="shared" si="48"/>
        <v>0000</v>
      </c>
    </row>
    <row r="606" spans="1:6">
      <c r="A606" t="str">
        <f>"E1203-220"</f>
        <v>E1203-220</v>
      </c>
      <c r="B606" t="str">
        <f>"VIA P NEGROTTO CAMBIASO VICINO AL 121-"</f>
        <v>VIA P NEGROTTO CAMBIASO VICINO AL 121-</v>
      </c>
      <c r="C606" t="str">
        <f t="shared" si="47"/>
        <v>4</v>
      </c>
      <c r="D606">
        <v>26</v>
      </c>
      <c r="E606" t="str">
        <f>"267"</f>
        <v>267</v>
      </c>
      <c r="F606" t="str">
        <f t="shared" si="48"/>
        <v>0000</v>
      </c>
    </row>
    <row r="607" spans="1:6">
      <c r="C607" t="str">
        <f t="shared" si="47"/>
        <v>4</v>
      </c>
      <c r="D607">
        <v>26</v>
      </c>
      <c r="E607" t="str">
        <f>"268"</f>
        <v>268</v>
      </c>
      <c r="F607" t="str">
        <f t="shared" si="48"/>
        <v>0000</v>
      </c>
    </row>
    <row r="608" spans="1:6">
      <c r="C608" t="str">
        <f t="shared" si="47"/>
        <v>4</v>
      </c>
      <c r="D608">
        <v>26</v>
      </c>
      <c r="E608" t="str">
        <f>"271"</f>
        <v>271</v>
      </c>
      <c r="F608" t="str">
        <f t="shared" si="48"/>
        <v>0000</v>
      </c>
    </row>
    <row r="609" spans="1:6">
      <c r="C609" t="str">
        <f t="shared" si="47"/>
        <v>4</v>
      </c>
      <c r="D609">
        <v>26</v>
      </c>
      <c r="E609" t="str">
        <f>"419"</f>
        <v>419</v>
      </c>
      <c r="F609" t="str">
        <f t="shared" si="48"/>
        <v>0000</v>
      </c>
    </row>
    <row r="610" spans="1:6">
      <c r="C610" t="str">
        <f t="shared" si="47"/>
        <v>4</v>
      </c>
      <c r="D610">
        <v>26</v>
      </c>
      <c r="E610" t="str">
        <f>"439"</f>
        <v>439</v>
      </c>
      <c r="F610" t="str">
        <f t="shared" si="48"/>
        <v>0000</v>
      </c>
    </row>
    <row r="611" spans="1:6">
      <c r="C611" t="str">
        <f t="shared" si="47"/>
        <v>4</v>
      </c>
      <c r="D611">
        <v>26</v>
      </c>
      <c r="E611" t="str">
        <f>"99999"</f>
        <v>99999</v>
      </c>
      <c r="F611" t="str">
        <f t="shared" si="48"/>
        <v>0000</v>
      </c>
    </row>
    <row r="612" spans="1:6">
      <c r="C612" t="str">
        <f t="shared" si="47"/>
        <v>4</v>
      </c>
      <c r="D612">
        <v>26</v>
      </c>
      <c r="E612" t="str">
        <f>"822"</f>
        <v>822</v>
      </c>
      <c r="F612" t="str">
        <f t="shared" si="48"/>
        <v>0000</v>
      </c>
    </row>
    <row r="613" spans="1:6">
      <c r="C613" t="str">
        <f t="shared" si="47"/>
        <v>4</v>
      </c>
      <c r="D613">
        <v>26</v>
      </c>
      <c r="E613" t="str">
        <f>"549"</f>
        <v>549</v>
      </c>
      <c r="F613" t="str">
        <f t="shared" si="48"/>
        <v>0000</v>
      </c>
    </row>
    <row r="614" spans="1:6">
      <c r="C614" t="str">
        <f t="shared" si="47"/>
        <v>4</v>
      </c>
      <c r="D614">
        <v>26</v>
      </c>
      <c r="E614" t="str">
        <f>"447"</f>
        <v>447</v>
      </c>
      <c r="F614" t="str">
        <f t="shared" si="48"/>
        <v>0000</v>
      </c>
    </row>
    <row r="615" spans="1:6">
      <c r="C615" t="str">
        <f t="shared" si="47"/>
        <v>4</v>
      </c>
      <c r="D615">
        <v>26</v>
      </c>
      <c r="E615" t="str">
        <f>"437"</f>
        <v>437</v>
      </c>
      <c r="F615" t="str">
        <f t="shared" si="48"/>
        <v>0000</v>
      </c>
    </row>
    <row r="616" spans="1:6">
      <c r="C616" t="str">
        <f t="shared" si="47"/>
        <v>4</v>
      </c>
      <c r="D616">
        <v>26</v>
      </c>
      <c r="E616" t="str">
        <f>"413"</f>
        <v>413</v>
      </c>
      <c r="F616" t="str">
        <f t="shared" si="48"/>
        <v>0000</v>
      </c>
    </row>
    <row r="617" spans="1:6">
      <c r="C617" t="str">
        <f t="shared" si="47"/>
        <v>4</v>
      </c>
      <c r="D617">
        <v>26</v>
      </c>
      <c r="E617" t="str">
        <f>"270"</f>
        <v>270</v>
      </c>
      <c r="F617" t="str">
        <f t="shared" si="48"/>
        <v>0000</v>
      </c>
    </row>
    <row r="618" spans="1:6">
      <c r="A618" t="str">
        <f>"E1203-221"</f>
        <v>E1203-221</v>
      </c>
      <c r="B618" t="str">
        <f>"VIA P NEGROTTO CAMBIASO VICINO AL 121-"</f>
        <v>VIA P NEGROTTO CAMBIASO VICINO AL 121-</v>
      </c>
      <c r="C618" t="str">
        <f t="shared" si="47"/>
        <v>4</v>
      </c>
      <c r="D618">
        <v>26</v>
      </c>
      <c r="E618" t="str">
        <f>"267"</f>
        <v>267</v>
      </c>
      <c r="F618" t="str">
        <f t="shared" si="48"/>
        <v>0000</v>
      </c>
    </row>
    <row r="619" spans="1:6">
      <c r="C619" t="str">
        <f t="shared" si="47"/>
        <v>4</v>
      </c>
      <c r="D619">
        <v>26</v>
      </c>
      <c r="E619" t="str">
        <f>"99999"</f>
        <v>99999</v>
      </c>
      <c r="F619" t="str">
        <f t="shared" si="48"/>
        <v>0000</v>
      </c>
    </row>
    <row r="620" spans="1:6">
      <c r="C620" t="str">
        <f t="shared" si="47"/>
        <v>4</v>
      </c>
      <c r="D620">
        <v>26</v>
      </c>
      <c r="E620" t="str">
        <f>"822"</f>
        <v>822</v>
      </c>
      <c r="F620" t="str">
        <f t="shared" si="48"/>
        <v>0000</v>
      </c>
    </row>
    <row r="621" spans="1:6">
      <c r="C621" t="str">
        <f t="shared" si="47"/>
        <v>4</v>
      </c>
      <c r="D621">
        <v>26</v>
      </c>
      <c r="E621" t="str">
        <f>"549"</f>
        <v>549</v>
      </c>
      <c r="F621" t="str">
        <f t="shared" si="48"/>
        <v>0000</v>
      </c>
    </row>
    <row r="622" spans="1:6">
      <c r="C622" t="str">
        <f t="shared" ref="C622:C685" si="49">"4"</f>
        <v>4</v>
      </c>
      <c r="D622">
        <v>26</v>
      </c>
      <c r="E622" t="str">
        <f>"447"</f>
        <v>447</v>
      </c>
      <c r="F622" t="str">
        <f t="shared" ref="F622:F685" si="50">"0000"</f>
        <v>0000</v>
      </c>
    </row>
    <row r="623" spans="1:6">
      <c r="C623" t="str">
        <f t="shared" si="49"/>
        <v>4</v>
      </c>
      <c r="D623">
        <v>26</v>
      </c>
      <c r="E623" t="str">
        <f>"439"</f>
        <v>439</v>
      </c>
      <c r="F623" t="str">
        <f t="shared" si="50"/>
        <v>0000</v>
      </c>
    </row>
    <row r="624" spans="1:6">
      <c r="C624" t="str">
        <f t="shared" si="49"/>
        <v>4</v>
      </c>
      <c r="D624">
        <v>26</v>
      </c>
      <c r="E624" t="str">
        <f>"437"</f>
        <v>437</v>
      </c>
      <c r="F624" t="str">
        <f t="shared" si="50"/>
        <v>0000</v>
      </c>
    </row>
    <row r="625" spans="1:6">
      <c r="C625" t="str">
        <f t="shared" si="49"/>
        <v>4</v>
      </c>
      <c r="D625">
        <v>26</v>
      </c>
      <c r="E625" t="str">
        <f>"419"</f>
        <v>419</v>
      </c>
      <c r="F625" t="str">
        <f t="shared" si="50"/>
        <v>0000</v>
      </c>
    </row>
    <row r="626" spans="1:6">
      <c r="C626" t="str">
        <f t="shared" si="49"/>
        <v>4</v>
      </c>
      <c r="D626">
        <v>26</v>
      </c>
      <c r="E626" t="str">
        <f>"413"</f>
        <v>413</v>
      </c>
      <c r="F626" t="str">
        <f t="shared" si="50"/>
        <v>0000</v>
      </c>
    </row>
    <row r="627" spans="1:6">
      <c r="C627" t="str">
        <f t="shared" si="49"/>
        <v>4</v>
      </c>
      <c r="D627">
        <v>26</v>
      </c>
      <c r="E627" t="str">
        <f>"268"</f>
        <v>268</v>
      </c>
      <c r="F627" t="str">
        <f t="shared" si="50"/>
        <v>0000</v>
      </c>
    </row>
    <row r="628" spans="1:6">
      <c r="C628" t="str">
        <f t="shared" si="49"/>
        <v>4</v>
      </c>
      <c r="D628">
        <v>26</v>
      </c>
      <c r="E628" t="str">
        <f>"271"</f>
        <v>271</v>
      </c>
      <c r="F628" t="str">
        <f t="shared" si="50"/>
        <v>0000</v>
      </c>
    </row>
    <row r="629" spans="1:6">
      <c r="C629" t="str">
        <f t="shared" si="49"/>
        <v>4</v>
      </c>
      <c r="D629">
        <v>26</v>
      </c>
      <c r="E629" t="str">
        <f>"270"</f>
        <v>270</v>
      </c>
      <c r="F629" t="str">
        <f t="shared" si="50"/>
        <v>0000</v>
      </c>
    </row>
    <row r="630" spans="1:6">
      <c r="A630" t="str">
        <f>"E1203-222"</f>
        <v>E1203-222</v>
      </c>
      <c r="B630" t="str">
        <f>"VIA P NEGROTTO CAMBIASO VICINO AL 121-"</f>
        <v>VIA P NEGROTTO CAMBIASO VICINO AL 121-</v>
      </c>
      <c r="C630" t="str">
        <f t="shared" si="49"/>
        <v>4</v>
      </c>
      <c r="D630">
        <v>26</v>
      </c>
      <c r="E630" t="str">
        <f>"267"</f>
        <v>267</v>
      </c>
      <c r="F630" t="str">
        <f t="shared" si="50"/>
        <v>0000</v>
      </c>
    </row>
    <row r="631" spans="1:6">
      <c r="C631" t="str">
        <f t="shared" si="49"/>
        <v>4</v>
      </c>
      <c r="D631">
        <v>26</v>
      </c>
      <c r="E631" t="str">
        <f>"268"</f>
        <v>268</v>
      </c>
      <c r="F631" t="str">
        <f t="shared" si="50"/>
        <v>0000</v>
      </c>
    </row>
    <row r="632" spans="1:6">
      <c r="C632" t="str">
        <f t="shared" si="49"/>
        <v>4</v>
      </c>
      <c r="D632">
        <v>26</v>
      </c>
      <c r="E632" t="str">
        <f>"271"</f>
        <v>271</v>
      </c>
      <c r="F632" t="str">
        <f t="shared" si="50"/>
        <v>0000</v>
      </c>
    </row>
    <row r="633" spans="1:6">
      <c r="C633" t="str">
        <f t="shared" si="49"/>
        <v>4</v>
      </c>
      <c r="D633">
        <v>26</v>
      </c>
      <c r="E633" t="str">
        <f>"419"</f>
        <v>419</v>
      </c>
      <c r="F633" t="str">
        <f t="shared" si="50"/>
        <v>0000</v>
      </c>
    </row>
    <row r="634" spans="1:6">
      <c r="C634" t="str">
        <f t="shared" si="49"/>
        <v>4</v>
      </c>
      <c r="D634">
        <v>26</v>
      </c>
      <c r="E634" t="str">
        <f>"439"</f>
        <v>439</v>
      </c>
      <c r="F634" t="str">
        <f t="shared" si="50"/>
        <v>0000</v>
      </c>
    </row>
    <row r="635" spans="1:6">
      <c r="C635" t="str">
        <f t="shared" si="49"/>
        <v>4</v>
      </c>
      <c r="D635">
        <v>26</v>
      </c>
      <c r="E635" t="str">
        <f>"99999"</f>
        <v>99999</v>
      </c>
      <c r="F635" t="str">
        <f t="shared" si="50"/>
        <v>0000</v>
      </c>
    </row>
    <row r="636" spans="1:6">
      <c r="C636" t="str">
        <f t="shared" si="49"/>
        <v>4</v>
      </c>
      <c r="D636">
        <v>26</v>
      </c>
      <c r="E636" t="str">
        <f>"822"</f>
        <v>822</v>
      </c>
      <c r="F636" t="str">
        <f t="shared" si="50"/>
        <v>0000</v>
      </c>
    </row>
    <row r="637" spans="1:6">
      <c r="C637" t="str">
        <f t="shared" si="49"/>
        <v>4</v>
      </c>
      <c r="D637">
        <v>26</v>
      </c>
      <c r="E637" t="str">
        <f>"549"</f>
        <v>549</v>
      </c>
      <c r="F637" t="str">
        <f t="shared" si="50"/>
        <v>0000</v>
      </c>
    </row>
    <row r="638" spans="1:6">
      <c r="C638" t="str">
        <f t="shared" si="49"/>
        <v>4</v>
      </c>
      <c r="D638">
        <v>26</v>
      </c>
      <c r="E638" t="str">
        <f>"447"</f>
        <v>447</v>
      </c>
      <c r="F638" t="str">
        <f t="shared" si="50"/>
        <v>0000</v>
      </c>
    </row>
    <row r="639" spans="1:6">
      <c r="C639" t="str">
        <f t="shared" si="49"/>
        <v>4</v>
      </c>
      <c r="D639">
        <v>26</v>
      </c>
      <c r="E639" t="str">
        <f>"437"</f>
        <v>437</v>
      </c>
      <c r="F639" t="str">
        <f t="shared" si="50"/>
        <v>0000</v>
      </c>
    </row>
    <row r="640" spans="1:6">
      <c r="C640" t="str">
        <f t="shared" si="49"/>
        <v>4</v>
      </c>
      <c r="D640">
        <v>26</v>
      </c>
      <c r="E640" t="str">
        <f>"413"</f>
        <v>413</v>
      </c>
      <c r="F640" t="str">
        <f t="shared" si="50"/>
        <v>0000</v>
      </c>
    </row>
    <row r="641" spans="1:6">
      <c r="C641" t="str">
        <f t="shared" si="49"/>
        <v>4</v>
      </c>
      <c r="D641">
        <v>26</v>
      </c>
      <c r="E641" t="str">
        <f>"270"</f>
        <v>270</v>
      </c>
      <c r="F641" t="str">
        <f t="shared" si="50"/>
        <v>0000</v>
      </c>
    </row>
    <row r="642" spans="1:6">
      <c r="A642" t="str">
        <f>"E1203-223"</f>
        <v>E1203-223</v>
      </c>
      <c r="B642" t="str">
        <f>"VIA P NEGROTTO CAMBIASO VICINO AL 121-"</f>
        <v>VIA P NEGROTTO CAMBIASO VICINO AL 121-</v>
      </c>
      <c r="C642" t="str">
        <f t="shared" si="49"/>
        <v>4</v>
      </c>
      <c r="D642">
        <v>26</v>
      </c>
      <c r="E642" t="str">
        <f>"267"</f>
        <v>267</v>
      </c>
      <c r="F642" t="str">
        <f t="shared" si="50"/>
        <v>0000</v>
      </c>
    </row>
    <row r="643" spans="1:6">
      <c r="C643" t="str">
        <f t="shared" si="49"/>
        <v>4</v>
      </c>
      <c r="D643">
        <v>26</v>
      </c>
      <c r="E643" t="str">
        <f>"99999"</f>
        <v>99999</v>
      </c>
      <c r="F643" t="str">
        <f t="shared" si="50"/>
        <v>0000</v>
      </c>
    </row>
    <row r="644" spans="1:6">
      <c r="C644" t="str">
        <f t="shared" si="49"/>
        <v>4</v>
      </c>
      <c r="D644">
        <v>26</v>
      </c>
      <c r="E644" t="str">
        <f>"822"</f>
        <v>822</v>
      </c>
      <c r="F644" t="str">
        <f t="shared" si="50"/>
        <v>0000</v>
      </c>
    </row>
    <row r="645" spans="1:6">
      <c r="C645" t="str">
        <f t="shared" si="49"/>
        <v>4</v>
      </c>
      <c r="D645">
        <v>26</v>
      </c>
      <c r="E645" t="str">
        <f>"549"</f>
        <v>549</v>
      </c>
      <c r="F645" t="str">
        <f t="shared" si="50"/>
        <v>0000</v>
      </c>
    </row>
    <row r="646" spans="1:6">
      <c r="C646" t="str">
        <f t="shared" si="49"/>
        <v>4</v>
      </c>
      <c r="D646">
        <v>26</v>
      </c>
      <c r="E646" t="str">
        <f>"447"</f>
        <v>447</v>
      </c>
      <c r="F646" t="str">
        <f t="shared" si="50"/>
        <v>0000</v>
      </c>
    </row>
    <row r="647" spans="1:6">
      <c r="C647" t="str">
        <f t="shared" si="49"/>
        <v>4</v>
      </c>
      <c r="D647">
        <v>26</v>
      </c>
      <c r="E647" t="str">
        <f>"439"</f>
        <v>439</v>
      </c>
      <c r="F647" t="str">
        <f t="shared" si="50"/>
        <v>0000</v>
      </c>
    </row>
    <row r="648" spans="1:6">
      <c r="C648" t="str">
        <f t="shared" si="49"/>
        <v>4</v>
      </c>
      <c r="D648">
        <v>26</v>
      </c>
      <c r="E648" t="str">
        <f>"437"</f>
        <v>437</v>
      </c>
      <c r="F648" t="str">
        <f t="shared" si="50"/>
        <v>0000</v>
      </c>
    </row>
    <row r="649" spans="1:6">
      <c r="C649" t="str">
        <f t="shared" si="49"/>
        <v>4</v>
      </c>
      <c r="D649">
        <v>26</v>
      </c>
      <c r="E649" t="str">
        <f>"419"</f>
        <v>419</v>
      </c>
      <c r="F649" t="str">
        <f t="shared" si="50"/>
        <v>0000</v>
      </c>
    </row>
    <row r="650" spans="1:6">
      <c r="C650" t="str">
        <f t="shared" si="49"/>
        <v>4</v>
      </c>
      <c r="D650">
        <v>26</v>
      </c>
      <c r="E650" t="str">
        <f>"413"</f>
        <v>413</v>
      </c>
      <c r="F650" t="str">
        <f t="shared" si="50"/>
        <v>0000</v>
      </c>
    </row>
    <row r="651" spans="1:6">
      <c r="C651" t="str">
        <f t="shared" si="49"/>
        <v>4</v>
      </c>
      <c r="D651">
        <v>26</v>
      </c>
      <c r="E651" t="str">
        <f>"268"</f>
        <v>268</v>
      </c>
      <c r="F651" t="str">
        <f t="shared" si="50"/>
        <v>0000</v>
      </c>
    </row>
    <row r="652" spans="1:6">
      <c r="C652" t="str">
        <f t="shared" si="49"/>
        <v>4</v>
      </c>
      <c r="D652">
        <v>26</v>
      </c>
      <c r="E652" t="str">
        <f>"271"</f>
        <v>271</v>
      </c>
      <c r="F652" t="str">
        <f t="shared" si="50"/>
        <v>0000</v>
      </c>
    </row>
    <row r="653" spans="1:6">
      <c r="C653" t="str">
        <f t="shared" si="49"/>
        <v>4</v>
      </c>
      <c r="D653">
        <v>26</v>
      </c>
      <c r="E653" t="str">
        <f>"270"</f>
        <v>270</v>
      </c>
      <c r="F653" t="str">
        <f t="shared" si="50"/>
        <v>0000</v>
      </c>
    </row>
    <row r="654" spans="1:6">
      <c r="A654" t="str">
        <f>"E1203-224"</f>
        <v>E1203-224</v>
      </c>
      <c r="B654" t="str">
        <f>"VIA P NEGROTTO CAMBIASO VICINO AL 121-"</f>
        <v>VIA P NEGROTTO CAMBIASO VICINO AL 121-</v>
      </c>
      <c r="C654" t="str">
        <f t="shared" si="49"/>
        <v>4</v>
      </c>
      <c r="D654">
        <v>26</v>
      </c>
      <c r="E654" t="str">
        <f>"267"</f>
        <v>267</v>
      </c>
      <c r="F654" t="str">
        <f t="shared" si="50"/>
        <v>0000</v>
      </c>
    </row>
    <row r="655" spans="1:6">
      <c r="C655" t="str">
        <f t="shared" si="49"/>
        <v>4</v>
      </c>
      <c r="D655">
        <v>26</v>
      </c>
      <c r="E655" t="str">
        <f>"268"</f>
        <v>268</v>
      </c>
      <c r="F655" t="str">
        <f t="shared" si="50"/>
        <v>0000</v>
      </c>
    </row>
    <row r="656" spans="1:6">
      <c r="C656" t="str">
        <f t="shared" si="49"/>
        <v>4</v>
      </c>
      <c r="D656">
        <v>26</v>
      </c>
      <c r="E656" t="str">
        <f>"271"</f>
        <v>271</v>
      </c>
      <c r="F656" t="str">
        <f t="shared" si="50"/>
        <v>0000</v>
      </c>
    </row>
    <row r="657" spans="1:6">
      <c r="C657" t="str">
        <f t="shared" si="49"/>
        <v>4</v>
      </c>
      <c r="D657">
        <v>26</v>
      </c>
      <c r="E657" t="str">
        <f>"419"</f>
        <v>419</v>
      </c>
      <c r="F657" t="str">
        <f t="shared" si="50"/>
        <v>0000</v>
      </c>
    </row>
    <row r="658" spans="1:6">
      <c r="C658" t="str">
        <f t="shared" si="49"/>
        <v>4</v>
      </c>
      <c r="D658">
        <v>26</v>
      </c>
      <c r="E658" t="str">
        <f>"439"</f>
        <v>439</v>
      </c>
      <c r="F658" t="str">
        <f t="shared" si="50"/>
        <v>0000</v>
      </c>
    </row>
    <row r="659" spans="1:6">
      <c r="C659" t="str">
        <f t="shared" si="49"/>
        <v>4</v>
      </c>
      <c r="D659">
        <v>26</v>
      </c>
      <c r="E659" t="str">
        <f>"99999"</f>
        <v>99999</v>
      </c>
      <c r="F659" t="str">
        <f t="shared" si="50"/>
        <v>0000</v>
      </c>
    </row>
    <row r="660" spans="1:6">
      <c r="C660" t="str">
        <f t="shared" si="49"/>
        <v>4</v>
      </c>
      <c r="D660">
        <v>26</v>
      </c>
      <c r="E660" t="str">
        <f>"822"</f>
        <v>822</v>
      </c>
      <c r="F660" t="str">
        <f t="shared" si="50"/>
        <v>0000</v>
      </c>
    </row>
    <row r="661" spans="1:6">
      <c r="C661" t="str">
        <f t="shared" si="49"/>
        <v>4</v>
      </c>
      <c r="D661">
        <v>26</v>
      </c>
      <c r="E661" t="str">
        <f>"549"</f>
        <v>549</v>
      </c>
      <c r="F661" t="str">
        <f t="shared" si="50"/>
        <v>0000</v>
      </c>
    </row>
    <row r="662" spans="1:6">
      <c r="C662" t="str">
        <f t="shared" si="49"/>
        <v>4</v>
      </c>
      <c r="D662">
        <v>26</v>
      </c>
      <c r="E662" t="str">
        <f>"447"</f>
        <v>447</v>
      </c>
      <c r="F662" t="str">
        <f t="shared" si="50"/>
        <v>0000</v>
      </c>
    </row>
    <row r="663" spans="1:6">
      <c r="C663" t="str">
        <f t="shared" si="49"/>
        <v>4</v>
      </c>
      <c r="D663">
        <v>26</v>
      </c>
      <c r="E663" t="str">
        <f>"437"</f>
        <v>437</v>
      </c>
      <c r="F663" t="str">
        <f t="shared" si="50"/>
        <v>0000</v>
      </c>
    </row>
    <row r="664" spans="1:6">
      <c r="C664" t="str">
        <f t="shared" si="49"/>
        <v>4</v>
      </c>
      <c r="D664">
        <v>26</v>
      </c>
      <c r="E664" t="str">
        <f>"413"</f>
        <v>413</v>
      </c>
      <c r="F664" t="str">
        <f t="shared" si="50"/>
        <v>0000</v>
      </c>
    </row>
    <row r="665" spans="1:6">
      <c r="C665" t="str">
        <f t="shared" si="49"/>
        <v>4</v>
      </c>
      <c r="D665">
        <v>26</v>
      </c>
      <c r="E665" t="str">
        <f>"270"</f>
        <v>270</v>
      </c>
      <c r="F665" t="str">
        <f t="shared" si="50"/>
        <v>0000</v>
      </c>
    </row>
    <row r="666" spans="1:6">
      <c r="A666" t="str">
        <f>"E1203-225"</f>
        <v>E1203-225</v>
      </c>
      <c r="B666" t="str">
        <f>"VIA P NEGROTTO CAMBIASO VICINO AL 121-"</f>
        <v>VIA P NEGROTTO CAMBIASO VICINO AL 121-</v>
      </c>
      <c r="C666" t="str">
        <f t="shared" si="49"/>
        <v>4</v>
      </c>
      <c r="D666">
        <v>26</v>
      </c>
      <c r="E666" t="str">
        <f>"267"</f>
        <v>267</v>
      </c>
      <c r="F666" t="str">
        <f t="shared" si="50"/>
        <v>0000</v>
      </c>
    </row>
    <row r="667" spans="1:6">
      <c r="C667" t="str">
        <f t="shared" si="49"/>
        <v>4</v>
      </c>
      <c r="D667">
        <v>26</v>
      </c>
      <c r="E667" t="str">
        <f>"99999"</f>
        <v>99999</v>
      </c>
      <c r="F667" t="str">
        <f t="shared" si="50"/>
        <v>0000</v>
      </c>
    </row>
    <row r="668" spans="1:6">
      <c r="C668" t="str">
        <f t="shared" si="49"/>
        <v>4</v>
      </c>
      <c r="D668">
        <v>26</v>
      </c>
      <c r="E668" t="str">
        <f>"822"</f>
        <v>822</v>
      </c>
      <c r="F668" t="str">
        <f t="shared" si="50"/>
        <v>0000</v>
      </c>
    </row>
    <row r="669" spans="1:6">
      <c r="C669" t="str">
        <f t="shared" si="49"/>
        <v>4</v>
      </c>
      <c r="D669">
        <v>26</v>
      </c>
      <c r="E669" t="str">
        <f>"549"</f>
        <v>549</v>
      </c>
      <c r="F669" t="str">
        <f t="shared" si="50"/>
        <v>0000</v>
      </c>
    </row>
    <row r="670" spans="1:6">
      <c r="C670" t="str">
        <f t="shared" si="49"/>
        <v>4</v>
      </c>
      <c r="D670">
        <v>26</v>
      </c>
      <c r="E670" t="str">
        <f>"447"</f>
        <v>447</v>
      </c>
      <c r="F670" t="str">
        <f t="shared" si="50"/>
        <v>0000</v>
      </c>
    </row>
    <row r="671" spans="1:6">
      <c r="C671" t="str">
        <f t="shared" si="49"/>
        <v>4</v>
      </c>
      <c r="D671">
        <v>26</v>
      </c>
      <c r="E671" t="str">
        <f>"439"</f>
        <v>439</v>
      </c>
      <c r="F671" t="str">
        <f t="shared" si="50"/>
        <v>0000</v>
      </c>
    </row>
    <row r="672" spans="1:6">
      <c r="C672" t="str">
        <f t="shared" si="49"/>
        <v>4</v>
      </c>
      <c r="D672">
        <v>26</v>
      </c>
      <c r="E672" t="str">
        <f>"437"</f>
        <v>437</v>
      </c>
      <c r="F672" t="str">
        <f t="shared" si="50"/>
        <v>0000</v>
      </c>
    </row>
    <row r="673" spans="1:6">
      <c r="C673" t="str">
        <f t="shared" si="49"/>
        <v>4</v>
      </c>
      <c r="D673">
        <v>26</v>
      </c>
      <c r="E673" t="str">
        <f>"419"</f>
        <v>419</v>
      </c>
      <c r="F673" t="str">
        <f t="shared" si="50"/>
        <v>0000</v>
      </c>
    </row>
    <row r="674" spans="1:6">
      <c r="C674" t="str">
        <f t="shared" si="49"/>
        <v>4</v>
      </c>
      <c r="D674">
        <v>26</v>
      </c>
      <c r="E674" t="str">
        <f>"413"</f>
        <v>413</v>
      </c>
      <c r="F674" t="str">
        <f t="shared" si="50"/>
        <v>0000</v>
      </c>
    </row>
    <row r="675" spans="1:6">
      <c r="C675" t="str">
        <f t="shared" si="49"/>
        <v>4</v>
      </c>
      <c r="D675">
        <v>26</v>
      </c>
      <c r="E675" t="str">
        <f>"268"</f>
        <v>268</v>
      </c>
      <c r="F675" t="str">
        <f t="shared" si="50"/>
        <v>0000</v>
      </c>
    </row>
    <row r="676" spans="1:6">
      <c r="C676" t="str">
        <f t="shared" si="49"/>
        <v>4</v>
      </c>
      <c r="D676">
        <v>26</v>
      </c>
      <c r="E676" t="str">
        <f>"271"</f>
        <v>271</v>
      </c>
      <c r="F676" t="str">
        <f t="shared" si="50"/>
        <v>0000</v>
      </c>
    </row>
    <row r="677" spans="1:6">
      <c r="C677" t="str">
        <f t="shared" si="49"/>
        <v>4</v>
      </c>
      <c r="D677">
        <v>26</v>
      </c>
      <c r="E677" t="str">
        <f>"270"</f>
        <v>270</v>
      </c>
      <c r="F677" t="str">
        <f t="shared" si="50"/>
        <v>0000</v>
      </c>
    </row>
    <row r="678" spans="1:6">
      <c r="A678" t="str">
        <f>"E1203-226"</f>
        <v>E1203-226</v>
      </c>
      <c r="B678" t="str">
        <f>"VIA P NEGROTTO CAMBIASO VICINO AL 121-"</f>
        <v>VIA P NEGROTTO CAMBIASO VICINO AL 121-</v>
      </c>
      <c r="C678" t="str">
        <f t="shared" si="49"/>
        <v>4</v>
      </c>
      <c r="D678">
        <v>26</v>
      </c>
      <c r="E678" t="str">
        <f>"267"</f>
        <v>267</v>
      </c>
      <c r="F678" t="str">
        <f t="shared" si="50"/>
        <v>0000</v>
      </c>
    </row>
    <row r="679" spans="1:6">
      <c r="C679" t="str">
        <f t="shared" si="49"/>
        <v>4</v>
      </c>
      <c r="D679">
        <v>26</v>
      </c>
      <c r="E679" t="str">
        <f>"268"</f>
        <v>268</v>
      </c>
      <c r="F679" t="str">
        <f t="shared" si="50"/>
        <v>0000</v>
      </c>
    </row>
    <row r="680" spans="1:6">
      <c r="C680" t="str">
        <f t="shared" si="49"/>
        <v>4</v>
      </c>
      <c r="D680">
        <v>26</v>
      </c>
      <c r="E680" t="str">
        <f>"271"</f>
        <v>271</v>
      </c>
      <c r="F680" t="str">
        <f t="shared" si="50"/>
        <v>0000</v>
      </c>
    </row>
    <row r="681" spans="1:6">
      <c r="C681" t="str">
        <f t="shared" si="49"/>
        <v>4</v>
      </c>
      <c r="D681">
        <v>26</v>
      </c>
      <c r="E681" t="str">
        <f>"419"</f>
        <v>419</v>
      </c>
      <c r="F681" t="str">
        <f t="shared" si="50"/>
        <v>0000</v>
      </c>
    </row>
    <row r="682" spans="1:6">
      <c r="C682" t="str">
        <f t="shared" si="49"/>
        <v>4</v>
      </c>
      <c r="D682">
        <v>26</v>
      </c>
      <c r="E682" t="str">
        <f>"439"</f>
        <v>439</v>
      </c>
      <c r="F682" t="str">
        <f t="shared" si="50"/>
        <v>0000</v>
      </c>
    </row>
    <row r="683" spans="1:6">
      <c r="C683" t="str">
        <f t="shared" si="49"/>
        <v>4</v>
      </c>
      <c r="D683">
        <v>26</v>
      </c>
      <c r="E683" t="str">
        <f>"99999"</f>
        <v>99999</v>
      </c>
      <c r="F683" t="str">
        <f t="shared" si="50"/>
        <v>0000</v>
      </c>
    </row>
    <row r="684" spans="1:6">
      <c r="C684" t="str">
        <f t="shared" si="49"/>
        <v>4</v>
      </c>
      <c r="D684">
        <v>26</v>
      </c>
      <c r="E684" t="str">
        <f>"822"</f>
        <v>822</v>
      </c>
      <c r="F684" t="str">
        <f t="shared" si="50"/>
        <v>0000</v>
      </c>
    </row>
    <row r="685" spans="1:6">
      <c r="C685" t="str">
        <f t="shared" si="49"/>
        <v>4</v>
      </c>
      <c r="D685">
        <v>26</v>
      </c>
      <c r="E685" t="str">
        <f>"549"</f>
        <v>549</v>
      </c>
      <c r="F685" t="str">
        <f t="shared" si="50"/>
        <v>0000</v>
      </c>
    </row>
    <row r="686" spans="1:6">
      <c r="C686" t="str">
        <f t="shared" ref="C686:C749" si="51">"4"</f>
        <v>4</v>
      </c>
      <c r="D686">
        <v>26</v>
      </c>
      <c r="E686" t="str">
        <f>"447"</f>
        <v>447</v>
      </c>
      <c r="F686" t="str">
        <f t="shared" ref="F686:F749" si="52">"0000"</f>
        <v>0000</v>
      </c>
    </row>
    <row r="687" spans="1:6">
      <c r="C687" t="str">
        <f t="shared" si="51"/>
        <v>4</v>
      </c>
      <c r="D687">
        <v>26</v>
      </c>
      <c r="E687" t="str">
        <f>"437"</f>
        <v>437</v>
      </c>
      <c r="F687" t="str">
        <f t="shared" si="52"/>
        <v>0000</v>
      </c>
    </row>
    <row r="688" spans="1:6">
      <c r="C688" t="str">
        <f t="shared" si="51"/>
        <v>4</v>
      </c>
      <c r="D688">
        <v>26</v>
      </c>
      <c r="E688" t="str">
        <f>"413"</f>
        <v>413</v>
      </c>
      <c r="F688" t="str">
        <f t="shared" si="52"/>
        <v>0000</v>
      </c>
    </row>
    <row r="689" spans="1:6">
      <c r="C689" t="str">
        <f t="shared" si="51"/>
        <v>4</v>
      </c>
      <c r="D689">
        <v>26</v>
      </c>
      <c r="E689" t="str">
        <f>"270"</f>
        <v>270</v>
      </c>
      <c r="F689" t="str">
        <f t="shared" si="52"/>
        <v>0000</v>
      </c>
    </row>
    <row r="690" spans="1:6">
      <c r="A690" t="str">
        <f>"E1203-227"</f>
        <v>E1203-227</v>
      </c>
      <c r="B690" t="str">
        <f>"VIA P NEGROTTO CAMBIASO VICINO AL 121-"</f>
        <v>VIA P NEGROTTO CAMBIASO VICINO AL 121-</v>
      </c>
      <c r="C690" t="str">
        <f t="shared" si="51"/>
        <v>4</v>
      </c>
      <c r="D690">
        <v>26</v>
      </c>
      <c r="E690" t="str">
        <f>"267"</f>
        <v>267</v>
      </c>
      <c r="F690" t="str">
        <f t="shared" si="52"/>
        <v>0000</v>
      </c>
    </row>
    <row r="691" spans="1:6">
      <c r="C691" t="str">
        <f t="shared" si="51"/>
        <v>4</v>
      </c>
      <c r="D691">
        <v>26</v>
      </c>
      <c r="E691" t="str">
        <f>"99999"</f>
        <v>99999</v>
      </c>
      <c r="F691" t="str">
        <f t="shared" si="52"/>
        <v>0000</v>
      </c>
    </row>
    <row r="692" spans="1:6">
      <c r="C692" t="str">
        <f t="shared" si="51"/>
        <v>4</v>
      </c>
      <c r="D692">
        <v>26</v>
      </c>
      <c r="E692" t="str">
        <f>"822"</f>
        <v>822</v>
      </c>
      <c r="F692" t="str">
        <f t="shared" si="52"/>
        <v>0000</v>
      </c>
    </row>
    <row r="693" spans="1:6">
      <c r="C693" t="str">
        <f t="shared" si="51"/>
        <v>4</v>
      </c>
      <c r="D693">
        <v>26</v>
      </c>
      <c r="E693" t="str">
        <f>"549"</f>
        <v>549</v>
      </c>
      <c r="F693" t="str">
        <f t="shared" si="52"/>
        <v>0000</v>
      </c>
    </row>
    <row r="694" spans="1:6">
      <c r="C694" t="str">
        <f t="shared" si="51"/>
        <v>4</v>
      </c>
      <c r="D694">
        <v>26</v>
      </c>
      <c r="E694" t="str">
        <f>"447"</f>
        <v>447</v>
      </c>
      <c r="F694" t="str">
        <f t="shared" si="52"/>
        <v>0000</v>
      </c>
    </row>
    <row r="695" spans="1:6">
      <c r="C695" t="str">
        <f t="shared" si="51"/>
        <v>4</v>
      </c>
      <c r="D695">
        <v>26</v>
      </c>
      <c r="E695" t="str">
        <f>"439"</f>
        <v>439</v>
      </c>
      <c r="F695" t="str">
        <f t="shared" si="52"/>
        <v>0000</v>
      </c>
    </row>
    <row r="696" spans="1:6">
      <c r="C696" t="str">
        <f t="shared" si="51"/>
        <v>4</v>
      </c>
      <c r="D696">
        <v>26</v>
      </c>
      <c r="E696" t="str">
        <f>"437"</f>
        <v>437</v>
      </c>
      <c r="F696" t="str">
        <f t="shared" si="52"/>
        <v>0000</v>
      </c>
    </row>
    <row r="697" spans="1:6">
      <c r="C697" t="str">
        <f t="shared" si="51"/>
        <v>4</v>
      </c>
      <c r="D697">
        <v>26</v>
      </c>
      <c r="E697" t="str">
        <f>"419"</f>
        <v>419</v>
      </c>
      <c r="F697" t="str">
        <f t="shared" si="52"/>
        <v>0000</v>
      </c>
    </row>
    <row r="698" spans="1:6">
      <c r="C698" t="str">
        <f t="shared" si="51"/>
        <v>4</v>
      </c>
      <c r="D698">
        <v>26</v>
      </c>
      <c r="E698" t="str">
        <f>"413"</f>
        <v>413</v>
      </c>
      <c r="F698" t="str">
        <f t="shared" si="52"/>
        <v>0000</v>
      </c>
    </row>
    <row r="699" spans="1:6">
      <c r="C699" t="str">
        <f t="shared" si="51"/>
        <v>4</v>
      </c>
      <c r="D699">
        <v>26</v>
      </c>
      <c r="E699" t="str">
        <f>"268"</f>
        <v>268</v>
      </c>
      <c r="F699" t="str">
        <f t="shared" si="52"/>
        <v>0000</v>
      </c>
    </row>
    <row r="700" spans="1:6">
      <c r="C700" t="str">
        <f t="shared" si="51"/>
        <v>4</v>
      </c>
      <c r="D700">
        <v>26</v>
      </c>
      <c r="E700" t="str">
        <f>"271"</f>
        <v>271</v>
      </c>
      <c r="F700" t="str">
        <f t="shared" si="52"/>
        <v>0000</v>
      </c>
    </row>
    <row r="701" spans="1:6">
      <c r="C701" t="str">
        <f t="shared" si="51"/>
        <v>4</v>
      </c>
      <c r="D701">
        <v>26</v>
      </c>
      <c r="E701" t="str">
        <f>"270"</f>
        <v>270</v>
      </c>
      <c r="F701" t="str">
        <f t="shared" si="52"/>
        <v>0000</v>
      </c>
    </row>
    <row r="702" spans="1:6">
      <c r="A702" t="str">
        <f>"E1203-228"</f>
        <v>E1203-228</v>
      </c>
      <c r="B702" t="str">
        <f>"VIA P NEGROTTO CAMBIASO VICINO AL 121-"</f>
        <v>VIA P NEGROTTO CAMBIASO VICINO AL 121-</v>
      </c>
      <c r="C702" t="str">
        <f t="shared" si="51"/>
        <v>4</v>
      </c>
      <c r="D702">
        <v>26</v>
      </c>
      <c r="E702" t="str">
        <f>"267"</f>
        <v>267</v>
      </c>
      <c r="F702" t="str">
        <f t="shared" si="52"/>
        <v>0000</v>
      </c>
    </row>
    <row r="703" spans="1:6">
      <c r="C703" t="str">
        <f t="shared" si="51"/>
        <v>4</v>
      </c>
      <c r="D703">
        <v>26</v>
      </c>
      <c r="E703" t="str">
        <f>"268"</f>
        <v>268</v>
      </c>
      <c r="F703" t="str">
        <f t="shared" si="52"/>
        <v>0000</v>
      </c>
    </row>
    <row r="704" spans="1:6">
      <c r="C704" t="str">
        <f t="shared" si="51"/>
        <v>4</v>
      </c>
      <c r="D704">
        <v>26</v>
      </c>
      <c r="E704" t="str">
        <f>"271"</f>
        <v>271</v>
      </c>
      <c r="F704" t="str">
        <f t="shared" si="52"/>
        <v>0000</v>
      </c>
    </row>
    <row r="705" spans="1:6">
      <c r="C705" t="str">
        <f t="shared" si="51"/>
        <v>4</v>
      </c>
      <c r="D705">
        <v>26</v>
      </c>
      <c r="E705" t="str">
        <f>"419"</f>
        <v>419</v>
      </c>
      <c r="F705" t="str">
        <f t="shared" si="52"/>
        <v>0000</v>
      </c>
    </row>
    <row r="706" spans="1:6">
      <c r="C706" t="str">
        <f t="shared" si="51"/>
        <v>4</v>
      </c>
      <c r="D706">
        <v>26</v>
      </c>
      <c r="E706" t="str">
        <f>"439"</f>
        <v>439</v>
      </c>
      <c r="F706" t="str">
        <f t="shared" si="52"/>
        <v>0000</v>
      </c>
    </row>
    <row r="707" spans="1:6">
      <c r="C707" t="str">
        <f t="shared" si="51"/>
        <v>4</v>
      </c>
      <c r="D707">
        <v>26</v>
      </c>
      <c r="E707" t="str">
        <f>"99999"</f>
        <v>99999</v>
      </c>
      <c r="F707" t="str">
        <f t="shared" si="52"/>
        <v>0000</v>
      </c>
    </row>
    <row r="708" spans="1:6">
      <c r="C708" t="str">
        <f t="shared" si="51"/>
        <v>4</v>
      </c>
      <c r="D708">
        <v>26</v>
      </c>
      <c r="E708" t="str">
        <f>"822"</f>
        <v>822</v>
      </c>
      <c r="F708" t="str">
        <f t="shared" si="52"/>
        <v>0000</v>
      </c>
    </row>
    <row r="709" spans="1:6">
      <c r="C709" t="str">
        <f t="shared" si="51"/>
        <v>4</v>
      </c>
      <c r="D709">
        <v>26</v>
      </c>
      <c r="E709" t="str">
        <f>"549"</f>
        <v>549</v>
      </c>
      <c r="F709" t="str">
        <f t="shared" si="52"/>
        <v>0000</v>
      </c>
    </row>
    <row r="710" spans="1:6">
      <c r="C710" t="str">
        <f t="shared" si="51"/>
        <v>4</v>
      </c>
      <c r="D710">
        <v>26</v>
      </c>
      <c r="E710" t="str">
        <f>"447"</f>
        <v>447</v>
      </c>
      <c r="F710" t="str">
        <f t="shared" si="52"/>
        <v>0000</v>
      </c>
    </row>
    <row r="711" spans="1:6">
      <c r="C711" t="str">
        <f t="shared" si="51"/>
        <v>4</v>
      </c>
      <c r="D711">
        <v>26</v>
      </c>
      <c r="E711" t="str">
        <f>"437"</f>
        <v>437</v>
      </c>
      <c r="F711" t="str">
        <f t="shared" si="52"/>
        <v>0000</v>
      </c>
    </row>
    <row r="712" spans="1:6">
      <c r="C712" t="str">
        <f t="shared" si="51"/>
        <v>4</v>
      </c>
      <c r="D712">
        <v>26</v>
      </c>
      <c r="E712" t="str">
        <f>"413"</f>
        <v>413</v>
      </c>
      <c r="F712" t="str">
        <f t="shared" si="52"/>
        <v>0000</v>
      </c>
    </row>
    <row r="713" spans="1:6">
      <c r="C713" t="str">
        <f t="shared" si="51"/>
        <v>4</v>
      </c>
      <c r="D713">
        <v>26</v>
      </c>
      <c r="E713" t="str">
        <f>"270"</f>
        <v>270</v>
      </c>
      <c r="F713" t="str">
        <f t="shared" si="52"/>
        <v>0000</v>
      </c>
    </row>
    <row r="714" spans="1:6">
      <c r="A714" t="str">
        <f>"E1203-229"</f>
        <v>E1203-229</v>
      </c>
      <c r="B714" t="str">
        <f>"VIA P NEGROTTO CAMBIASO VICINO AL 121-"</f>
        <v>VIA P NEGROTTO CAMBIASO VICINO AL 121-</v>
      </c>
      <c r="C714" t="str">
        <f t="shared" si="51"/>
        <v>4</v>
      </c>
      <c r="D714">
        <v>26</v>
      </c>
      <c r="E714" t="str">
        <f>"267"</f>
        <v>267</v>
      </c>
      <c r="F714" t="str">
        <f t="shared" si="52"/>
        <v>0000</v>
      </c>
    </row>
    <row r="715" spans="1:6">
      <c r="C715" t="str">
        <f t="shared" si="51"/>
        <v>4</v>
      </c>
      <c r="D715">
        <v>26</v>
      </c>
      <c r="E715" t="str">
        <f>"99999"</f>
        <v>99999</v>
      </c>
      <c r="F715" t="str">
        <f t="shared" si="52"/>
        <v>0000</v>
      </c>
    </row>
    <row r="716" spans="1:6">
      <c r="C716" t="str">
        <f t="shared" si="51"/>
        <v>4</v>
      </c>
      <c r="D716">
        <v>26</v>
      </c>
      <c r="E716" t="str">
        <f>"822"</f>
        <v>822</v>
      </c>
      <c r="F716" t="str">
        <f t="shared" si="52"/>
        <v>0000</v>
      </c>
    </row>
    <row r="717" spans="1:6">
      <c r="C717" t="str">
        <f t="shared" si="51"/>
        <v>4</v>
      </c>
      <c r="D717">
        <v>26</v>
      </c>
      <c r="E717" t="str">
        <f>"549"</f>
        <v>549</v>
      </c>
      <c r="F717" t="str">
        <f t="shared" si="52"/>
        <v>0000</v>
      </c>
    </row>
    <row r="718" spans="1:6">
      <c r="C718" t="str">
        <f t="shared" si="51"/>
        <v>4</v>
      </c>
      <c r="D718">
        <v>26</v>
      </c>
      <c r="E718" t="str">
        <f>"447"</f>
        <v>447</v>
      </c>
      <c r="F718" t="str">
        <f t="shared" si="52"/>
        <v>0000</v>
      </c>
    </row>
    <row r="719" spans="1:6">
      <c r="C719" t="str">
        <f t="shared" si="51"/>
        <v>4</v>
      </c>
      <c r="D719">
        <v>26</v>
      </c>
      <c r="E719" t="str">
        <f>"439"</f>
        <v>439</v>
      </c>
      <c r="F719" t="str">
        <f t="shared" si="52"/>
        <v>0000</v>
      </c>
    </row>
    <row r="720" spans="1:6">
      <c r="C720" t="str">
        <f t="shared" si="51"/>
        <v>4</v>
      </c>
      <c r="D720">
        <v>26</v>
      </c>
      <c r="E720" t="str">
        <f>"437"</f>
        <v>437</v>
      </c>
      <c r="F720" t="str">
        <f t="shared" si="52"/>
        <v>0000</v>
      </c>
    </row>
    <row r="721" spans="1:6">
      <c r="C721" t="str">
        <f t="shared" si="51"/>
        <v>4</v>
      </c>
      <c r="D721">
        <v>26</v>
      </c>
      <c r="E721" t="str">
        <f>"419"</f>
        <v>419</v>
      </c>
      <c r="F721" t="str">
        <f t="shared" si="52"/>
        <v>0000</v>
      </c>
    </row>
    <row r="722" spans="1:6">
      <c r="C722" t="str">
        <f t="shared" si="51"/>
        <v>4</v>
      </c>
      <c r="D722">
        <v>26</v>
      </c>
      <c r="E722" t="str">
        <f>"413"</f>
        <v>413</v>
      </c>
      <c r="F722" t="str">
        <f t="shared" si="52"/>
        <v>0000</v>
      </c>
    </row>
    <row r="723" spans="1:6">
      <c r="C723" t="str">
        <f t="shared" si="51"/>
        <v>4</v>
      </c>
      <c r="D723">
        <v>26</v>
      </c>
      <c r="E723" t="str">
        <f>"268"</f>
        <v>268</v>
      </c>
      <c r="F723" t="str">
        <f t="shared" si="52"/>
        <v>0000</v>
      </c>
    </row>
    <row r="724" spans="1:6">
      <c r="C724" t="str">
        <f t="shared" si="51"/>
        <v>4</v>
      </c>
      <c r="D724">
        <v>26</v>
      </c>
      <c r="E724" t="str">
        <f>"271"</f>
        <v>271</v>
      </c>
      <c r="F724" t="str">
        <f t="shared" si="52"/>
        <v>0000</v>
      </c>
    </row>
    <row r="725" spans="1:6">
      <c r="C725" t="str">
        <f t="shared" si="51"/>
        <v>4</v>
      </c>
      <c r="D725">
        <v>26</v>
      </c>
      <c r="E725" t="str">
        <f>"270"</f>
        <v>270</v>
      </c>
      <c r="F725" t="str">
        <f t="shared" si="52"/>
        <v>0000</v>
      </c>
    </row>
    <row r="726" spans="1:6">
      <c r="A726" t="str">
        <f>"E1203-230"</f>
        <v>E1203-230</v>
      </c>
      <c r="B726" t="str">
        <f>"VIA P NEGROTTO CAMBIASO VICINO AL 121-"</f>
        <v>VIA P NEGROTTO CAMBIASO VICINO AL 121-</v>
      </c>
      <c r="C726" t="str">
        <f t="shared" si="51"/>
        <v>4</v>
      </c>
      <c r="D726">
        <v>26</v>
      </c>
      <c r="E726" t="str">
        <f>"267"</f>
        <v>267</v>
      </c>
      <c r="F726" t="str">
        <f t="shared" si="52"/>
        <v>0000</v>
      </c>
    </row>
    <row r="727" spans="1:6">
      <c r="C727" t="str">
        <f t="shared" si="51"/>
        <v>4</v>
      </c>
      <c r="D727">
        <v>26</v>
      </c>
      <c r="E727" t="str">
        <f>"268"</f>
        <v>268</v>
      </c>
      <c r="F727" t="str">
        <f t="shared" si="52"/>
        <v>0000</v>
      </c>
    </row>
    <row r="728" spans="1:6">
      <c r="C728" t="str">
        <f t="shared" si="51"/>
        <v>4</v>
      </c>
      <c r="D728">
        <v>26</v>
      </c>
      <c r="E728" t="str">
        <f>"271"</f>
        <v>271</v>
      </c>
      <c r="F728" t="str">
        <f t="shared" si="52"/>
        <v>0000</v>
      </c>
    </row>
    <row r="729" spans="1:6">
      <c r="C729" t="str">
        <f t="shared" si="51"/>
        <v>4</v>
      </c>
      <c r="D729">
        <v>26</v>
      </c>
      <c r="E729" t="str">
        <f>"419"</f>
        <v>419</v>
      </c>
      <c r="F729" t="str">
        <f t="shared" si="52"/>
        <v>0000</v>
      </c>
    </row>
    <row r="730" spans="1:6">
      <c r="C730" t="str">
        <f t="shared" si="51"/>
        <v>4</v>
      </c>
      <c r="D730">
        <v>26</v>
      </c>
      <c r="E730" t="str">
        <f>"439"</f>
        <v>439</v>
      </c>
      <c r="F730" t="str">
        <f t="shared" si="52"/>
        <v>0000</v>
      </c>
    </row>
    <row r="731" spans="1:6">
      <c r="C731" t="str">
        <f t="shared" si="51"/>
        <v>4</v>
      </c>
      <c r="D731">
        <v>26</v>
      </c>
      <c r="E731" t="str">
        <f>"99999"</f>
        <v>99999</v>
      </c>
      <c r="F731" t="str">
        <f t="shared" si="52"/>
        <v>0000</v>
      </c>
    </row>
    <row r="732" spans="1:6">
      <c r="C732" t="str">
        <f t="shared" si="51"/>
        <v>4</v>
      </c>
      <c r="D732">
        <v>26</v>
      </c>
      <c r="E732" t="str">
        <f>"822"</f>
        <v>822</v>
      </c>
      <c r="F732" t="str">
        <f t="shared" si="52"/>
        <v>0000</v>
      </c>
    </row>
    <row r="733" spans="1:6">
      <c r="C733" t="str">
        <f t="shared" si="51"/>
        <v>4</v>
      </c>
      <c r="D733">
        <v>26</v>
      </c>
      <c r="E733" t="str">
        <f>"549"</f>
        <v>549</v>
      </c>
      <c r="F733" t="str">
        <f t="shared" si="52"/>
        <v>0000</v>
      </c>
    </row>
    <row r="734" spans="1:6">
      <c r="C734" t="str">
        <f t="shared" si="51"/>
        <v>4</v>
      </c>
      <c r="D734">
        <v>26</v>
      </c>
      <c r="E734" t="str">
        <f>"447"</f>
        <v>447</v>
      </c>
      <c r="F734" t="str">
        <f t="shared" si="52"/>
        <v>0000</v>
      </c>
    </row>
    <row r="735" spans="1:6">
      <c r="C735" t="str">
        <f t="shared" si="51"/>
        <v>4</v>
      </c>
      <c r="D735">
        <v>26</v>
      </c>
      <c r="E735" t="str">
        <f>"437"</f>
        <v>437</v>
      </c>
      <c r="F735" t="str">
        <f t="shared" si="52"/>
        <v>0000</v>
      </c>
    </row>
    <row r="736" spans="1:6">
      <c r="C736" t="str">
        <f t="shared" si="51"/>
        <v>4</v>
      </c>
      <c r="D736">
        <v>26</v>
      </c>
      <c r="E736" t="str">
        <f>"413"</f>
        <v>413</v>
      </c>
      <c r="F736" t="str">
        <f t="shared" si="52"/>
        <v>0000</v>
      </c>
    </row>
    <row r="737" spans="1:6">
      <c r="C737" t="str">
        <f t="shared" si="51"/>
        <v>4</v>
      </c>
      <c r="D737">
        <v>26</v>
      </c>
      <c r="E737" t="str">
        <f>"270"</f>
        <v>270</v>
      </c>
      <c r="F737" t="str">
        <f t="shared" si="52"/>
        <v>0000</v>
      </c>
    </row>
    <row r="738" spans="1:6">
      <c r="A738" t="str">
        <f>"E1203-231"</f>
        <v>E1203-231</v>
      </c>
      <c r="B738" t="str">
        <f>"VIA P NEGROTTO CAMBIASO VICINO AL 121-"</f>
        <v>VIA P NEGROTTO CAMBIASO VICINO AL 121-</v>
      </c>
      <c r="C738" t="str">
        <f t="shared" si="51"/>
        <v>4</v>
      </c>
      <c r="D738">
        <v>26</v>
      </c>
      <c r="E738" t="str">
        <f>"267"</f>
        <v>267</v>
      </c>
      <c r="F738" t="str">
        <f t="shared" si="52"/>
        <v>0000</v>
      </c>
    </row>
    <row r="739" spans="1:6">
      <c r="C739" t="str">
        <f t="shared" si="51"/>
        <v>4</v>
      </c>
      <c r="D739">
        <v>26</v>
      </c>
      <c r="E739" t="str">
        <f>"99999"</f>
        <v>99999</v>
      </c>
      <c r="F739" t="str">
        <f t="shared" si="52"/>
        <v>0000</v>
      </c>
    </row>
    <row r="740" spans="1:6">
      <c r="C740" t="str">
        <f t="shared" si="51"/>
        <v>4</v>
      </c>
      <c r="D740">
        <v>26</v>
      </c>
      <c r="E740" t="str">
        <f>"822"</f>
        <v>822</v>
      </c>
      <c r="F740" t="str">
        <f t="shared" si="52"/>
        <v>0000</v>
      </c>
    </row>
    <row r="741" spans="1:6">
      <c r="C741" t="str">
        <f t="shared" si="51"/>
        <v>4</v>
      </c>
      <c r="D741">
        <v>26</v>
      </c>
      <c r="E741" t="str">
        <f>"549"</f>
        <v>549</v>
      </c>
      <c r="F741" t="str">
        <f t="shared" si="52"/>
        <v>0000</v>
      </c>
    </row>
    <row r="742" spans="1:6">
      <c r="C742" t="str">
        <f t="shared" si="51"/>
        <v>4</v>
      </c>
      <c r="D742">
        <v>26</v>
      </c>
      <c r="E742" t="str">
        <f>"447"</f>
        <v>447</v>
      </c>
      <c r="F742" t="str">
        <f t="shared" si="52"/>
        <v>0000</v>
      </c>
    </row>
    <row r="743" spans="1:6">
      <c r="C743" t="str">
        <f t="shared" si="51"/>
        <v>4</v>
      </c>
      <c r="D743">
        <v>26</v>
      </c>
      <c r="E743" t="str">
        <f>"439"</f>
        <v>439</v>
      </c>
      <c r="F743" t="str">
        <f t="shared" si="52"/>
        <v>0000</v>
      </c>
    </row>
    <row r="744" spans="1:6">
      <c r="C744" t="str">
        <f t="shared" si="51"/>
        <v>4</v>
      </c>
      <c r="D744">
        <v>26</v>
      </c>
      <c r="E744" t="str">
        <f>"437"</f>
        <v>437</v>
      </c>
      <c r="F744" t="str">
        <f t="shared" si="52"/>
        <v>0000</v>
      </c>
    </row>
    <row r="745" spans="1:6">
      <c r="C745" t="str">
        <f t="shared" si="51"/>
        <v>4</v>
      </c>
      <c r="D745">
        <v>26</v>
      </c>
      <c r="E745" t="str">
        <f>"419"</f>
        <v>419</v>
      </c>
      <c r="F745" t="str">
        <f t="shared" si="52"/>
        <v>0000</v>
      </c>
    </row>
    <row r="746" spans="1:6">
      <c r="C746" t="str">
        <f t="shared" si="51"/>
        <v>4</v>
      </c>
      <c r="D746">
        <v>26</v>
      </c>
      <c r="E746" t="str">
        <f>"413"</f>
        <v>413</v>
      </c>
      <c r="F746" t="str">
        <f t="shared" si="52"/>
        <v>0000</v>
      </c>
    </row>
    <row r="747" spans="1:6">
      <c r="C747" t="str">
        <f t="shared" si="51"/>
        <v>4</v>
      </c>
      <c r="D747">
        <v>26</v>
      </c>
      <c r="E747" t="str">
        <f>"268"</f>
        <v>268</v>
      </c>
      <c r="F747" t="str">
        <f t="shared" si="52"/>
        <v>0000</v>
      </c>
    </row>
    <row r="748" spans="1:6">
      <c r="C748" t="str">
        <f t="shared" si="51"/>
        <v>4</v>
      </c>
      <c r="D748">
        <v>26</v>
      </c>
      <c r="E748" t="str">
        <f>"271"</f>
        <v>271</v>
      </c>
      <c r="F748" t="str">
        <f t="shared" si="52"/>
        <v>0000</v>
      </c>
    </row>
    <row r="749" spans="1:6">
      <c r="C749" t="str">
        <f t="shared" si="51"/>
        <v>4</v>
      </c>
      <c r="D749">
        <v>26</v>
      </c>
      <c r="E749" t="str">
        <f>"270"</f>
        <v>270</v>
      </c>
      <c r="F749" t="str">
        <f t="shared" si="52"/>
        <v>0000</v>
      </c>
    </row>
    <row r="750" spans="1:6">
      <c r="A750" t="str">
        <f>"E1203-232"</f>
        <v>E1203-232</v>
      </c>
      <c r="B750" t="str">
        <f>"VIA P NEGROTTO CAMBIASO VICINO AL 121-"</f>
        <v>VIA P NEGROTTO CAMBIASO VICINO AL 121-</v>
      </c>
      <c r="C750" t="str">
        <f t="shared" ref="C750:C813" si="53">"4"</f>
        <v>4</v>
      </c>
      <c r="D750">
        <v>26</v>
      </c>
      <c r="E750" t="str">
        <f>"267"</f>
        <v>267</v>
      </c>
      <c r="F750" t="str">
        <f t="shared" ref="F750:F813" si="54">"0000"</f>
        <v>0000</v>
      </c>
    </row>
    <row r="751" spans="1:6">
      <c r="C751" t="str">
        <f t="shared" si="53"/>
        <v>4</v>
      </c>
      <c r="D751">
        <v>26</v>
      </c>
      <c r="E751" t="str">
        <f>"268"</f>
        <v>268</v>
      </c>
      <c r="F751" t="str">
        <f t="shared" si="54"/>
        <v>0000</v>
      </c>
    </row>
    <row r="752" spans="1:6">
      <c r="C752" t="str">
        <f t="shared" si="53"/>
        <v>4</v>
      </c>
      <c r="D752">
        <v>26</v>
      </c>
      <c r="E752" t="str">
        <f>"271"</f>
        <v>271</v>
      </c>
      <c r="F752" t="str">
        <f t="shared" si="54"/>
        <v>0000</v>
      </c>
    </row>
    <row r="753" spans="1:6">
      <c r="C753" t="str">
        <f t="shared" si="53"/>
        <v>4</v>
      </c>
      <c r="D753">
        <v>26</v>
      </c>
      <c r="E753" t="str">
        <f>"419"</f>
        <v>419</v>
      </c>
      <c r="F753" t="str">
        <f t="shared" si="54"/>
        <v>0000</v>
      </c>
    </row>
    <row r="754" spans="1:6">
      <c r="C754" t="str">
        <f t="shared" si="53"/>
        <v>4</v>
      </c>
      <c r="D754">
        <v>26</v>
      </c>
      <c r="E754" t="str">
        <f>"439"</f>
        <v>439</v>
      </c>
      <c r="F754" t="str">
        <f t="shared" si="54"/>
        <v>0000</v>
      </c>
    </row>
    <row r="755" spans="1:6">
      <c r="C755" t="str">
        <f t="shared" si="53"/>
        <v>4</v>
      </c>
      <c r="D755">
        <v>26</v>
      </c>
      <c r="E755" t="str">
        <f>"99999"</f>
        <v>99999</v>
      </c>
      <c r="F755" t="str">
        <f t="shared" si="54"/>
        <v>0000</v>
      </c>
    </row>
    <row r="756" spans="1:6">
      <c r="C756" t="str">
        <f t="shared" si="53"/>
        <v>4</v>
      </c>
      <c r="D756">
        <v>26</v>
      </c>
      <c r="E756" t="str">
        <f>"822"</f>
        <v>822</v>
      </c>
      <c r="F756" t="str">
        <f t="shared" si="54"/>
        <v>0000</v>
      </c>
    </row>
    <row r="757" spans="1:6">
      <c r="C757" t="str">
        <f t="shared" si="53"/>
        <v>4</v>
      </c>
      <c r="D757">
        <v>26</v>
      </c>
      <c r="E757" t="str">
        <f>"549"</f>
        <v>549</v>
      </c>
      <c r="F757" t="str">
        <f t="shared" si="54"/>
        <v>0000</v>
      </c>
    </row>
    <row r="758" spans="1:6">
      <c r="C758" t="str">
        <f t="shared" si="53"/>
        <v>4</v>
      </c>
      <c r="D758">
        <v>26</v>
      </c>
      <c r="E758" t="str">
        <f>"447"</f>
        <v>447</v>
      </c>
      <c r="F758" t="str">
        <f t="shared" si="54"/>
        <v>0000</v>
      </c>
    </row>
    <row r="759" spans="1:6">
      <c r="C759" t="str">
        <f t="shared" si="53"/>
        <v>4</v>
      </c>
      <c r="D759">
        <v>26</v>
      </c>
      <c r="E759" t="str">
        <f>"437"</f>
        <v>437</v>
      </c>
      <c r="F759" t="str">
        <f t="shared" si="54"/>
        <v>0000</v>
      </c>
    </row>
    <row r="760" spans="1:6">
      <c r="C760" t="str">
        <f t="shared" si="53"/>
        <v>4</v>
      </c>
      <c r="D760">
        <v>26</v>
      </c>
      <c r="E760" t="str">
        <f>"413"</f>
        <v>413</v>
      </c>
      <c r="F760" t="str">
        <f t="shared" si="54"/>
        <v>0000</v>
      </c>
    </row>
    <row r="761" spans="1:6">
      <c r="C761" t="str">
        <f t="shared" si="53"/>
        <v>4</v>
      </c>
      <c r="D761">
        <v>26</v>
      </c>
      <c r="E761" t="str">
        <f>"270"</f>
        <v>270</v>
      </c>
      <c r="F761" t="str">
        <f t="shared" si="54"/>
        <v>0000</v>
      </c>
    </row>
    <row r="762" spans="1:6">
      <c r="A762" t="str">
        <f>"E1203-233"</f>
        <v>E1203-233</v>
      </c>
      <c r="B762" t="str">
        <f>"VIA P NEGROTTO CAMBIASO VICINO AL 121-"</f>
        <v>VIA P NEGROTTO CAMBIASO VICINO AL 121-</v>
      </c>
      <c r="C762" t="str">
        <f t="shared" si="53"/>
        <v>4</v>
      </c>
      <c r="D762">
        <v>26</v>
      </c>
      <c r="E762" t="str">
        <f>"267"</f>
        <v>267</v>
      </c>
      <c r="F762" t="str">
        <f t="shared" si="54"/>
        <v>0000</v>
      </c>
    </row>
    <row r="763" spans="1:6">
      <c r="C763" t="str">
        <f t="shared" si="53"/>
        <v>4</v>
      </c>
      <c r="D763">
        <v>26</v>
      </c>
      <c r="E763" t="str">
        <f>"99999"</f>
        <v>99999</v>
      </c>
      <c r="F763" t="str">
        <f t="shared" si="54"/>
        <v>0000</v>
      </c>
    </row>
    <row r="764" spans="1:6">
      <c r="C764" t="str">
        <f t="shared" si="53"/>
        <v>4</v>
      </c>
      <c r="D764">
        <v>26</v>
      </c>
      <c r="E764" t="str">
        <f>"822"</f>
        <v>822</v>
      </c>
      <c r="F764" t="str">
        <f t="shared" si="54"/>
        <v>0000</v>
      </c>
    </row>
    <row r="765" spans="1:6">
      <c r="C765" t="str">
        <f t="shared" si="53"/>
        <v>4</v>
      </c>
      <c r="D765">
        <v>26</v>
      </c>
      <c r="E765" t="str">
        <f>"549"</f>
        <v>549</v>
      </c>
      <c r="F765" t="str">
        <f t="shared" si="54"/>
        <v>0000</v>
      </c>
    </row>
    <row r="766" spans="1:6">
      <c r="C766" t="str">
        <f t="shared" si="53"/>
        <v>4</v>
      </c>
      <c r="D766">
        <v>26</v>
      </c>
      <c r="E766" t="str">
        <f>"447"</f>
        <v>447</v>
      </c>
      <c r="F766" t="str">
        <f t="shared" si="54"/>
        <v>0000</v>
      </c>
    </row>
    <row r="767" spans="1:6">
      <c r="C767" t="str">
        <f t="shared" si="53"/>
        <v>4</v>
      </c>
      <c r="D767">
        <v>26</v>
      </c>
      <c r="E767" t="str">
        <f>"439"</f>
        <v>439</v>
      </c>
      <c r="F767" t="str">
        <f t="shared" si="54"/>
        <v>0000</v>
      </c>
    </row>
    <row r="768" spans="1:6">
      <c r="C768" t="str">
        <f t="shared" si="53"/>
        <v>4</v>
      </c>
      <c r="D768">
        <v>26</v>
      </c>
      <c r="E768" t="str">
        <f>"437"</f>
        <v>437</v>
      </c>
      <c r="F768" t="str">
        <f t="shared" si="54"/>
        <v>0000</v>
      </c>
    </row>
    <row r="769" spans="1:6">
      <c r="C769" t="str">
        <f t="shared" si="53"/>
        <v>4</v>
      </c>
      <c r="D769">
        <v>26</v>
      </c>
      <c r="E769" t="str">
        <f>"419"</f>
        <v>419</v>
      </c>
      <c r="F769" t="str">
        <f t="shared" si="54"/>
        <v>0000</v>
      </c>
    </row>
    <row r="770" spans="1:6">
      <c r="C770" t="str">
        <f t="shared" si="53"/>
        <v>4</v>
      </c>
      <c r="D770">
        <v>26</v>
      </c>
      <c r="E770" t="str">
        <f>"413"</f>
        <v>413</v>
      </c>
      <c r="F770" t="str">
        <f t="shared" si="54"/>
        <v>0000</v>
      </c>
    </row>
    <row r="771" spans="1:6">
      <c r="C771" t="str">
        <f t="shared" si="53"/>
        <v>4</v>
      </c>
      <c r="D771">
        <v>26</v>
      </c>
      <c r="E771" t="str">
        <f>"268"</f>
        <v>268</v>
      </c>
      <c r="F771" t="str">
        <f t="shared" si="54"/>
        <v>0000</v>
      </c>
    </row>
    <row r="772" spans="1:6">
      <c r="C772" t="str">
        <f t="shared" si="53"/>
        <v>4</v>
      </c>
      <c r="D772">
        <v>26</v>
      </c>
      <c r="E772" t="str">
        <f>"271"</f>
        <v>271</v>
      </c>
      <c r="F772" t="str">
        <f t="shared" si="54"/>
        <v>0000</v>
      </c>
    </row>
    <row r="773" spans="1:6">
      <c r="C773" t="str">
        <f t="shared" si="53"/>
        <v>4</v>
      </c>
      <c r="D773">
        <v>26</v>
      </c>
      <c r="E773" t="str">
        <f>"270"</f>
        <v>270</v>
      </c>
      <c r="F773" t="str">
        <f t="shared" si="54"/>
        <v>0000</v>
      </c>
    </row>
    <row r="774" spans="1:6">
      <c r="A774" t="str">
        <f>"E1203-234"</f>
        <v>E1203-234</v>
      </c>
      <c r="B774" t="str">
        <f>"VIA P NEGROTTO CAMBIASO VICINO AL 121-"</f>
        <v>VIA P NEGROTTO CAMBIASO VICINO AL 121-</v>
      </c>
      <c r="C774" t="str">
        <f t="shared" si="53"/>
        <v>4</v>
      </c>
      <c r="D774">
        <v>26</v>
      </c>
      <c r="E774" t="str">
        <f>"267"</f>
        <v>267</v>
      </c>
      <c r="F774" t="str">
        <f t="shared" si="54"/>
        <v>0000</v>
      </c>
    </row>
    <row r="775" spans="1:6">
      <c r="C775" t="str">
        <f t="shared" si="53"/>
        <v>4</v>
      </c>
      <c r="D775">
        <v>26</v>
      </c>
      <c r="E775" t="str">
        <f>"268"</f>
        <v>268</v>
      </c>
      <c r="F775" t="str">
        <f t="shared" si="54"/>
        <v>0000</v>
      </c>
    </row>
    <row r="776" spans="1:6">
      <c r="C776" t="str">
        <f t="shared" si="53"/>
        <v>4</v>
      </c>
      <c r="D776">
        <v>26</v>
      </c>
      <c r="E776" t="str">
        <f>"271"</f>
        <v>271</v>
      </c>
      <c r="F776" t="str">
        <f t="shared" si="54"/>
        <v>0000</v>
      </c>
    </row>
    <row r="777" spans="1:6">
      <c r="C777" t="str">
        <f t="shared" si="53"/>
        <v>4</v>
      </c>
      <c r="D777">
        <v>26</v>
      </c>
      <c r="E777" t="str">
        <f>"419"</f>
        <v>419</v>
      </c>
      <c r="F777" t="str">
        <f t="shared" si="54"/>
        <v>0000</v>
      </c>
    </row>
    <row r="778" spans="1:6">
      <c r="C778" t="str">
        <f t="shared" si="53"/>
        <v>4</v>
      </c>
      <c r="D778">
        <v>26</v>
      </c>
      <c r="E778" t="str">
        <f>"439"</f>
        <v>439</v>
      </c>
      <c r="F778" t="str">
        <f t="shared" si="54"/>
        <v>0000</v>
      </c>
    </row>
    <row r="779" spans="1:6">
      <c r="C779" t="str">
        <f t="shared" si="53"/>
        <v>4</v>
      </c>
      <c r="D779">
        <v>26</v>
      </c>
      <c r="E779" t="str">
        <f>"99999"</f>
        <v>99999</v>
      </c>
      <c r="F779" t="str">
        <f t="shared" si="54"/>
        <v>0000</v>
      </c>
    </row>
    <row r="780" spans="1:6">
      <c r="C780" t="str">
        <f t="shared" si="53"/>
        <v>4</v>
      </c>
      <c r="D780">
        <v>26</v>
      </c>
      <c r="E780" t="str">
        <f>"822"</f>
        <v>822</v>
      </c>
      <c r="F780" t="str">
        <f t="shared" si="54"/>
        <v>0000</v>
      </c>
    </row>
    <row r="781" spans="1:6">
      <c r="C781" t="str">
        <f t="shared" si="53"/>
        <v>4</v>
      </c>
      <c r="D781">
        <v>26</v>
      </c>
      <c r="E781" t="str">
        <f>"549"</f>
        <v>549</v>
      </c>
      <c r="F781" t="str">
        <f t="shared" si="54"/>
        <v>0000</v>
      </c>
    </row>
    <row r="782" spans="1:6">
      <c r="C782" t="str">
        <f t="shared" si="53"/>
        <v>4</v>
      </c>
      <c r="D782">
        <v>26</v>
      </c>
      <c r="E782" t="str">
        <f>"447"</f>
        <v>447</v>
      </c>
      <c r="F782" t="str">
        <f t="shared" si="54"/>
        <v>0000</v>
      </c>
    </row>
    <row r="783" spans="1:6">
      <c r="C783" t="str">
        <f t="shared" si="53"/>
        <v>4</v>
      </c>
      <c r="D783">
        <v>26</v>
      </c>
      <c r="E783" t="str">
        <f>"437"</f>
        <v>437</v>
      </c>
      <c r="F783" t="str">
        <f t="shared" si="54"/>
        <v>0000</v>
      </c>
    </row>
    <row r="784" spans="1:6">
      <c r="C784" t="str">
        <f t="shared" si="53"/>
        <v>4</v>
      </c>
      <c r="D784">
        <v>26</v>
      </c>
      <c r="E784" t="str">
        <f>"413"</f>
        <v>413</v>
      </c>
      <c r="F784" t="str">
        <f t="shared" si="54"/>
        <v>0000</v>
      </c>
    </row>
    <row r="785" spans="1:6">
      <c r="C785" t="str">
        <f t="shared" si="53"/>
        <v>4</v>
      </c>
      <c r="D785">
        <v>26</v>
      </c>
      <c r="E785" t="str">
        <f>"270"</f>
        <v>270</v>
      </c>
      <c r="F785" t="str">
        <f t="shared" si="54"/>
        <v>0000</v>
      </c>
    </row>
    <row r="786" spans="1:6">
      <c r="A786" t="str">
        <f>"E1203-235"</f>
        <v>E1203-235</v>
      </c>
      <c r="B786" t="str">
        <f>"VIA P NEGROTTO CAMBIASO VICINO AL 121-"</f>
        <v>VIA P NEGROTTO CAMBIASO VICINO AL 121-</v>
      </c>
      <c r="C786" t="str">
        <f t="shared" si="53"/>
        <v>4</v>
      </c>
      <c r="D786">
        <v>26</v>
      </c>
      <c r="E786" t="str">
        <f>"267"</f>
        <v>267</v>
      </c>
      <c r="F786" t="str">
        <f t="shared" si="54"/>
        <v>0000</v>
      </c>
    </row>
    <row r="787" spans="1:6">
      <c r="C787" t="str">
        <f t="shared" si="53"/>
        <v>4</v>
      </c>
      <c r="D787">
        <v>26</v>
      </c>
      <c r="E787" t="str">
        <f>"99999"</f>
        <v>99999</v>
      </c>
      <c r="F787" t="str">
        <f t="shared" si="54"/>
        <v>0000</v>
      </c>
    </row>
    <row r="788" spans="1:6">
      <c r="C788" t="str">
        <f t="shared" si="53"/>
        <v>4</v>
      </c>
      <c r="D788">
        <v>26</v>
      </c>
      <c r="E788" t="str">
        <f>"822"</f>
        <v>822</v>
      </c>
      <c r="F788" t="str">
        <f t="shared" si="54"/>
        <v>0000</v>
      </c>
    </row>
    <row r="789" spans="1:6">
      <c r="C789" t="str">
        <f t="shared" si="53"/>
        <v>4</v>
      </c>
      <c r="D789">
        <v>26</v>
      </c>
      <c r="E789" t="str">
        <f>"549"</f>
        <v>549</v>
      </c>
      <c r="F789" t="str">
        <f t="shared" si="54"/>
        <v>0000</v>
      </c>
    </row>
    <row r="790" spans="1:6">
      <c r="C790" t="str">
        <f t="shared" si="53"/>
        <v>4</v>
      </c>
      <c r="D790">
        <v>26</v>
      </c>
      <c r="E790" t="str">
        <f>"447"</f>
        <v>447</v>
      </c>
      <c r="F790" t="str">
        <f t="shared" si="54"/>
        <v>0000</v>
      </c>
    </row>
    <row r="791" spans="1:6">
      <c r="C791" t="str">
        <f t="shared" si="53"/>
        <v>4</v>
      </c>
      <c r="D791">
        <v>26</v>
      </c>
      <c r="E791" t="str">
        <f>"439"</f>
        <v>439</v>
      </c>
      <c r="F791" t="str">
        <f t="shared" si="54"/>
        <v>0000</v>
      </c>
    </row>
    <row r="792" spans="1:6">
      <c r="C792" t="str">
        <f t="shared" si="53"/>
        <v>4</v>
      </c>
      <c r="D792">
        <v>26</v>
      </c>
      <c r="E792" t="str">
        <f>"437"</f>
        <v>437</v>
      </c>
      <c r="F792" t="str">
        <f t="shared" si="54"/>
        <v>0000</v>
      </c>
    </row>
    <row r="793" spans="1:6">
      <c r="C793" t="str">
        <f t="shared" si="53"/>
        <v>4</v>
      </c>
      <c r="D793">
        <v>26</v>
      </c>
      <c r="E793" t="str">
        <f>"419"</f>
        <v>419</v>
      </c>
      <c r="F793" t="str">
        <f t="shared" si="54"/>
        <v>0000</v>
      </c>
    </row>
    <row r="794" spans="1:6">
      <c r="C794" t="str">
        <f t="shared" si="53"/>
        <v>4</v>
      </c>
      <c r="D794">
        <v>26</v>
      </c>
      <c r="E794" t="str">
        <f>"413"</f>
        <v>413</v>
      </c>
      <c r="F794" t="str">
        <f t="shared" si="54"/>
        <v>0000</v>
      </c>
    </row>
    <row r="795" spans="1:6">
      <c r="C795" t="str">
        <f t="shared" si="53"/>
        <v>4</v>
      </c>
      <c r="D795">
        <v>26</v>
      </c>
      <c r="E795" t="str">
        <f>"268"</f>
        <v>268</v>
      </c>
      <c r="F795" t="str">
        <f t="shared" si="54"/>
        <v>0000</v>
      </c>
    </row>
    <row r="796" spans="1:6">
      <c r="C796" t="str">
        <f t="shared" si="53"/>
        <v>4</v>
      </c>
      <c r="D796">
        <v>26</v>
      </c>
      <c r="E796" t="str">
        <f>"271"</f>
        <v>271</v>
      </c>
      <c r="F796" t="str">
        <f t="shared" si="54"/>
        <v>0000</v>
      </c>
    </row>
    <row r="797" spans="1:6">
      <c r="C797" t="str">
        <f t="shared" si="53"/>
        <v>4</v>
      </c>
      <c r="D797">
        <v>26</v>
      </c>
      <c r="E797" t="str">
        <f>"270"</f>
        <v>270</v>
      </c>
      <c r="F797" t="str">
        <f t="shared" si="54"/>
        <v>0000</v>
      </c>
    </row>
    <row r="798" spans="1:6">
      <c r="A798" t="str">
        <f>"E1203-236"</f>
        <v>E1203-236</v>
      </c>
      <c r="B798" t="str">
        <f>"VIA P NEGROTTO CAMBIASO VICINO AL 121-"</f>
        <v>VIA P NEGROTTO CAMBIASO VICINO AL 121-</v>
      </c>
      <c r="C798" t="str">
        <f t="shared" si="53"/>
        <v>4</v>
      </c>
      <c r="D798">
        <v>26</v>
      </c>
      <c r="E798" t="str">
        <f>"267"</f>
        <v>267</v>
      </c>
      <c r="F798" t="str">
        <f t="shared" si="54"/>
        <v>0000</v>
      </c>
    </row>
    <row r="799" spans="1:6">
      <c r="C799" t="str">
        <f t="shared" si="53"/>
        <v>4</v>
      </c>
      <c r="D799">
        <v>26</v>
      </c>
      <c r="E799" t="str">
        <f>"268"</f>
        <v>268</v>
      </c>
      <c r="F799" t="str">
        <f t="shared" si="54"/>
        <v>0000</v>
      </c>
    </row>
    <row r="800" spans="1:6">
      <c r="C800" t="str">
        <f t="shared" si="53"/>
        <v>4</v>
      </c>
      <c r="D800">
        <v>26</v>
      </c>
      <c r="E800" t="str">
        <f>"271"</f>
        <v>271</v>
      </c>
      <c r="F800" t="str">
        <f t="shared" si="54"/>
        <v>0000</v>
      </c>
    </row>
    <row r="801" spans="1:6">
      <c r="C801" t="str">
        <f t="shared" si="53"/>
        <v>4</v>
      </c>
      <c r="D801">
        <v>26</v>
      </c>
      <c r="E801" t="str">
        <f>"419"</f>
        <v>419</v>
      </c>
      <c r="F801" t="str">
        <f t="shared" si="54"/>
        <v>0000</v>
      </c>
    </row>
    <row r="802" spans="1:6">
      <c r="C802" t="str">
        <f t="shared" si="53"/>
        <v>4</v>
      </c>
      <c r="D802">
        <v>26</v>
      </c>
      <c r="E802" t="str">
        <f>"439"</f>
        <v>439</v>
      </c>
      <c r="F802" t="str">
        <f t="shared" si="54"/>
        <v>0000</v>
      </c>
    </row>
    <row r="803" spans="1:6">
      <c r="C803" t="str">
        <f t="shared" si="53"/>
        <v>4</v>
      </c>
      <c r="D803">
        <v>26</v>
      </c>
      <c r="E803" t="str">
        <f>"99999"</f>
        <v>99999</v>
      </c>
      <c r="F803" t="str">
        <f t="shared" si="54"/>
        <v>0000</v>
      </c>
    </row>
    <row r="804" spans="1:6">
      <c r="C804" t="str">
        <f t="shared" si="53"/>
        <v>4</v>
      </c>
      <c r="D804">
        <v>26</v>
      </c>
      <c r="E804" t="str">
        <f>"822"</f>
        <v>822</v>
      </c>
      <c r="F804" t="str">
        <f t="shared" si="54"/>
        <v>0000</v>
      </c>
    </row>
    <row r="805" spans="1:6">
      <c r="C805" t="str">
        <f t="shared" si="53"/>
        <v>4</v>
      </c>
      <c r="D805">
        <v>26</v>
      </c>
      <c r="E805" t="str">
        <f>"549"</f>
        <v>549</v>
      </c>
      <c r="F805" t="str">
        <f t="shared" si="54"/>
        <v>0000</v>
      </c>
    </row>
    <row r="806" spans="1:6">
      <c r="C806" t="str">
        <f t="shared" si="53"/>
        <v>4</v>
      </c>
      <c r="D806">
        <v>26</v>
      </c>
      <c r="E806" t="str">
        <f>"447"</f>
        <v>447</v>
      </c>
      <c r="F806" t="str">
        <f t="shared" si="54"/>
        <v>0000</v>
      </c>
    </row>
    <row r="807" spans="1:6">
      <c r="C807" t="str">
        <f t="shared" si="53"/>
        <v>4</v>
      </c>
      <c r="D807">
        <v>26</v>
      </c>
      <c r="E807" t="str">
        <f>"437"</f>
        <v>437</v>
      </c>
      <c r="F807" t="str">
        <f t="shared" si="54"/>
        <v>0000</v>
      </c>
    </row>
    <row r="808" spans="1:6">
      <c r="C808" t="str">
        <f t="shared" si="53"/>
        <v>4</v>
      </c>
      <c r="D808">
        <v>26</v>
      </c>
      <c r="E808" t="str">
        <f>"413"</f>
        <v>413</v>
      </c>
      <c r="F808" t="str">
        <f t="shared" si="54"/>
        <v>0000</v>
      </c>
    </row>
    <row r="809" spans="1:6">
      <c r="C809" t="str">
        <f t="shared" si="53"/>
        <v>4</v>
      </c>
      <c r="D809">
        <v>26</v>
      </c>
      <c r="E809" t="str">
        <f>"270"</f>
        <v>270</v>
      </c>
      <c r="F809" t="str">
        <f t="shared" si="54"/>
        <v>0000</v>
      </c>
    </row>
    <row r="810" spans="1:6">
      <c r="A810" t="str">
        <f>"E1203-237"</f>
        <v>E1203-237</v>
      </c>
      <c r="B810" t="str">
        <f>"VIA P NEGROTTO CAMBIASO VICINO AL 121-"</f>
        <v>VIA P NEGROTTO CAMBIASO VICINO AL 121-</v>
      </c>
      <c r="C810" t="str">
        <f t="shared" si="53"/>
        <v>4</v>
      </c>
      <c r="D810">
        <v>26</v>
      </c>
      <c r="E810" t="str">
        <f>"267"</f>
        <v>267</v>
      </c>
      <c r="F810" t="str">
        <f t="shared" si="54"/>
        <v>0000</v>
      </c>
    </row>
    <row r="811" spans="1:6">
      <c r="C811" t="str">
        <f t="shared" si="53"/>
        <v>4</v>
      </c>
      <c r="D811">
        <v>26</v>
      </c>
      <c r="E811" t="str">
        <f>"99999"</f>
        <v>99999</v>
      </c>
      <c r="F811" t="str">
        <f t="shared" si="54"/>
        <v>0000</v>
      </c>
    </row>
    <row r="812" spans="1:6">
      <c r="C812" t="str">
        <f t="shared" si="53"/>
        <v>4</v>
      </c>
      <c r="D812">
        <v>26</v>
      </c>
      <c r="E812" t="str">
        <f>"822"</f>
        <v>822</v>
      </c>
      <c r="F812" t="str">
        <f t="shared" si="54"/>
        <v>0000</v>
      </c>
    </row>
    <row r="813" spans="1:6">
      <c r="C813" t="str">
        <f t="shared" si="53"/>
        <v>4</v>
      </c>
      <c r="D813">
        <v>26</v>
      </c>
      <c r="E813" t="str">
        <f>"549"</f>
        <v>549</v>
      </c>
      <c r="F813" t="str">
        <f t="shared" si="54"/>
        <v>0000</v>
      </c>
    </row>
    <row r="814" spans="1:6">
      <c r="C814" t="str">
        <f t="shared" ref="C814:C877" si="55">"4"</f>
        <v>4</v>
      </c>
      <c r="D814">
        <v>26</v>
      </c>
      <c r="E814" t="str">
        <f>"447"</f>
        <v>447</v>
      </c>
      <c r="F814" t="str">
        <f t="shared" ref="F814:F877" si="56">"0000"</f>
        <v>0000</v>
      </c>
    </row>
    <row r="815" spans="1:6">
      <c r="C815" t="str">
        <f t="shared" si="55"/>
        <v>4</v>
      </c>
      <c r="D815">
        <v>26</v>
      </c>
      <c r="E815" t="str">
        <f>"439"</f>
        <v>439</v>
      </c>
      <c r="F815" t="str">
        <f t="shared" si="56"/>
        <v>0000</v>
      </c>
    </row>
    <row r="816" spans="1:6">
      <c r="C816" t="str">
        <f t="shared" si="55"/>
        <v>4</v>
      </c>
      <c r="D816">
        <v>26</v>
      </c>
      <c r="E816" t="str">
        <f>"437"</f>
        <v>437</v>
      </c>
      <c r="F816" t="str">
        <f t="shared" si="56"/>
        <v>0000</v>
      </c>
    </row>
    <row r="817" spans="1:6">
      <c r="C817" t="str">
        <f t="shared" si="55"/>
        <v>4</v>
      </c>
      <c r="D817">
        <v>26</v>
      </c>
      <c r="E817" t="str">
        <f>"419"</f>
        <v>419</v>
      </c>
      <c r="F817" t="str">
        <f t="shared" si="56"/>
        <v>0000</v>
      </c>
    </row>
    <row r="818" spans="1:6">
      <c r="C818" t="str">
        <f t="shared" si="55"/>
        <v>4</v>
      </c>
      <c r="D818">
        <v>26</v>
      </c>
      <c r="E818" t="str">
        <f>"413"</f>
        <v>413</v>
      </c>
      <c r="F818" t="str">
        <f t="shared" si="56"/>
        <v>0000</v>
      </c>
    </row>
    <row r="819" spans="1:6">
      <c r="C819" t="str">
        <f t="shared" si="55"/>
        <v>4</v>
      </c>
      <c r="D819">
        <v>26</v>
      </c>
      <c r="E819" t="str">
        <f>"268"</f>
        <v>268</v>
      </c>
      <c r="F819" t="str">
        <f t="shared" si="56"/>
        <v>0000</v>
      </c>
    </row>
    <row r="820" spans="1:6">
      <c r="C820" t="str">
        <f t="shared" si="55"/>
        <v>4</v>
      </c>
      <c r="D820">
        <v>26</v>
      </c>
      <c r="E820" t="str">
        <f>"271"</f>
        <v>271</v>
      </c>
      <c r="F820" t="str">
        <f t="shared" si="56"/>
        <v>0000</v>
      </c>
    </row>
    <row r="821" spans="1:6">
      <c r="C821" t="str">
        <f t="shared" si="55"/>
        <v>4</v>
      </c>
      <c r="D821">
        <v>26</v>
      </c>
      <c r="E821" t="str">
        <f>"270"</f>
        <v>270</v>
      </c>
      <c r="F821" t="str">
        <f t="shared" si="56"/>
        <v>0000</v>
      </c>
    </row>
    <row r="822" spans="1:6">
      <c r="A822" t="str">
        <f>"E1203-238"</f>
        <v>E1203-238</v>
      </c>
      <c r="B822" t="str">
        <f>"VIA CARLO LINNEO VICINO AL 182-"</f>
        <v>VIA CARLO LINNEO VICINO AL 182-</v>
      </c>
      <c r="C822" t="str">
        <f t="shared" si="55"/>
        <v>4</v>
      </c>
      <c r="D822">
        <v>26</v>
      </c>
      <c r="E822" t="str">
        <f>"267"</f>
        <v>267</v>
      </c>
      <c r="F822" t="str">
        <f t="shared" si="56"/>
        <v>0000</v>
      </c>
    </row>
    <row r="823" spans="1:6">
      <c r="C823" t="str">
        <f t="shared" si="55"/>
        <v>4</v>
      </c>
      <c r="D823">
        <v>26</v>
      </c>
      <c r="E823" t="str">
        <f>"268"</f>
        <v>268</v>
      </c>
      <c r="F823" t="str">
        <f t="shared" si="56"/>
        <v>0000</v>
      </c>
    </row>
    <row r="824" spans="1:6">
      <c r="C824" t="str">
        <f t="shared" si="55"/>
        <v>4</v>
      </c>
      <c r="D824">
        <v>26</v>
      </c>
      <c r="E824" t="str">
        <f>"271"</f>
        <v>271</v>
      </c>
      <c r="F824" t="str">
        <f t="shared" si="56"/>
        <v>0000</v>
      </c>
    </row>
    <row r="825" spans="1:6">
      <c r="C825" t="str">
        <f t="shared" si="55"/>
        <v>4</v>
      </c>
      <c r="D825">
        <v>26</v>
      </c>
      <c r="E825" t="str">
        <f>"419"</f>
        <v>419</v>
      </c>
      <c r="F825" t="str">
        <f t="shared" si="56"/>
        <v>0000</v>
      </c>
    </row>
    <row r="826" spans="1:6">
      <c r="C826" t="str">
        <f t="shared" si="55"/>
        <v>4</v>
      </c>
      <c r="D826">
        <v>26</v>
      </c>
      <c r="E826" t="str">
        <f>"439"</f>
        <v>439</v>
      </c>
      <c r="F826" t="str">
        <f t="shared" si="56"/>
        <v>0000</v>
      </c>
    </row>
    <row r="827" spans="1:6">
      <c r="C827" t="str">
        <f t="shared" si="55"/>
        <v>4</v>
      </c>
      <c r="D827">
        <v>26</v>
      </c>
      <c r="E827" t="str">
        <f>"99999"</f>
        <v>99999</v>
      </c>
      <c r="F827" t="str">
        <f t="shared" si="56"/>
        <v>0000</v>
      </c>
    </row>
    <row r="828" spans="1:6">
      <c r="C828" t="str">
        <f t="shared" si="55"/>
        <v>4</v>
      </c>
      <c r="D828">
        <v>26</v>
      </c>
      <c r="E828" t="str">
        <f>"822"</f>
        <v>822</v>
      </c>
      <c r="F828" t="str">
        <f t="shared" si="56"/>
        <v>0000</v>
      </c>
    </row>
    <row r="829" spans="1:6">
      <c r="C829" t="str">
        <f t="shared" si="55"/>
        <v>4</v>
      </c>
      <c r="D829">
        <v>26</v>
      </c>
      <c r="E829" t="str">
        <f>"549"</f>
        <v>549</v>
      </c>
      <c r="F829" t="str">
        <f t="shared" si="56"/>
        <v>0000</v>
      </c>
    </row>
    <row r="830" spans="1:6">
      <c r="C830" t="str">
        <f t="shared" si="55"/>
        <v>4</v>
      </c>
      <c r="D830">
        <v>26</v>
      </c>
      <c r="E830" t="str">
        <f>"447"</f>
        <v>447</v>
      </c>
      <c r="F830" t="str">
        <f t="shared" si="56"/>
        <v>0000</v>
      </c>
    </row>
    <row r="831" spans="1:6">
      <c r="C831" t="str">
        <f t="shared" si="55"/>
        <v>4</v>
      </c>
      <c r="D831">
        <v>26</v>
      </c>
      <c r="E831" t="str">
        <f>"437"</f>
        <v>437</v>
      </c>
      <c r="F831" t="str">
        <f t="shared" si="56"/>
        <v>0000</v>
      </c>
    </row>
    <row r="832" spans="1:6">
      <c r="C832" t="str">
        <f t="shared" si="55"/>
        <v>4</v>
      </c>
      <c r="D832">
        <v>26</v>
      </c>
      <c r="E832" t="str">
        <f>"413"</f>
        <v>413</v>
      </c>
      <c r="F832" t="str">
        <f t="shared" si="56"/>
        <v>0000</v>
      </c>
    </row>
    <row r="833" spans="1:6">
      <c r="C833" t="str">
        <f t="shared" si="55"/>
        <v>4</v>
      </c>
      <c r="D833">
        <v>26</v>
      </c>
      <c r="E833" t="str">
        <f>"270"</f>
        <v>270</v>
      </c>
      <c r="F833" t="str">
        <f t="shared" si="56"/>
        <v>0000</v>
      </c>
    </row>
    <row r="834" spans="1:6">
      <c r="A834" t="str">
        <f>"E1203-239"</f>
        <v>E1203-239</v>
      </c>
      <c r="B834" t="str">
        <f>"VIA CARLO LINNEO VICINO AL 182-"</f>
        <v>VIA CARLO LINNEO VICINO AL 182-</v>
      </c>
      <c r="C834" t="str">
        <f t="shared" si="55"/>
        <v>4</v>
      </c>
      <c r="D834">
        <v>26</v>
      </c>
      <c r="E834" t="str">
        <f>"267"</f>
        <v>267</v>
      </c>
      <c r="F834" t="str">
        <f t="shared" si="56"/>
        <v>0000</v>
      </c>
    </row>
    <row r="835" spans="1:6">
      <c r="C835" t="str">
        <f t="shared" si="55"/>
        <v>4</v>
      </c>
      <c r="D835">
        <v>26</v>
      </c>
      <c r="E835" t="str">
        <f>"99999"</f>
        <v>99999</v>
      </c>
      <c r="F835" t="str">
        <f t="shared" si="56"/>
        <v>0000</v>
      </c>
    </row>
    <row r="836" spans="1:6">
      <c r="C836" t="str">
        <f t="shared" si="55"/>
        <v>4</v>
      </c>
      <c r="D836">
        <v>26</v>
      </c>
      <c r="E836" t="str">
        <f>"822"</f>
        <v>822</v>
      </c>
      <c r="F836" t="str">
        <f t="shared" si="56"/>
        <v>0000</v>
      </c>
    </row>
    <row r="837" spans="1:6">
      <c r="C837" t="str">
        <f t="shared" si="55"/>
        <v>4</v>
      </c>
      <c r="D837">
        <v>26</v>
      </c>
      <c r="E837" t="str">
        <f>"549"</f>
        <v>549</v>
      </c>
      <c r="F837" t="str">
        <f t="shared" si="56"/>
        <v>0000</v>
      </c>
    </row>
    <row r="838" spans="1:6">
      <c r="C838" t="str">
        <f t="shared" si="55"/>
        <v>4</v>
      </c>
      <c r="D838">
        <v>26</v>
      </c>
      <c r="E838" t="str">
        <f>"447"</f>
        <v>447</v>
      </c>
      <c r="F838" t="str">
        <f t="shared" si="56"/>
        <v>0000</v>
      </c>
    </row>
    <row r="839" spans="1:6">
      <c r="C839" t="str">
        <f t="shared" si="55"/>
        <v>4</v>
      </c>
      <c r="D839">
        <v>26</v>
      </c>
      <c r="E839" t="str">
        <f>"439"</f>
        <v>439</v>
      </c>
      <c r="F839" t="str">
        <f t="shared" si="56"/>
        <v>0000</v>
      </c>
    </row>
    <row r="840" spans="1:6">
      <c r="C840" t="str">
        <f t="shared" si="55"/>
        <v>4</v>
      </c>
      <c r="D840">
        <v>26</v>
      </c>
      <c r="E840" t="str">
        <f>"437"</f>
        <v>437</v>
      </c>
      <c r="F840" t="str">
        <f t="shared" si="56"/>
        <v>0000</v>
      </c>
    </row>
    <row r="841" spans="1:6">
      <c r="C841" t="str">
        <f t="shared" si="55"/>
        <v>4</v>
      </c>
      <c r="D841">
        <v>26</v>
      </c>
      <c r="E841" t="str">
        <f>"419"</f>
        <v>419</v>
      </c>
      <c r="F841" t="str">
        <f t="shared" si="56"/>
        <v>0000</v>
      </c>
    </row>
    <row r="842" spans="1:6">
      <c r="C842" t="str">
        <f t="shared" si="55"/>
        <v>4</v>
      </c>
      <c r="D842">
        <v>26</v>
      </c>
      <c r="E842" t="str">
        <f>"413"</f>
        <v>413</v>
      </c>
      <c r="F842" t="str">
        <f t="shared" si="56"/>
        <v>0000</v>
      </c>
    </row>
    <row r="843" spans="1:6">
      <c r="C843" t="str">
        <f t="shared" si="55"/>
        <v>4</v>
      </c>
      <c r="D843">
        <v>26</v>
      </c>
      <c r="E843" t="str">
        <f>"268"</f>
        <v>268</v>
      </c>
      <c r="F843" t="str">
        <f t="shared" si="56"/>
        <v>0000</v>
      </c>
    </row>
    <row r="844" spans="1:6">
      <c r="C844" t="str">
        <f t="shared" si="55"/>
        <v>4</v>
      </c>
      <c r="D844">
        <v>26</v>
      </c>
      <c r="E844" t="str">
        <f>"271"</f>
        <v>271</v>
      </c>
      <c r="F844" t="str">
        <f t="shared" si="56"/>
        <v>0000</v>
      </c>
    </row>
    <row r="845" spans="1:6">
      <c r="C845" t="str">
        <f t="shared" si="55"/>
        <v>4</v>
      </c>
      <c r="D845">
        <v>26</v>
      </c>
      <c r="E845" t="str">
        <f>"270"</f>
        <v>270</v>
      </c>
      <c r="F845" t="str">
        <f t="shared" si="56"/>
        <v>0000</v>
      </c>
    </row>
    <row r="846" spans="1:6">
      <c r="A846" t="str">
        <f>"E1203-240"</f>
        <v>E1203-240</v>
      </c>
      <c r="B846" t="str">
        <f>"VIA CARLO LINNEO VICINO AL 182-"</f>
        <v>VIA CARLO LINNEO VICINO AL 182-</v>
      </c>
      <c r="C846" t="str">
        <f t="shared" si="55"/>
        <v>4</v>
      </c>
      <c r="D846">
        <v>26</v>
      </c>
      <c r="E846" t="str">
        <f>"267"</f>
        <v>267</v>
      </c>
      <c r="F846" t="str">
        <f t="shared" si="56"/>
        <v>0000</v>
      </c>
    </row>
    <row r="847" spans="1:6">
      <c r="C847" t="str">
        <f t="shared" si="55"/>
        <v>4</v>
      </c>
      <c r="D847">
        <v>26</v>
      </c>
      <c r="E847" t="str">
        <f>"268"</f>
        <v>268</v>
      </c>
      <c r="F847" t="str">
        <f t="shared" si="56"/>
        <v>0000</v>
      </c>
    </row>
    <row r="848" spans="1:6">
      <c r="C848" t="str">
        <f t="shared" si="55"/>
        <v>4</v>
      </c>
      <c r="D848">
        <v>26</v>
      </c>
      <c r="E848" t="str">
        <f>"271"</f>
        <v>271</v>
      </c>
      <c r="F848" t="str">
        <f t="shared" si="56"/>
        <v>0000</v>
      </c>
    </row>
    <row r="849" spans="1:6">
      <c r="C849" t="str">
        <f t="shared" si="55"/>
        <v>4</v>
      </c>
      <c r="D849">
        <v>26</v>
      </c>
      <c r="E849" t="str">
        <f>"419"</f>
        <v>419</v>
      </c>
      <c r="F849" t="str">
        <f t="shared" si="56"/>
        <v>0000</v>
      </c>
    </row>
    <row r="850" spans="1:6">
      <c r="C850" t="str">
        <f t="shared" si="55"/>
        <v>4</v>
      </c>
      <c r="D850">
        <v>26</v>
      </c>
      <c r="E850" t="str">
        <f>"439"</f>
        <v>439</v>
      </c>
      <c r="F850" t="str">
        <f t="shared" si="56"/>
        <v>0000</v>
      </c>
    </row>
    <row r="851" spans="1:6">
      <c r="C851" t="str">
        <f t="shared" si="55"/>
        <v>4</v>
      </c>
      <c r="D851">
        <v>26</v>
      </c>
      <c r="E851" t="str">
        <f>"99999"</f>
        <v>99999</v>
      </c>
      <c r="F851" t="str">
        <f t="shared" si="56"/>
        <v>0000</v>
      </c>
    </row>
    <row r="852" spans="1:6">
      <c r="C852" t="str">
        <f t="shared" si="55"/>
        <v>4</v>
      </c>
      <c r="D852">
        <v>26</v>
      </c>
      <c r="E852" t="str">
        <f>"822"</f>
        <v>822</v>
      </c>
      <c r="F852" t="str">
        <f t="shared" si="56"/>
        <v>0000</v>
      </c>
    </row>
    <row r="853" spans="1:6">
      <c r="C853" t="str">
        <f t="shared" si="55"/>
        <v>4</v>
      </c>
      <c r="D853">
        <v>26</v>
      </c>
      <c r="E853" t="str">
        <f>"549"</f>
        <v>549</v>
      </c>
      <c r="F853" t="str">
        <f t="shared" si="56"/>
        <v>0000</v>
      </c>
    </row>
    <row r="854" spans="1:6">
      <c r="C854" t="str">
        <f t="shared" si="55"/>
        <v>4</v>
      </c>
      <c r="D854">
        <v>26</v>
      </c>
      <c r="E854" t="str">
        <f>"447"</f>
        <v>447</v>
      </c>
      <c r="F854" t="str">
        <f t="shared" si="56"/>
        <v>0000</v>
      </c>
    </row>
    <row r="855" spans="1:6">
      <c r="C855" t="str">
        <f t="shared" si="55"/>
        <v>4</v>
      </c>
      <c r="D855">
        <v>26</v>
      </c>
      <c r="E855" t="str">
        <f>"437"</f>
        <v>437</v>
      </c>
      <c r="F855" t="str">
        <f t="shared" si="56"/>
        <v>0000</v>
      </c>
    </row>
    <row r="856" spans="1:6">
      <c r="C856" t="str">
        <f t="shared" si="55"/>
        <v>4</v>
      </c>
      <c r="D856">
        <v>26</v>
      </c>
      <c r="E856" t="str">
        <f>"413"</f>
        <v>413</v>
      </c>
      <c r="F856" t="str">
        <f t="shared" si="56"/>
        <v>0000</v>
      </c>
    </row>
    <row r="857" spans="1:6">
      <c r="C857" t="str">
        <f t="shared" si="55"/>
        <v>4</v>
      </c>
      <c r="D857">
        <v>26</v>
      </c>
      <c r="E857" t="str">
        <f>"270"</f>
        <v>270</v>
      </c>
      <c r="F857" t="str">
        <f t="shared" si="56"/>
        <v>0000</v>
      </c>
    </row>
    <row r="858" spans="1:6">
      <c r="A858" t="str">
        <f>"E1203-241"</f>
        <v>E1203-241</v>
      </c>
      <c r="B858" t="str">
        <f>"VIA CARLO LINNEO VICINO AL 182-"</f>
        <v>VIA CARLO LINNEO VICINO AL 182-</v>
      </c>
      <c r="C858" t="str">
        <f t="shared" si="55"/>
        <v>4</v>
      </c>
      <c r="D858">
        <v>26</v>
      </c>
      <c r="E858" t="str">
        <f>"267"</f>
        <v>267</v>
      </c>
      <c r="F858" t="str">
        <f t="shared" si="56"/>
        <v>0000</v>
      </c>
    </row>
    <row r="859" spans="1:6">
      <c r="C859" t="str">
        <f t="shared" si="55"/>
        <v>4</v>
      </c>
      <c r="D859">
        <v>26</v>
      </c>
      <c r="E859" t="str">
        <f>"99999"</f>
        <v>99999</v>
      </c>
      <c r="F859" t="str">
        <f t="shared" si="56"/>
        <v>0000</v>
      </c>
    </row>
    <row r="860" spans="1:6">
      <c r="C860" t="str">
        <f t="shared" si="55"/>
        <v>4</v>
      </c>
      <c r="D860">
        <v>26</v>
      </c>
      <c r="E860" t="str">
        <f>"822"</f>
        <v>822</v>
      </c>
      <c r="F860" t="str">
        <f t="shared" si="56"/>
        <v>0000</v>
      </c>
    </row>
    <row r="861" spans="1:6">
      <c r="C861" t="str">
        <f t="shared" si="55"/>
        <v>4</v>
      </c>
      <c r="D861">
        <v>26</v>
      </c>
      <c r="E861" t="str">
        <f>"549"</f>
        <v>549</v>
      </c>
      <c r="F861" t="str">
        <f t="shared" si="56"/>
        <v>0000</v>
      </c>
    </row>
    <row r="862" spans="1:6">
      <c r="C862" t="str">
        <f t="shared" si="55"/>
        <v>4</v>
      </c>
      <c r="D862">
        <v>26</v>
      </c>
      <c r="E862" t="str">
        <f>"447"</f>
        <v>447</v>
      </c>
      <c r="F862" t="str">
        <f t="shared" si="56"/>
        <v>0000</v>
      </c>
    </row>
    <row r="863" spans="1:6">
      <c r="C863" t="str">
        <f t="shared" si="55"/>
        <v>4</v>
      </c>
      <c r="D863">
        <v>26</v>
      </c>
      <c r="E863" t="str">
        <f>"439"</f>
        <v>439</v>
      </c>
      <c r="F863" t="str">
        <f t="shared" si="56"/>
        <v>0000</v>
      </c>
    </row>
    <row r="864" spans="1:6">
      <c r="C864" t="str">
        <f t="shared" si="55"/>
        <v>4</v>
      </c>
      <c r="D864">
        <v>26</v>
      </c>
      <c r="E864" t="str">
        <f>"437"</f>
        <v>437</v>
      </c>
      <c r="F864" t="str">
        <f t="shared" si="56"/>
        <v>0000</v>
      </c>
    </row>
    <row r="865" spans="1:6">
      <c r="C865" t="str">
        <f t="shared" si="55"/>
        <v>4</v>
      </c>
      <c r="D865">
        <v>26</v>
      </c>
      <c r="E865" t="str">
        <f>"419"</f>
        <v>419</v>
      </c>
      <c r="F865" t="str">
        <f t="shared" si="56"/>
        <v>0000</v>
      </c>
    </row>
    <row r="866" spans="1:6">
      <c r="C866" t="str">
        <f t="shared" si="55"/>
        <v>4</v>
      </c>
      <c r="D866">
        <v>26</v>
      </c>
      <c r="E866" t="str">
        <f>"413"</f>
        <v>413</v>
      </c>
      <c r="F866" t="str">
        <f t="shared" si="56"/>
        <v>0000</v>
      </c>
    </row>
    <row r="867" spans="1:6">
      <c r="C867" t="str">
        <f t="shared" si="55"/>
        <v>4</v>
      </c>
      <c r="D867">
        <v>26</v>
      </c>
      <c r="E867" t="str">
        <f>"268"</f>
        <v>268</v>
      </c>
      <c r="F867" t="str">
        <f t="shared" si="56"/>
        <v>0000</v>
      </c>
    </row>
    <row r="868" spans="1:6">
      <c r="C868" t="str">
        <f t="shared" si="55"/>
        <v>4</v>
      </c>
      <c r="D868">
        <v>26</v>
      </c>
      <c r="E868" t="str">
        <f>"271"</f>
        <v>271</v>
      </c>
      <c r="F868" t="str">
        <f t="shared" si="56"/>
        <v>0000</v>
      </c>
    </row>
    <row r="869" spans="1:6">
      <c r="C869" t="str">
        <f t="shared" si="55"/>
        <v>4</v>
      </c>
      <c r="D869">
        <v>26</v>
      </c>
      <c r="E869" t="str">
        <f>"270"</f>
        <v>270</v>
      </c>
      <c r="F869" t="str">
        <f t="shared" si="56"/>
        <v>0000</v>
      </c>
    </row>
    <row r="870" spans="1:6">
      <c r="A870" t="str">
        <f>"E1203-242"</f>
        <v>E1203-242</v>
      </c>
      <c r="B870" t="str">
        <f>"VIA CARLO LINNEO VICINO AL 182-"</f>
        <v>VIA CARLO LINNEO VICINO AL 182-</v>
      </c>
      <c r="C870" t="str">
        <f t="shared" si="55"/>
        <v>4</v>
      </c>
      <c r="D870">
        <v>26</v>
      </c>
      <c r="E870" t="str">
        <f>"267"</f>
        <v>267</v>
      </c>
      <c r="F870" t="str">
        <f t="shared" si="56"/>
        <v>0000</v>
      </c>
    </row>
    <row r="871" spans="1:6">
      <c r="C871" t="str">
        <f t="shared" si="55"/>
        <v>4</v>
      </c>
      <c r="D871">
        <v>26</v>
      </c>
      <c r="E871" t="str">
        <f>"268"</f>
        <v>268</v>
      </c>
      <c r="F871" t="str">
        <f t="shared" si="56"/>
        <v>0000</v>
      </c>
    </row>
    <row r="872" spans="1:6">
      <c r="C872" t="str">
        <f t="shared" si="55"/>
        <v>4</v>
      </c>
      <c r="D872">
        <v>26</v>
      </c>
      <c r="E872" t="str">
        <f>"271"</f>
        <v>271</v>
      </c>
      <c r="F872" t="str">
        <f t="shared" si="56"/>
        <v>0000</v>
      </c>
    </row>
    <row r="873" spans="1:6">
      <c r="C873" t="str">
        <f t="shared" si="55"/>
        <v>4</v>
      </c>
      <c r="D873">
        <v>26</v>
      </c>
      <c r="E873" t="str">
        <f>"419"</f>
        <v>419</v>
      </c>
      <c r="F873" t="str">
        <f t="shared" si="56"/>
        <v>0000</v>
      </c>
    </row>
    <row r="874" spans="1:6">
      <c r="C874" t="str">
        <f t="shared" si="55"/>
        <v>4</v>
      </c>
      <c r="D874">
        <v>26</v>
      </c>
      <c r="E874" t="str">
        <f>"439"</f>
        <v>439</v>
      </c>
      <c r="F874" t="str">
        <f t="shared" si="56"/>
        <v>0000</v>
      </c>
    </row>
    <row r="875" spans="1:6">
      <c r="C875" t="str">
        <f t="shared" si="55"/>
        <v>4</v>
      </c>
      <c r="D875">
        <v>26</v>
      </c>
      <c r="E875" t="str">
        <f>"99999"</f>
        <v>99999</v>
      </c>
      <c r="F875" t="str">
        <f t="shared" si="56"/>
        <v>0000</v>
      </c>
    </row>
    <row r="876" spans="1:6">
      <c r="C876" t="str">
        <f t="shared" si="55"/>
        <v>4</v>
      </c>
      <c r="D876">
        <v>26</v>
      </c>
      <c r="E876" t="str">
        <f>"822"</f>
        <v>822</v>
      </c>
      <c r="F876" t="str">
        <f t="shared" si="56"/>
        <v>0000</v>
      </c>
    </row>
    <row r="877" spans="1:6">
      <c r="C877" t="str">
        <f t="shared" si="55"/>
        <v>4</v>
      </c>
      <c r="D877">
        <v>26</v>
      </c>
      <c r="E877" t="str">
        <f>"549"</f>
        <v>549</v>
      </c>
      <c r="F877" t="str">
        <f t="shared" si="56"/>
        <v>0000</v>
      </c>
    </row>
    <row r="878" spans="1:6">
      <c r="C878" t="str">
        <f t="shared" ref="C878:C941" si="57">"4"</f>
        <v>4</v>
      </c>
      <c r="D878">
        <v>26</v>
      </c>
      <c r="E878" t="str">
        <f>"447"</f>
        <v>447</v>
      </c>
      <c r="F878" t="str">
        <f t="shared" ref="F878:F941" si="58">"0000"</f>
        <v>0000</v>
      </c>
    </row>
    <row r="879" spans="1:6">
      <c r="C879" t="str">
        <f t="shared" si="57"/>
        <v>4</v>
      </c>
      <c r="D879">
        <v>26</v>
      </c>
      <c r="E879" t="str">
        <f>"437"</f>
        <v>437</v>
      </c>
      <c r="F879" t="str">
        <f t="shared" si="58"/>
        <v>0000</v>
      </c>
    </row>
    <row r="880" spans="1:6">
      <c r="C880" t="str">
        <f t="shared" si="57"/>
        <v>4</v>
      </c>
      <c r="D880">
        <v>26</v>
      </c>
      <c r="E880" t="str">
        <f>"413"</f>
        <v>413</v>
      </c>
      <c r="F880" t="str">
        <f t="shared" si="58"/>
        <v>0000</v>
      </c>
    </row>
    <row r="881" spans="1:6">
      <c r="C881" t="str">
        <f t="shared" si="57"/>
        <v>4</v>
      </c>
      <c r="D881">
        <v>26</v>
      </c>
      <c r="E881" t="str">
        <f>"270"</f>
        <v>270</v>
      </c>
      <c r="F881" t="str">
        <f t="shared" si="58"/>
        <v>0000</v>
      </c>
    </row>
    <row r="882" spans="1:6">
      <c r="A882" t="str">
        <f>"E1203-243"</f>
        <v>E1203-243</v>
      </c>
      <c r="B882" t="str">
        <f>"VIA CARLO LINNEO VICINO AL 182-"</f>
        <v>VIA CARLO LINNEO VICINO AL 182-</v>
      </c>
      <c r="C882" t="str">
        <f t="shared" si="57"/>
        <v>4</v>
      </c>
      <c r="D882">
        <v>26</v>
      </c>
      <c r="E882" t="str">
        <f>"267"</f>
        <v>267</v>
      </c>
      <c r="F882" t="str">
        <f t="shared" si="58"/>
        <v>0000</v>
      </c>
    </row>
    <row r="883" spans="1:6">
      <c r="C883" t="str">
        <f t="shared" si="57"/>
        <v>4</v>
      </c>
      <c r="D883">
        <v>26</v>
      </c>
      <c r="E883" t="str">
        <f>"99999"</f>
        <v>99999</v>
      </c>
      <c r="F883" t="str">
        <f t="shared" si="58"/>
        <v>0000</v>
      </c>
    </row>
    <row r="884" spans="1:6">
      <c r="C884" t="str">
        <f t="shared" si="57"/>
        <v>4</v>
      </c>
      <c r="D884">
        <v>26</v>
      </c>
      <c r="E884" t="str">
        <f>"822"</f>
        <v>822</v>
      </c>
      <c r="F884" t="str">
        <f t="shared" si="58"/>
        <v>0000</v>
      </c>
    </row>
    <row r="885" spans="1:6">
      <c r="C885" t="str">
        <f t="shared" si="57"/>
        <v>4</v>
      </c>
      <c r="D885">
        <v>26</v>
      </c>
      <c r="E885" t="str">
        <f>"549"</f>
        <v>549</v>
      </c>
      <c r="F885" t="str">
        <f t="shared" si="58"/>
        <v>0000</v>
      </c>
    </row>
    <row r="886" spans="1:6">
      <c r="C886" t="str">
        <f t="shared" si="57"/>
        <v>4</v>
      </c>
      <c r="D886">
        <v>26</v>
      </c>
      <c r="E886" t="str">
        <f>"447"</f>
        <v>447</v>
      </c>
      <c r="F886" t="str">
        <f t="shared" si="58"/>
        <v>0000</v>
      </c>
    </row>
    <row r="887" spans="1:6">
      <c r="C887" t="str">
        <f t="shared" si="57"/>
        <v>4</v>
      </c>
      <c r="D887">
        <v>26</v>
      </c>
      <c r="E887" t="str">
        <f>"439"</f>
        <v>439</v>
      </c>
      <c r="F887" t="str">
        <f t="shared" si="58"/>
        <v>0000</v>
      </c>
    </row>
    <row r="888" spans="1:6">
      <c r="C888" t="str">
        <f t="shared" si="57"/>
        <v>4</v>
      </c>
      <c r="D888">
        <v>26</v>
      </c>
      <c r="E888" t="str">
        <f>"437"</f>
        <v>437</v>
      </c>
      <c r="F888" t="str">
        <f t="shared" si="58"/>
        <v>0000</v>
      </c>
    </row>
    <row r="889" spans="1:6">
      <c r="C889" t="str">
        <f t="shared" si="57"/>
        <v>4</v>
      </c>
      <c r="D889">
        <v>26</v>
      </c>
      <c r="E889" t="str">
        <f>"419"</f>
        <v>419</v>
      </c>
      <c r="F889" t="str">
        <f t="shared" si="58"/>
        <v>0000</v>
      </c>
    </row>
    <row r="890" spans="1:6">
      <c r="C890" t="str">
        <f t="shared" si="57"/>
        <v>4</v>
      </c>
      <c r="D890">
        <v>26</v>
      </c>
      <c r="E890" t="str">
        <f>"413"</f>
        <v>413</v>
      </c>
      <c r="F890" t="str">
        <f t="shared" si="58"/>
        <v>0000</v>
      </c>
    </row>
    <row r="891" spans="1:6">
      <c r="C891" t="str">
        <f t="shared" si="57"/>
        <v>4</v>
      </c>
      <c r="D891">
        <v>26</v>
      </c>
      <c r="E891" t="str">
        <f>"268"</f>
        <v>268</v>
      </c>
      <c r="F891" t="str">
        <f t="shared" si="58"/>
        <v>0000</v>
      </c>
    </row>
    <row r="892" spans="1:6">
      <c r="C892" t="str">
        <f t="shared" si="57"/>
        <v>4</v>
      </c>
      <c r="D892">
        <v>26</v>
      </c>
      <c r="E892" t="str">
        <f>"271"</f>
        <v>271</v>
      </c>
      <c r="F892" t="str">
        <f t="shared" si="58"/>
        <v>0000</v>
      </c>
    </row>
    <row r="893" spans="1:6">
      <c r="C893" t="str">
        <f t="shared" si="57"/>
        <v>4</v>
      </c>
      <c r="D893">
        <v>26</v>
      </c>
      <c r="E893" t="str">
        <f>"270"</f>
        <v>270</v>
      </c>
      <c r="F893" t="str">
        <f t="shared" si="58"/>
        <v>0000</v>
      </c>
    </row>
    <row r="894" spans="1:6">
      <c r="A894" t="str">
        <f>"E1203-244"</f>
        <v>E1203-244</v>
      </c>
      <c r="B894" t="str">
        <f>"VIA CARLO LINNEO VICINO AL 182-"</f>
        <v>VIA CARLO LINNEO VICINO AL 182-</v>
      </c>
      <c r="C894" t="str">
        <f t="shared" si="57"/>
        <v>4</v>
      </c>
      <c r="D894">
        <v>26</v>
      </c>
      <c r="E894" t="str">
        <f>"267"</f>
        <v>267</v>
      </c>
      <c r="F894" t="str">
        <f t="shared" si="58"/>
        <v>0000</v>
      </c>
    </row>
    <row r="895" spans="1:6">
      <c r="C895" t="str">
        <f t="shared" si="57"/>
        <v>4</v>
      </c>
      <c r="D895">
        <v>26</v>
      </c>
      <c r="E895" t="str">
        <f>"268"</f>
        <v>268</v>
      </c>
      <c r="F895" t="str">
        <f t="shared" si="58"/>
        <v>0000</v>
      </c>
    </row>
    <row r="896" spans="1:6">
      <c r="C896" t="str">
        <f t="shared" si="57"/>
        <v>4</v>
      </c>
      <c r="D896">
        <v>26</v>
      </c>
      <c r="E896" t="str">
        <f>"271"</f>
        <v>271</v>
      </c>
      <c r="F896" t="str">
        <f t="shared" si="58"/>
        <v>0000</v>
      </c>
    </row>
    <row r="897" spans="1:6">
      <c r="C897" t="str">
        <f t="shared" si="57"/>
        <v>4</v>
      </c>
      <c r="D897">
        <v>26</v>
      </c>
      <c r="E897" t="str">
        <f>"419"</f>
        <v>419</v>
      </c>
      <c r="F897" t="str">
        <f t="shared" si="58"/>
        <v>0000</v>
      </c>
    </row>
    <row r="898" spans="1:6">
      <c r="C898" t="str">
        <f t="shared" si="57"/>
        <v>4</v>
      </c>
      <c r="D898">
        <v>26</v>
      </c>
      <c r="E898" t="str">
        <f>"439"</f>
        <v>439</v>
      </c>
      <c r="F898" t="str">
        <f t="shared" si="58"/>
        <v>0000</v>
      </c>
    </row>
    <row r="899" spans="1:6">
      <c r="C899" t="str">
        <f t="shared" si="57"/>
        <v>4</v>
      </c>
      <c r="D899">
        <v>26</v>
      </c>
      <c r="E899" t="str">
        <f>"99999"</f>
        <v>99999</v>
      </c>
      <c r="F899" t="str">
        <f t="shared" si="58"/>
        <v>0000</v>
      </c>
    </row>
    <row r="900" spans="1:6">
      <c r="C900" t="str">
        <f t="shared" si="57"/>
        <v>4</v>
      </c>
      <c r="D900">
        <v>26</v>
      </c>
      <c r="E900" t="str">
        <f>"822"</f>
        <v>822</v>
      </c>
      <c r="F900" t="str">
        <f t="shared" si="58"/>
        <v>0000</v>
      </c>
    </row>
    <row r="901" spans="1:6">
      <c r="C901" t="str">
        <f t="shared" si="57"/>
        <v>4</v>
      </c>
      <c r="D901">
        <v>26</v>
      </c>
      <c r="E901" t="str">
        <f>"549"</f>
        <v>549</v>
      </c>
      <c r="F901" t="str">
        <f t="shared" si="58"/>
        <v>0000</v>
      </c>
    </row>
    <row r="902" spans="1:6">
      <c r="C902" t="str">
        <f t="shared" si="57"/>
        <v>4</v>
      </c>
      <c r="D902">
        <v>26</v>
      </c>
      <c r="E902" t="str">
        <f>"447"</f>
        <v>447</v>
      </c>
      <c r="F902" t="str">
        <f t="shared" si="58"/>
        <v>0000</v>
      </c>
    </row>
    <row r="903" spans="1:6">
      <c r="C903" t="str">
        <f t="shared" si="57"/>
        <v>4</v>
      </c>
      <c r="D903">
        <v>26</v>
      </c>
      <c r="E903" t="str">
        <f>"437"</f>
        <v>437</v>
      </c>
      <c r="F903" t="str">
        <f t="shared" si="58"/>
        <v>0000</v>
      </c>
    </row>
    <row r="904" spans="1:6">
      <c r="C904" t="str">
        <f t="shared" si="57"/>
        <v>4</v>
      </c>
      <c r="D904">
        <v>26</v>
      </c>
      <c r="E904" t="str">
        <f>"413"</f>
        <v>413</v>
      </c>
      <c r="F904" t="str">
        <f t="shared" si="58"/>
        <v>0000</v>
      </c>
    </row>
    <row r="905" spans="1:6">
      <c r="C905" t="str">
        <f t="shared" si="57"/>
        <v>4</v>
      </c>
      <c r="D905">
        <v>26</v>
      </c>
      <c r="E905" t="str">
        <f>"270"</f>
        <v>270</v>
      </c>
      <c r="F905" t="str">
        <f t="shared" si="58"/>
        <v>0000</v>
      </c>
    </row>
    <row r="906" spans="1:6">
      <c r="A906" t="str">
        <f>"E1203-245"</f>
        <v>E1203-245</v>
      </c>
      <c r="B906" t="str">
        <f>"VIA CARLO LINNEO VICINO AL 182-"</f>
        <v>VIA CARLO LINNEO VICINO AL 182-</v>
      </c>
      <c r="C906" t="str">
        <f t="shared" si="57"/>
        <v>4</v>
      </c>
      <c r="D906">
        <v>26</v>
      </c>
      <c r="E906" t="str">
        <f>"267"</f>
        <v>267</v>
      </c>
      <c r="F906" t="str">
        <f t="shared" si="58"/>
        <v>0000</v>
      </c>
    </row>
    <row r="907" spans="1:6">
      <c r="C907" t="str">
        <f t="shared" si="57"/>
        <v>4</v>
      </c>
      <c r="D907">
        <v>26</v>
      </c>
      <c r="E907" t="str">
        <f>"99999"</f>
        <v>99999</v>
      </c>
      <c r="F907" t="str">
        <f t="shared" si="58"/>
        <v>0000</v>
      </c>
    </row>
    <row r="908" spans="1:6">
      <c r="C908" t="str">
        <f t="shared" si="57"/>
        <v>4</v>
      </c>
      <c r="D908">
        <v>26</v>
      </c>
      <c r="E908" t="str">
        <f>"822"</f>
        <v>822</v>
      </c>
      <c r="F908" t="str">
        <f t="shared" si="58"/>
        <v>0000</v>
      </c>
    </row>
    <row r="909" spans="1:6">
      <c r="C909" t="str">
        <f t="shared" si="57"/>
        <v>4</v>
      </c>
      <c r="D909">
        <v>26</v>
      </c>
      <c r="E909" t="str">
        <f>"549"</f>
        <v>549</v>
      </c>
      <c r="F909" t="str">
        <f t="shared" si="58"/>
        <v>0000</v>
      </c>
    </row>
    <row r="910" spans="1:6">
      <c r="C910" t="str">
        <f t="shared" si="57"/>
        <v>4</v>
      </c>
      <c r="D910">
        <v>26</v>
      </c>
      <c r="E910" t="str">
        <f>"447"</f>
        <v>447</v>
      </c>
      <c r="F910" t="str">
        <f t="shared" si="58"/>
        <v>0000</v>
      </c>
    </row>
    <row r="911" spans="1:6">
      <c r="C911" t="str">
        <f t="shared" si="57"/>
        <v>4</v>
      </c>
      <c r="D911">
        <v>26</v>
      </c>
      <c r="E911" t="str">
        <f>"439"</f>
        <v>439</v>
      </c>
      <c r="F911" t="str">
        <f t="shared" si="58"/>
        <v>0000</v>
      </c>
    </row>
    <row r="912" spans="1:6">
      <c r="C912" t="str">
        <f t="shared" si="57"/>
        <v>4</v>
      </c>
      <c r="D912">
        <v>26</v>
      </c>
      <c r="E912" t="str">
        <f>"437"</f>
        <v>437</v>
      </c>
      <c r="F912" t="str">
        <f t="shared" si="58"/>
        <v>0000</v>
      </c>
    </row>
    <row r="913" spans="1:6">
      <c r="C913" t="str">
        <f t="shared" si="57"/>
        <v>4</v>
      </c>
      <c r="D913">
        <v>26</v>
      </c>
      <c r="E913" t="str">
        <f>"419"</f>
        <v>419</v>
      </c>
      <c r="F913" t="str">
        <f t="shared" si="58"/>
        <v>0000</v>
      </c>
    </row>
    <row r="914" spans="1:6">
      <c r="C914" t="str">
        <f t="shared" si="57"/>
        <v>4</v>
      </c>
      <c r="D914">
        <v>26</v>
      </c>
      <c r="E914" t="str">
        <f>"413"</f>
        <v>413</v>
      </c>
      <c r="F914" t="str">
        <f t="shared" si="58"/>
        <v>0000</v>
      </c>
    </row>
    <row r="915" spans="1:6">
      <c r="C915" t="str">
        <f t="shared" si="57"/>
        <v>4</v>
      </c>
      <c r="D915">
        <v>26</v>
      </c>
      <c r="E915" t="str">
        <f>"268"</f>
        <v>268</v>
      </c>
      <c r="F915" t="str">
        <f t="shared" si="58"/>
        <v>0000</v>
      </c>
    </row>
    <row r="916" spans="1:6">
      <c r="C916" t="str">
        <f t="shared" si="57"/>
        <v>4</v>
      </c>
      <c r="D916">
        <v>26</v>
      </c>
      <c r="E916" t="str">
        <f>"271"</f>
        <v>271</v>
      </c>
      <c r="F916" t="str">
        <f t="shared" si="58"/>
        <v>0000</v>
      </c>
    </row>
    <row r="917" spans="1:6">
      <c r="C917" t="str">
        <f t="shared" si="57"/>
        <v>4</v>
      </c>
      <c r="D917">
        <v>26</v>
      </c>
      <c r="E917" t="str">
        <f>"270"</f>
        <v>270</v>
      </c>
      <c r="F917" t="str">
        <f t="shared" si="58"/>
        <v>0000</v>
      </c>
    </row>
    <row r="918" spans="1:6">
      <c r="A918" t="str">
        <f>"E1203-246"</f>
        <v>E1203-246</v>
      </c>
      <c r="B918" t="str">
        <f>"VIA CARLO LINNEO VICINO AL 182-"</f>
        <v>VIA CARLO LINNEO VICINO AL 182-</v>
      </c>
      <c r="C918" t="str">
        <f t="shared" si="57"/>
        <v>4</v>
      </c>
      <c r="D918">
        <v>26</v>
      </c>
      <c r="E918" t="str">
        <f>"267"</f>
        <v>267</v>
      </c>
      <c r="F918" t="str">
        <f t="shared" si="58"/>
        <v>0000</v>
      </c>
    </row>
    <row r="919" spans="1:6">
      <c r="C919" t="str">
        <f t="shared" si="57"/>
        <v>4</v>
      </c>
      <c r="D919">
        <v>26</v>
      </c>
      <c r="E919" t="str">
        <f>"268"</f>
        <v>268</v>
      </c>
      <c r="F919" t="str">
        <f t="shared" si="58"/>
        <v>0000</v>
      </c>
    </row>
    <row r="920" spans="1:6">
      <c r="C920" t="str">
        <f t="shared" si="57"/>
        <v>4</v>
      </c>
      <c r="D920">
        <v>26</v>
      </c>
      <c r="E920" t="str">
        <f>"271"</f>
        <v>271</v>
      </c>
      <c r="F920" t="str">
        <f t="shared" si="58"/>
        <v>0000</v>
      </c>
    </row>
    <row r="921" spans="1:6">
      <c r="C921" t="str">
        <f t="shared" si="57"/>
        <v>4</v>
      </c>
      <c r="D921">
        <v>26</v>
      </c>
      <c r="E921" t="str">
        <f>"419"</f>
        <v>419</v>
      </c>
      <c r="F921" t="str">
        <f t="shared" si="58"/>
        <v>0000</v>
      </c>
    </row>
    <row r="922" spans="1:6">
      <c r="C922" t="str">
        <f t="shared" si="57"/>
        <v>4</v>
      </c>
      <c r="D922">
        <v>26</v>
      </c>
      <c r="E922" t="str">
        <f>"439"</f>
        <v>439</v>
      </c>
      <c r="F922" t="str">
        <f t="shared" si="58"/>
        <v>0000</v>
      </c>
    </row>
    <row r="923" spans="1:6">
      <c r="C923" t="str">
        <f t="shared" si="57"/>
        <v>4</v>
      </c>
      <c r="D923">
        <v>26</v>
      </c>
      <c r="E923" t="str">
        <f>"99999"</f>
        <v>99999</v>
      </c>
      <c r="F923" t="str">
        <f t="shared" si="58"/>
        <v>0000</v>
      </c>
    </row>
    <row r="924" spans="1:6">
      <c r="C924" t="str">
        <f t="shared" si="57"/>
        <v>4</v>
      </c>
      <c r="D924">
        <v>26</v>
      </c>
      <c r="E924" t="str">
        <f>"822"</f>
        <v>822</v>
      </c>
      <c r="F924" t="str">
        <f t="shared" si="58"/>
        <v>0000</v>
      </c>
    </row>
    <row r="925" spans="1:6">
      <c r="C925" t="str">
        <f t="shared" si="57"/>
        <v>4</v>
      </c>
      <c r="D925">
        <v>26</v>
      </c>
      <c r="E925" t="str">
        <f>"549"</f>
        <v>549</v>
      </c>
      <c r="F925" t="str">
        <f t="shared" si="58"/>
        <v>0000</v>
      </c>
    </row>
    <row r="926" spans="1:6">
      <c r="C926" t="str">
        <f t="shared" si="57"/>
        <v>4</v>
      </c>
      <c r="D926">
        <v>26</v>
      </c>
      <c r="E926" t="str">
        <f>"447"</f>
        <v>447</v>
      </c>
      <c r="F926" t="str">
        <f t="shared" si="58"/>
        <v>0000</v>
      </c>
    </row>
    <row r="927" spans="1:6">
      <c r="C927" t="str">
        <f t="shared" si="57"/>
        <v>4</v>
      </c>
      <c r="D927">
        <v>26</v>
      </c>
      <c r="E927" t="str">
        <f>"437"</f>
        <v>437</v>
      </c>
      <c r="F927" t="str">
        <f t="shared" si="58"/>
        <v>0000</v>
      </c>
    </row>
    <row r="928" spans="1:6">
      <c r="C928" t="str">
        <f t="shared" si="57"/>
        <v>4</v>
      </c>
      <c r="D928">
        <v>26</v>
      </c>
      <c r="E928" t="str">
        <f>"413"</f>
        <v>413</v>
      </c>
      <c r="F928" t="str">
        <f t="shared" si="58"/>
        <v>0000</v>
      </c>
    </row>
    <row r="929" spans="1:6">
      <c r="C929" t="str">
        <f t="shared" si="57"/>
        <v>4</v>
      </c>
      <c r="D929">
        <v>26</v>
      </c>
      <c r="E929" t="str">
        <f>"270"</f>
        <v>270</v>
      </c>
      <c r="F929" t="str">
        <f t="shared" si="58"/>
        <v>0000</v>
      </c>
    </row>
    <row r="930" spans="1:6">
      <c r="A930" t="str">
        <f>"E1203-247"</f>
        <v>E1203-247</v>
      </c>
      <c r="B930" t="str">
        <f>"VIA CARLO LINNEO VICINO AL 182-"</f>
        <v>VIA CARLO LINNEO VICINO AL 182-</v>
      </c>
      <c r="C930" t="str">
        <f t="shared" si="57"/>
        <v>4</v>
      </c>
      <c r="D930">
        <v>26</v>
      </c>
      <c r="E930" t="str">
        <f>"267"</f>
        <v>267</v>
      </c>
      <c r="F930" t="str">
        <f t="shared" si="58"/>
        <v>0000</v>
      </c>
    </row>
    <row r="931" spans="1:6">
      <c r="C931" t="str">
        <f t="shared" si="57"/>
        <v>4</v>
      </c>
      <c r="D931">
        <v>26</v>
      </c>
      <c r="E931" t="str">
        <f>"99999"</f>
        <v>99999</v>
      </c>
      <c r="F931" t="str">
        <f t="shared" si="58"/>
        <v>0000</v>
      </c>
    </row>
    <row r="932" spans="1:6">
      <c r="C932" t="str">
        <f t="shared" si="57"/>
        <v>4</v>
      </c>
      <c r="D932">
        <v>26</v>
      </c>
      <c r="E932" t="str">
        <f>"822"</f>
        <v>822</v>
      </c>
      <c r="F932" t="str">
        <f t="shared" si="58"/>
        <v>0000</v>
      </c>
    </row>
    <row r="933" spans="1:6">
      <c r="C933" t="str">
        <f t="shared" si="57"/>
        <v>4</v>
      </c>
      <c r="D933">
        <v>26</v>
      </c>
      <c r="E933" t="str">
        <f>"549"</f>
        <v>549</v>
      </c>
      <c r="F933" t="str">
        <f t="shared" si="58"/>
        <v>0000</v>
      </c>
    </row>
    <row r="934" spans="1:6">
      <c r="C934" t="str">
        <f t="shared" si="57"/>
        <v>4</v>
      </c>
      <c r="D934">
        <v>26</v>
      </c>
      <c r="E934" t="str">
        <f>"447"</f>
        <v>447</v>
      </c>
      <c r="F934" t="str">
        <f t="shared" si="58"/>
        <v>0000</v>
      </c>
    </row>
    <row r="935" spans="1:6">
      <c r="C935" t="str">
        <f t="shared" si="57"/>
        <v>4</v>
      </c>
      <c r="D935">
        <v>26</v>
      </c>
      <c r="E935" t="str">
        <f>"439"</f>
        <v>439</v>
      </c>
      <c r="F935" t="str">
        <f t="shared" si="58"/>
        <v>0000</v>
      </c>
    </row>
    <row r="936" spans="1:6">
      <c r="C936" t="str">
        <f t="shared" si="57"/>
        <v>4</v>
      </c>
      <c r="D936">
        <v>26</v>
      </c>
      <c r="E936" t="str">
        <f>"437"</f>
        <v>437</v>
      </c>
      <c r="F936" t="str">
        <f t="shared" si="58"/>
        <v>0000</v>
      </c>
    </row>
    <row r="937" spans="1:6">
      <c r="C937" t="str">
        <f t="shared" si="57"/>
        <v>4</v>
      </c>
      <c r="D937">
        <v>26</v>
      </c>
      <c r="E937" t="str">
        <f>"419"</f>
        <v>419</v>
      </c>
      <c r="F937" t="str">
        <f t="shared" si="58"/>
        <v>0000</v>
      </c>
    </row>
    <row r="938" spans="1:6">
      <c r="C938" t="str">
        <f t="shared" si="57"/>
        <v>4</v>
      </c>
      <c r="D938">
        <v>26</v>
      </c>
      <c r="E938" t="str">
        <f>"413"</f>
        <v>413</v>
      </c>
      <c r="F938" t="str">
        <f t="shared" si="58"/>
        <v>0000</v>
      </c>
    </row>
    <row r="939" spans="1:6">
      <c r="C939" t="str">
        <f t="shared" si="57"/>
        <v>4</v>
      </c>
      <c r="D939">
        <v>26</v>
      </c>
      <c r="E939" t="str">
        <f>"268"</f>
        <v>268</v>
      </c>
      <c r="F939" t="str">
        <f t="shared" si="58"/>
        <v>0000</v>
      </c>
    </row>
    <row r="940" spans="1:6">
      <c r="C940" t="str">
        <f t="shared" si="57"/>
        <v>4</v>
      </c>
      <c r="D940">
        <v>26</v>
      </c>
      <c r="E940" t="str">
        <f>"271"</f>
        <v>271</v>
      </c>
      <c r="F940" t="str">
        <f t="shared" si="58"/>
        <v>0000</v>
      </c>
    </row>
    <row r="941" spans="1:6">
      <c r="C941" t="str">
        <f t="shared" si="57"/>
        <v>4</v>
      </c>
      <c r="D941">
        <v>26</v>
      </c>
      <c r="E941" t="str">
        <f>"270"</f>
        <v>270</v>
      </c>
      <c r="F941" t="str">
        <f t="shared" si="58"/>
        <v>0000</v>
      </c>
    </row>
    <row r="942" spans="1:6">
      <c r="A942" t="str">
        <f>"E1203-248"</f>
        <v>E1203-248</v>
      </c>
      <c r="B942" t="str">
        <f>"VIA CARLO LINNEO VICINO AL 182-"</f>
        <v>VIA CARLO LINNEO VICINO AL 182-</v>
      </c>
      <c r="C942" t="str">
        <f t="shared" ref="C942:C1005" si="59">"4"</f>
        <v>4</v>
      </c>
      <c r="D942">
        <v>26</v>
      </c>
      <c r="E942" t="str">
        <f>"267"</f>
        <v>267</v>
      </c>
      <c r="F942" t="str">
        <f t="shared" ref="F942:F1005" si="60">"0000"</f>
        <v>0000</v>
      </c>
    </row>
    <row r="943" spans="1:6">
      <c r="C943" t="str">
        <f t="shared" si="59"/>
        <v>4</v>
      </c>
      <c r="D943">
        <v>26</v>
      </c>
      <c r="E943" t="str">
        <f>"268"</f>
        <v>268</v>
      </c>
      <c r="F943" t="str">
        <f t="shared" si="60"/>
        <v>0000</v>
      </c>
    </row>
    <row r="944" spans="1:6">
      <c r="C944" t="str">
        <f t="shared" si="59"/>
        <v>4</v>
      </c>
      <c r="D944">
        <v>26</v>
      </c>
      <c r="E944" t="str">
        <f>"271"</f>
        <v>271</v>
      </c>
      <c r="F944" t="str">
        <f t="shared" si="60"/>
        <v>0000</v>
      </c>
    </row>
    <row r="945" spans="1:6">
      <c r="C945" t="str">
        <f t="shared" si="59"/>
        <v>4</v>
      </c>
      <c r="D945">
        <v>26</v>
      </c>
      <c r="E945" t="str">
        <f>"419"</f>
        <v>419</v>
      </c>
      <c r="F945" t="str">
        <f t="shared" si="60"/>
        <v>0000</v>
      </c>
    </row>
    <row r="946" spans="1:6">
      <c r="C946" t="str">
        <f t="shared" si="59"/>
        <v>4</v>
      </c>
      <c r="D946">
        <v>26</v>
      </c>
      <c r="E946" t="str">
        <f>"439"</f>
        <v>439</v>
      </c>
      <c r="F946" t="str">
        <f t="shared" si="60"/>
        <v>0000</v>
      </c>
    </row>
    <row r="947" spans="1:6">
      <c r="C947" t="str">
        <f t="shared" si="59"/>
        <v>4</v>
      </c>
      <c r="D947">
        <v>26</v>
      </c>
      <c r="E947" t="str">
        <f>"99999"</f>
        <v>99999</v>
      </c>
      <c r="F947" t="str">
        <f t="shared" si="60"/>
        <v>0000</v>
      </c>
    </row>
    <row r="948" spans="1:6">
      <c r="C948" t="str">
        <f t="shared" si="59"/>
        <v>4</v>
      </c>
      <c r="D948">
        <v>26</v>
      </c>
      <c r="E948" t="str">
        <f>"822"</f>
        <v>822</v>
      </c>
      <c r="F948" t="str">
        <f t="shared" si="60"/>
        <v>0000</v>
      </c>
    </row>
    <row r="949" spans="1:6">
      <c r="C949" t="str">
        <f t="shared" si="59"/>
        <v>4</v>
      </c>
      <c r="D949">
        <v>26</v>
      </c>
      <c r="E949" t="str">
        <f>"549"</f>
        <v>549</v>
      </c>
      <c r="F949" t="str">
        <f t="shared" si="60"/>
        <v>0000</v>
      </c>
    </row>
    <row r="950" spans="1:6">
      <c r="C950" t="str">
        <f t="shared" si="59"/>
        <v>4</v>
      </c>
      <c r="D950">
        <v>26</v>
      </c>
      <c r="E950" t="str">
        <f>"447"</f>
        <v>447</v>
      </c>
      <c r="F950" t="str">
        <f t="shared" si="60"/>
        <v>0000</v>
      </c>
    </row>
    <row r="951" spans="1:6">
      <c r="C951" t="str">
        <f t="shared" si="59"/>
        <v>4</v>
      </c>
      <c r="D951">
        <v>26</v>
      </c>
      <c r="E951" t="str">
        <f>"437"</f>
        <v>437</v>
      </c>
      <c r="F951" t="str">
        <f t="shared" si="60"/>
        <v>0000</v>
      </c>
    </row>
    <row r="952" spans="1:6">
      <c r="C952" t="str">
        <f t="shared" si="59"/>
        <v>4</v>
      </c>
      <c r="D952">
        <v>26</v>
      </c>
      <c r="E952" t="str">
        <f>"413"</f>
        <v>413</v>
      </c>
      <c r="F952" t="str">
        <f t="shared" si="60"/>
        <v>0000</v>
      </c>
    </row>
    <row r="953" spans="1:6">
      <c r="C953" t="str">
        <f t="shared" si="59"/>
        <v>4</v>
      </c>
      <c r="D953">
        <v>26</v>
      </c>
      <c r="E953" t="str">
        <f>"270"</f>
        <v>270</v>
      </c>
      <c r="F953" t="str">
        <f t="shared" si="60"/>
        <v>0000</v>
      </c>
    </row>
    <row r="954" spans="1:6">
      <c r="A954" t="str">
        <f>"E1203-249"</f>
        <v>E1203-249</v>
      </c>
      <c r="B954" t="str">
        <f>"VIA CARLO LINNEO VICINO AL 182-"</f>
        <v>VIA CARLO LINNEO VICINO AL 182-</v>
      </c>
      <c r="C954" t="str">
        <f t="shared" si="59"/>
        <v>4</v>
      </c>
      <c r="D954">
        <v>26</v>
      </c>
      <c r="E954" t="str">
        <f>"267"</f>
        <v>267</v>
      </c>
      <c r="F954" t="str">
        <f t="shared" si="60"/>
        <v>0000</v>
      </c>
    </row>
    <row r="955" spans="1:6">
      <c r="C955" t="str">
        <f t="shared" si="59"/>
        <v>4</v>
      </c>
      <c r="D955">
        <v>26</v>
      </c>
      <c r="E955" t="str">
        <f>"99999"</f>
        <v>99999</v>
      </c>
      <c r="F955" t="str">
        <f t="shared" si="60"/>
        <v>0000</v>
      </c>
    </row>
    <row r="956" spans="1:6">
      <c r="C956" t="str">
        <f t="shared" si="59"/>
        <v>4</v>
      </c>
      <c r="D956">
        <v>26</v>
      </c>
      <c r="E956" t="str">
        <f>"822"</f>
        <v>822</v>
      </c>
      <c r="F956" t="str">
        <f t="shared" si="60"/>
        <v>0000</v>
      </c>
    </row>
    <row r="957" spans="1:6">
      <c r="C957" t="str">
        <f t="shared" si="59"/>
        <v>4</v>
      </c>
      <c r="D957">
        <v>26</v>
      </c>
      <c r="E957" t="str">
        <f>"549"</f>
        <v>549</v>
      </c>
      <c r="F957" t="str">
        <f t="shared" si="60"/>
        <v>0000</v>
      </c>
    </row>
    <row r="958" spans="1:6">
      <c r="C958" t="str">
        <f t="shared" si="59"/>
        <v>4</v>
      </c>
      <c r="D958">
        <v>26</v>
      </c>
      <c r="E958" t="str">
        <f>"447"</f>
        <v>447</v>
      </c>
      <c r="F958" t="str">
        <f t="shared" si="60"/>
        <v>0000</v>
      </c>
    </row>
    <row r="959" spans="1:6">
      <c r="C959" t="str">
        <f t="shared" si="59"/>
        <v>4</v>
      </c>
      <c r="D959">
        <v>26</v>
      </c>
      <c r="E959" t="str">
        <f>"439"</f>
        <v>439</v>
      </c>
      <c r="F959" t="str">
        <f t="shared" si="60"/>
        <v>0000</v>
      </c>
    </row>
    <row r="960" spans="1:6">
      <c r="C960" t="str">
        <f t="shared" si="59"/>
        <v>4</v>
      </c>
      <c r="D960">
        <v>26</v>
      </c>
      <c r="E960" t="str">
        <f>"437"</f>
        <v>437</v>
      </c>
      <c r="F960" t="str">
        <f t="shared" si="60"/>
        <v>0000</v>
      </c>
    </row>
    <row r="961" spans="1:6">
      <c r="C961" t="str">
        <f t="shared" si="59"/>
        <v>4</v>
      </c>
      <c r="D961">
        <v>26</v>
      </c>
      <c r="E961" t="str">
        <f>"419"</f>
        <v>419</v>
      </c>
      <c r="F961" t="str">
        <f t="shared" si="60"/>
        <v>0000</v>
      </c>
    </row>
    <row r="962" spans="1:6">
      <c r="C962" t="str">
        <f t="shared" si="59"/>
        <v>4</v>
      </c>
      <c r="D962">
        <v>26</v>
      </c>
      <c r="E962" t="str">
        <f>"413"</f>
        <v>413</v>
      </c>
      <c r="F962" t="str">
        <f t="shared" si="60"/>
        <v>0000</v>
      </c>
    </row>
    <row r="963" spans="1:6">
      <c r="C963" t="str">
        <f t="shared" si="59"/>
        <v>4</v>
      </c>
      <c r="D963">
        <v>26</v>
      </c>
      <c r="E963" t="str">
        <f>"268"</f>
        <v>268</v>
      </c>
      <c r="F963" t="str">
        <f t="shared" si="60"/>
        <v>0000</v>
      </c>
    </row>
    <row r="964" spans="1:6">
      <c r="C964" t="str">
        <f t="shared" si="59"/>
        <v>4</v>
      </c>
      <c r="D964">
        <v>26</v>
      </c>
      <c r="E964" t="str">
        <f>"271"</f>
        <v>271</v>
      </c>
      <c r="F964" t="str">
        <f t="shared" si="60"/>
        <v>0000</v>
      </c>
    </row>
    <row r="965" spans="1:6">
      <c r="C965" t="str">
        <f t="shared" si="59"/>
        <v>4</v>
      </c>
      <c r="D965">
        <v>26</v>
      </c>
      <c r="E965" t="str">
        <f>"270"</f>
        <v>270</v>
      </c>
      <c r="F965" t="str">
        <f t="shared" si="60"/>
        <v>0000</v>
      </c>
    </row>
    <row r="966" spans="1:6">
      <c r="A966" t="str">
        <f>"E1203-250"</f>
        <v>E1203-250</v>
      </c>
      <c r="B966" t="str">
        <f>"VIA CARLO LINNEO VICINO AL 182-"</f>
        <v>VIA CARLO LINNEO VICINO AL 182-</v>
      </c>
      <c r="C966" t="str">
        <f t="shared" si="59"/>
        <v>4</v>
      </c>
      <c r="D966">
        <v>26</v>
      </c>
      <c r="E966" t="str">
        <f>"267"</f>
        <v>267</v>
      </c>
      <c r="F966" t="str">
        <f t="shared" si="60"/>
        <v>0000</v>
      </c>
    </row>
    <row r="967" spans="1:6">
      <c r="C967" t="str">
        <f t="shared" si="59"/>
        <v>4</v>
      </c>
      <c r="D967">
        <v>26</v>
      </c>
      <c r="E967" t="str">
        <f>"268"</f>
        <v>268</v>
      </c>
      <c r="F967" t="str">
        <f t="shared" si="60"/>
        <v>0000</v>
      </c>
    </row>
    <row r="968" spans="1:6">
      <c r="C968" t="str">
        <f t="shared" si="59"/>
        <v>4</v>
      </c>
      <c r="D968">
        <v>26</v>
      </c>
      <c r="E968" t="str">
        <f>"271"</f>
        <v>271</v>
      </c>
      <c r="F968" t="str">
        <f t="shared" si="60"/>
        <v>0000</v>
      </c>
    </row>
    <row r="969" spans="1:6">
      <c r="C969" t="str">
        <f t="shared" si="59"/>
        <v>4</v>
      </c>
      <c r="D969">
        <v>26</v>
      </c>
      <c r="E969" t="str">
        <f>"419"</f>
        <v>419</v>
      </c>
      <c r="F969" t="str">
        <f t="shared" si="60"/>
        <v>0000</v>
      </c>
    </row>
    <row r="970" spans="1:6">
      <c r="C970" t="str">
        <f t="shared" si="59"/>
        <v>4</v>
      </c>
      <c r="D970">
        <v>26</v>
      </c>
      <c r="E970" t="str">
        <f>"439"</f>
        <v>439</v>
      </c>
      <c r="F970" t="str">
        <f t="shared" si="60"/>
        <v>0000</v>
      </c>
    </row>
    <row r="971" spans="1:6">
      <c r="C971" t="str">
        <f t="shared" si="59"/>
        <v>4</v>
      </c>
      <c r="D971">
        <v>26</v>
      </c>
      <c r="E971" t="str">
        <f>"99999"</f>
        <v>99999</v>
      </c>
      <c r="F971" t="str">
        <f t="shared" si="60"/>
        <v>0000</v>
      </c>
    </row>
    <row r="972" spans="1:6">
      <c r="C972" t="str">
        <f t="shared" si="59"/>
        <v>4</v>
      </c>
      <c r="D972">
        <v>26</v>
      </c>
      <c r="E972" t="str">
        <f>"822"</f>
        <v>822</v>
      </c>
      <c r="F972" t="str">
        <f t="shared" si="60"/>
        <v>0000</v>
      </c>
    </row>
    <row r="973" spans="1:6">
      <c r="C973" t="str">
        <f t="shared" si="59"/>
        <v>4</v>
      </c>
      <c r="D973">
        <v>26</v>
      </c>
      <c r="E973" t="str">
        <f>"549"</f>
        <v>549</v>
      </c>
      <c r="F973" t="str">
        <f t="shared" si="60"/>
        <v>0000</v>
      </c>
    </row>
    <row r="974" spans="1:6">
      <c r="C974" t="str">
        <f t="shared" si="59"/>
        <v>4</v>
      </c>
      <c r="D974">
        <v>26</v>
      </c>
      <c r="E974" t="str">
        <f>"447"</f>
        <v>447</v>
      </c>
      <c r="F974" t="str">
        <f t="shared" si="60"/>
        <v>0000</v>
      </c>
    </row>
    <row r="975" spans="1:6">
      <c r="C975" t="str">
        <f t="shared" si="59"/>
        <v>4</v>
      </c>
      <c r="D975">
        <v>26</v>
      </c>
      <c r="E975" t="str">
        <f>"437"</f>
        <v>437</v>
      </c>
      <c r="F975" t="str">
        <f t="shared" si="60"/>
        <v>0000</v>
      </c>
    </row>
    <row r="976" spans="1:6">
      <c r="C976" t="str">
        <f t="shared" si="59"/>
        <v>4</v>
      </c>
      <c r="D976">
        <v>26</v>
      </c>
      <c r="E976" t="str">
        <f>"413"</f>
        <v>413</v>
      </c>
      <c r="F976" t="str">
        <f t="shared" si="60"/>
        <v>0000</v>
      </c>
    </row>
    <row r="977" spans="1:6">
      <c r="C977" t="str">
        <f t="shared" si="59"/>
        <v>4</v>
      </c>
      <c r="D977">
        <v>26</v>
      </c>
      <c r="E977" t="str">
        <f>"270"</f>
        <v>270</v>
      </c>
      <c r="F977" t="str">
        <f t="shared" si="60"/>
        <v>0000</v>
      </c>
    </row>
    <row r="978" spans="1:6">
      <c r="A978" t="str">
        <f>"E1203-251"</f>
        <v>E1203-251</v>
      </c>
      <c r="B978" t="str">
        <f>"VIA CARLO LINNEO VICINO AL 182-"</f>
        <v>VIA CARLO LINNEO VICINO AL 182-</v>
      </c>
      <c r="C978" t="str">
        <f t="shared" si="59"/>
        <v>4</v>
      </c>
      <c r="D978">
        <v>26</v>
      </c>
      <c r="E978" t="str">
        <f>"267"</f>
        <v>267</v>
      </c>
      <c r="F978" t="str">
        <f t="shared" si="60"/>
        <v>0000</v>
      </c>
    </row>
    <row r="979" spans="1:6">
      <c r="C979" t="str">
        <f t="shared" si="59"/>
        <v>4</v>
      </c>
      <c r="D979">
        <v>26</v>
      </c>
      <c r="E979" t="str">
        <f>"99999"</f>
        <v>99999</v>
      </c>
      <c r="F979" t="str">
        <f t="shared" si="60"/>
        <v>0000</v>
      </c>
    </row>
    <row r="980" spans="1:6">
      <c r="C980" t="str">
        <f t="shared" si="59"/>
        <v>4</v>
      </c>
      <c r="D980">
        <v>26</v>
      </c>
      <c r="E980" t="str">
        <f>"822"</f>
        <v>822</v>
      </c>
      <c r="F980" t="str">
        <f t="shared" si="60"/>
        <v>0000</v>
      </c>
    </row>
    <row r="981" spans="1:6">
      <c r="C981" t="str">
        <f t="shared" si="59"/>
        <v>4</v>
      </c>
      <c r="D981">
        <v>26</v>
      </c>
      <c r="E981" t="str">
        <f>"549"</f>
        <v>549</v>
      </c>
      <c r="F981" t="str">
        <f t="shared" si="60"/>
        <v>0000</v>
      </c>
    </row>
    <row r="982" spans="1:6">
      <c r="C982" t="str">
        <f t="shared" si="59"/>
        <v>4</v>
      </c>
      <c r="D982">
        <v>26</v>
      </c>
      <c r="E982" t="str">
        <f>"447"</f>
        <v>447</v>
      </c>
      <c r="F982" t="str">
        <f t="shared" si="60"/>
        <v>0000</v>
      </c>
    </row>
    <row r="983" spans="1:6">
      <c r="C983" t="str">
        <f t="shared" si="59"/>
        <v>4</v>
      </c>
      <c r="D983">
        <v>26</v>
      </c>
      <c r="E983" t="str">
        <f>"439"</f>
        <v>439</v>
      </c>
      <c r="F983" t="str">
        <f t="shared" si="60"/>
        <v>0000</v>
      </c>
    </row>
    <row r="984" spans="1:6">
      <c r="C984" t="str">
        <f t="shared" si="59"/>
        <v>4</v>
      </c>
      <c r="D984">
        <v>26</v>
      </c>
      <c r="E984" t="str">
        <f>"437"</f>
        <v>437</v>
      </c>
      <c r="F984" t="str">
        <f t="shared" si="60"/>
        <v>0000</v>
      </c>
    </row>
    <row r="985" spans="1:6">
      <c r="C985" t="str">
        <f t="shared" si="59"/>
        <v>4</v>
      </c>
      <c r="D985">
        <v>26</v>
      </c>
      <c r="E985" t="str">
        <f>"419"</f>
        <v>419</v>
      </c>
      <c r="F985" t="str">
        <f t="shared" si="60"/>
        <v>0000</v>
      </c>
    </row>
    <row r="986" spans="1:6">
      <c r="C986" t="str">
        <f t="shared" si="59"/>
        <v>4</v>
      </c>
      <c r="D986">
        <v>26</v>
      </c>
      <c r="E986" t="str">
        <f>"413"</f>
        <v>413</v>
      </c>
      <c r="F986" t="str">
        <f t="shared" si="60"/>
        <v>0000</v>
      </c>
    </row>
    <row r="987" spans="1:6">
      <c r="C987" t="str">
        <f t="shared" si="59"/>
        <v>4</v>
      </c>
      <c r="D987">
        <v>26</v>
      </c>
      <c r="E987" t="str">
        <f>"268"</f>
        <v>268</v>
      </c>
      <c r="F987" t="str">
        <f t="shared" si="60"/>
        <v>0000</v>
      </c>
    </row>
    <row r="988" spans="1:6">
      <c r="C988" t="str">
        <f t="shared" si="59"/>
        <v>4</v>
      </c>
      <c r="D988">
        <v>26</v>
      </c>
      <c r="E988" t="str">
        <f>"271"</f>
        <v>271</v>
      </c>
      <c r="F988" t="str">
        <f t="shared" si="60"/>
        <v>0000</v>
      </c>
    </row>
    <row r="989" spans="1:6">
      <c r="C989" t="str">
        <f t="shared" si="59"/>
        <v>4</v>
      </c>
      <c r="D989">
        <v>26</v>
      </c>
      <c r="E989" t="str">
        <f>"270"</f>
        <v>270</v>
      </c>
      <c r="F989" t="str">
        <f t="shared" si="60"/>
        <v>0000</v>
      </c>
    </row>
    <row r="990" spans="1:6">
      <c r="A990" t="str">
        <f>"E1203-252"</f>
        <v>E1203-252</v>
      </c>
      <c r="B990" t="str">
        <f>"VIA CARLO LINNEO VICINO AL 134-"</f>
        <v>VIA CARLO LINNEO VICINO AL 134-</v>
      </c>
      <c r="C990" t="str">
        <f t="shared" si="59"/>
        <v>4</v>
      </c>
      <c r="D990">
        <v>26</v>
      </c>
      <c r="E990" t="str">
        <f>"267"</f>
        <v>267</v>
      </c>
      <c r="F990" t="str">
        <f t="shared" si="60"/>
        <v>0000</v>
      </c>
    </row>
    <row r="991" spans="1:6">
      <c r="C991" t="str">
        <f t="shared" si="59"/>
        <v>4</v>
      </c>
      <c r="D991">
        <v>26</v>
      </c>
      <c r="E991" t="str">
        <f>"268"</f>
        <v>268</v>
      </c>
      <c r="F991" t="str">
        <f t="shared" si="60"/>
        <v>0000</v>
      </c>
    </row>
    <row r="992" spans="1:6">
      <c r="C992" t="str">
        <f t="shared" si="59"/>
        <v>4</v>
      </c>
      <c r="D992">
        <v>26</v>
      </c>
      <c r="E992" t="str">
        <f>"271"</f>
        <v>271</v>
      </c>
      <c r="F992" t="str">
        <f t="shared" si="60"/>
        <v>0000</v>
      </c>
    </row>
    <row r="993" spans="1:6">
      <c r="C993" t="str">
        <f t="shared" si="59"/>
        <v>4</v>
      </c>
      <c r="D993">
        <v>26</v>
      </c>
      <c r="E993" t="str">
        <f>"419"</f>
        <v>419</v>
      </c>
      <c r="F993" t="str">
        <f t="shared" si="60"/>
        <v>0000</v>
      </c>
    </row>
    <row r="994" spans="1:6">
      <c r="C994" t="str">
        <f t="shared" si="59"/>
        <v>4</v>
      </c>
      <c r="D994">
        <v>26</v>
      </c>
      <c r="E994" t="str">
        <f>"439"</f>
        <v>439</v>
      </c>
      <c r="F994" t="str">
        <f t="shared" si="60"/>
        <v>0000</v>
      </c>
    </row>
    <row r="995" spans="1:6">
      <c r="C995" t="str">
        <f t="shared" si="59"/>
        <v>4</v>
      </c>
      <c r="D995">
        <v>26</v>
      </c>
      <c r="E995" t="str">
        <f>"99999"</f>
        <v>99999</v>
      </c>
      <c r="F995" t="str">
        <f t="shared" si="60"/>
        <v>0000</v>
      </c>
    </row>
    <row r="996" spans="1:6">
      <c r="C996" t="str">
        <f t="shared" si="59"/>
        <v>4</v>
      </c>
      <c r="D996">
        <v>26</v>
      </c>
      <c r="E996" t="str">
        <f>"822"</f>
        <v>822</v>
      </c>
      <c r="F996" t="str">
        <f t="shared" si="60"/>
        <v>0000</v>
      </c>
    </row>
    <row r="997" spans="1:6">
      <c r="C997" t="str">
        <f t="shared" si="59"/>
        <v>4</v>
      </c>
      <c r="D997">
        <v>26</v>
      </c>
      <c r="E997" t="str">
        <f>"549"</f>
        <v>549</v>
      </c>
      <c r="F997" t="str">
        <f t="shared" si="60"/>
        <v>0000</v>
      </c>
    </row>
    <row r="998" spans="1:6">
      <c r="C998" t="str">
        <f t="shared" si="59"/>
        <v>4</v>
      </c>
      <c r="D998">
        <v>26</v>
      </c>
      <c r="E998" t="str">
        <f>"447"</f>
        <v>447</v>
      </c>
      <c r="F998" t="str">
        <f t="shared" si="60"/>
        <v>0000</v>
      </c>
    </row>
    <row r="999" spans="1:6">
      <c r="C999" t="str">
        <f t="shared" si="59"/>
        <v>4</v>
      </c>
      <c r="D999">
        <v>26</v>
      </c>
      <c r="E999" t="str">
        <f>"437"</f>
        <v>437</v>
      </c>
      <c r="F999" t="str">
        <f t="shared" si="60"/>
        <v>0000</v>
      </c>
    </row>
    <row r="1000" spans="1:6">
      <c r="C1000" t="str">
        <f t="shared" si="59"/>
        <v>4</v>
      </c>
      <c r="D1000">
        <v>26</v>
      </c>
      <c r="E1000" t="str">
        <f>"413"</f>
        <v>413</v>
      </c>
      <c r="F1000" t="str">
        <f t="shared" si="60"/>
        <v>0000</v>
      </c>
    </row>
    <row r="1001" spans="1:6">
      <c r="C1001" t="str">
        <f t="shared" si="59"/>
        <v>4</v>
      </c>
      <c r="D1001">
        <v>26</v>
      </c>
      <c r="E1001" t="str">
        <f>"270"</f>
        <v>270</v>
      </c>
      <c r="F1001" t="str">
        <f t="shared" si="60"/>
        <v>0000</v>
      </c>
    </row>
    <row r="1002" spans="1:6">
      <c r="A1002" t="str">
        <f>"E1203-253"</f>
        <v>E1203-253</v>
      </c>
      <c r="B1002" t="str">
        <f>"VIA CARLO LINNEO VICINO AL 134-"</f>
        <v>VIA CARLO LINNEO VICINO AL 134-</v>
      </c>
      <c r="C1002" t="str">
        <f t="shared" si="59"/>
        <v>4</v>
      </c>
      <c r="D1002">
        <v>26</v>
      </c>
      <c r="E1002" t="str">
        <f>"267"</f>
        <v>267</v>
      </c>
      <c r="F1002" t="str">
        <f t="shared" si="60"/>
        <v>0000</v>
      </c>
    </row>
    <row r="1003" spans="1:6">
      <c r="C1003" t="str">
        <f t="shared" si="59"/>
        <v>4</v>
      </c>
      <c r="D1003">
        <v>26</v>
      </c>
      <c r="E1003" t="str">
        <f>"99999"</f>
        <v>99999</v>
      </c>
      <c r="F1003" t="str">
        <f t="shared" si="60"/>
        <v>0000</v>
      </c>
    </row>
    <row r="1004" spans="1:6">
      <c r="C1004" t="str">
        <f t="shared" si="59"/>
        <v>4</v>
      </c>
      <c r="D1004">
        <v>26</v>
      </c>
      <c r="E1004" t="str">
        <f>"822"</f>
        <v>822</v>
      </c>
      <c r="F1004" t="str">
        <f t="shared" si="60"/>
        <v>0000</v>
      </c>
    </row>
    <row r="1005" spans="1:6">
      <c r="C1005" t="str">
        <f t="shared" si="59"/>
        <v>4</v>
      </c>
      <c r="D1005">
        <v>26</v>
      </c>
      <c r="E1005" t="str">
        <f>"549"</f>
        <v>549</v>
      </c>
      <c r="F1005" t="str">
        <f t="shared" si="60"/>
        <v>0000</v>
      </c>
    </row>
    <row r="1006" spans="1:6">
      <c r="C1006" t="str">
        <f t="shared" ref="C1006:C1069" si="61">"4"</f>
        <v>4</v>
      </c>
      <c r="D1006">
        <v>26</v>
      </c>
      <c r="E1006" t="str">
        <f>"447"</f>
        <v>447</v>
      </c>
      <c r="F1006" t="str">
        <f t="shared" ref="F1006:F1069" si="62">"0000"</f>
        <v>0000</v>
      </c>
    </row>
    <row r="1007" spans="1:6">
      <c r="C1007" t="str">
        <f t="shared" si="61"/>
        <v>4</v>
      </c>
      <c r="D1007">
        <v>26</v>
      </c>
      <c r="E1007" t="str">
        <f>"439"</f>
        <v>439</v>
      </c>
      <c r="F1007" t="str">
        <f t="shared" si="62"/>
        <v>0000</v>
      </c>
    </row>
    <row r="1008" spans="1:6">
      <c r="C1008" t="str">
        <f t="shared" si="61"/>
        <v>4</v>
      </c>
      <c r="D1008">
        <v>26</v>
      </c>
      <c r="E1008" t="str">
        <f>"437"</f>
        <v>437</v>
      </c>
      <c r="F1008" t="str">
        <f t="shared" si="62"/>
        <v>0000</v>
      </c>
    </row>
    <row r="1009" spans="1:6">
      <c r="C1009" t="str">
        <f t="shared" si="61"/>
        <v>4</v>
      </c>
      <c r="D1009">
        <v>26</v>
      </c>
      <c r="E1009" t="str">
        <f>"419"</f>
        <v>419</v>
      </c>
      <c r="F1009" t="str">
        <f t="shared" si="62"/>
        <v>0000</v>
      </c>
    </row>
    <row r="1010" spans="1:6">
      <c r="C1010" t="str">
        <f t="shared" si="61"/>
        <v>4</v>
      </c>
      <c r="D1010">
        <v>26</v>
      </c>
      <c r="E1010" t="str">
        <f>"413"</f>
        <v>413</v>
      </c>
      <c r="F1010" t="str">
        <f t="shared" si="62"/>
        <v>0000</v>
      </c>
    </row>
    <row r="1011" spans="1:6">
      <c r="C1011" t="str">
        <f t="shared" si="61"/>
        <v>4</v>
      </c>
      <c r="D1011">
        <v>26</v>
      </c>
      <c r="E1011" t="str">
        <f>"268"</f>
        <v>268</v>
      </c>
      <c r="F1011" t="str">
        <f t="shared" si="62"/>
        <v>0000</v>
      </c>
    </row>
    <row r="1012" spans="1:6">
      <c r="C1012" t="str">
        <f t="shared" si="61"/>
        <v>4</v>
      </c>
      <c r="D1012">
        <v>26</v>
      </c>
      <c r="E1012" t="str">
        <f>"271"</f>
        <v>271</v>
      </c>
      <c r="F1012" t="str">
        <f t="shared" si="62"/>
        <v>0000</v>
      </c>
    </row>
    <row r="1013" spans="1:6">
      <c r="C1013" t="str">
        <f t="shared" si="61"/>
        <v>4</v>
      </c>
      <c r="D1013">
        <v>26</v>
      </c>
      <c r="E1013" t="str">
        <f>"270"</f>
        <v>270</v>
      </c>
      <c r="F1013" t="str">
        <f t="shared" si="62"/>
        <v>0000</v>
      </c>
    </row>
    <row r="1014" spans="1:6">
      <c r="A1014" t="str">
        <f>"E1203-254"</f>
        <v>E1203-254</v>
      </c>
      <c r="B1014" t="str">
        <f>"VIA CARLO LINNEO VICINO AL 134-"</f>
        <v>VIA CARLO LINNEO VICINO AL 134-</v>
      </c>
      <c r="C1014" t="str">
        <f t="shared" si="61"/>
        <v>4</v>
      </c>
      <c r="D1014">
        <v>26</v>
      </c>
      <c r="E1014" t="str">
        <f>"267"</f>
        <v>267</v>
      </c>
      <c r="F1014" t="str">
        <f t="shared" si="62"/>
        <v>0000</v>
      </c>
    </row>
    <row r="1015" spans="1:6">
      <c r="C1015" t="str">
        <f t="shared" si="61"/>
        <v>4</v>
      </c>
      <c r="D1015">
        <v>26</v>
      </c>
      <c r="E1015" t="str">
        <f>"268"</f>
        <v>268</v>
      </c>
      <c r="F1015" t="str">
        <f t="shared" si="62"/>
        <v>0000</v>
      </c>
    </row>
    <row r="1016" spans="1:6">
      <c r="C1016" t="str">
        <f t="shared" si="61"/>
        <v>4</v>
      </c>
      <c r="D1016">
        <v>26</v>
      </c>
      <c r="E1016" t="str">
        <f>"271"</f>
        <v>271</v>
      </c>
      <c r="F1016" t="str">
        <f t="shared" si="62"/>
        <v>0000</v>
      </c>
    </row>
    <row r="1017" spans="1:6">
      <c r="C1017" t="str">
        <f t="shared" si="61"/>
        <v>4</v>
      </c>
      <c r="D1017">
        <v>26</v>
      </c>
      <c r="E1017" t="str">
        <f>"419"</f>
        <v>419</v>
      </c>
      <c r="F1017" t="str">
        <f t="shared" si="62"/>
        <v>0000</v>
      </c>
    </row>
    <row r="1018" spans="1:6">
      <c r="C1018" t="str">
        <f t="shared" si="61"/>
        <v>4</v>
      </c>
      <c r="D1018">
        <v>26</v>
      </c>
      <c r="E1018" t="str">
        <f>"439"</f>
        <v>439</v>
      </c>
      <c r="F1018" t="str">
        <f t="shared" si="62"/>
        <v>0000</v>
      </c>
    </row>
    <row r="1019" spans="1:6">
      <c r="C1019" t="str">
        <f t="shared" si="61"/>
        <v>4</v>
      </c>
      <c r="D1019">
        <v>26</v>
      </c>
      <c r="E1019" t="str">
        <f>"99999"</f>
        <v>99999</v>
      </c>
      <c r="F1019" t="str">
        <f t="shared" si="62"/>
        <v>0000</v>
      </c>
    </row>
    <row r="1020" spans="1:6">
      <c r="C1020" t="str">
        <f t="shared" si="61"/>
        <v>4</v>
      </c>
      <c r="D1020">
        <v>26</v>
      </c>
      <c r="E1020" t="str">
        <f>"822"</f>
        <v>822</v>
      </c>
      <c r="F1020" t="str">
        <f t="shared" si="62"/>
        <v>0000</v>
      </c>
    </row>
    <row r="1021" spans="1:6">
      <c r="C1021" t="str">
        <f t="shared" si="61"/>
        <v>4</v>
      </c>
      <c r="D1021">
        <v>26</v>
      </c>
      <c r="E1021" t="str">
        <f>"549"</f>
        <v>549</v>
      </c>
      <c r="F1021" t="str">
        <f t="shared" si="62"/>
        <v>0000</v>
      </c>
    </row>
    <row r="1022" spans="1:6">
      <c r="C1022" t="str">
        <f t="shared" si="61"/>
        <v>4</v>
      </c>
      <c r="D1022">
        <v>26</v>
      </c>
      <c r="E1022" t="str">
        <f>"447"</f>
        <v>447</v>
      </c>
      <c r="F1022" t="str">
        <f t="shared" si="62"/>
        <v>0000</v>
      </c>
    </row>
    <row r="1023" spans="1:6">
      <c r="C1023" t="str">
        <f t="shared" si="61"/>
        <v>4</v>
      </c>
      <c r="D1023">
        <v>26</v>
      </c>
      <c r="E1023" t="str">
        <f>"437"</f>
        <v>437</v>
      </c>
      <c r="F1023" t="str">
        <f t="shared" si="62"/>
        <v>0000</v>
      </c>
    </row>
    <row r="1024" spans="1:6">
      <c r="C1024" t="str">
        <f t="shared" si="61"/>
        <v>4</v>
      </c>
      <c r="D1024">
        <v>26</v>
      </c>
      <c r="E1024" t="str">
        <f>"413"</f>
        <v>413</v>
      </c>
      <c r="F1024" t="str">
        <f t="shared" si="62"/>
        <v>0000</v>
      </c>
    </row>
    <row r="1025" spans="1:6">
      <c r="C1025" t="str">
        <f t="shared" si="61"/>
        <v>4</v>
      </c>
      <c r="D1025">
        <v>26</v>
      </c>
      <c r="E1025" t="str">
        <f>"270"</f>
        <v>270</v>
      </c>
      <c r="F1025" t="str">
        <f t="shared" si="62"/>
        <v>0000</v>
      </c>
    </row>
    <row r="1026" spans="1:6">
      <c r="A1026" t="str">
        <f>"E1203-255"</f>
        <v>E1203-255</v>
      </c>
      <c r="B1026" t="str">
        <f>"VIA CARLO LINNEO VICINO AL 134-"</f>
        <v>VIA CARLO LINNEO VICINO AL 134-</v>
      </c>
      <c r="C1026" t="str">
        <f t="shared" si="61"/>
        <v>4</v>
      </c>
      <c r="D1026">
        <v>26</v>
      </c>
      <c r="E1026" t="str">
        <f>"267"</f>
        <v>267</v>
      </c>
      <c r="F1026" t="str">
        <f t="shared" si="62"/>
        <v>0000</v>
      </c>
    </row>
    <row r="1027" spans="1:6">
      <c r="C1027" t="str">
        <f t="shared" si="61"/>
        <v>4</v>
      </c>
      <c r="D1027">
        <v>26</v>
      </c>
      <c r="E1027" t="str">
        <f>"99999"</f>
        <v>99999</v>
      </c>
      <c r="F1027" t="str">
        <f t="shared" si="62"/>
        <v>0000</v>
      </c>
    </row>
    <row r="1028" spans="1:6">
      <c r="C1028" t="str">
        <f t="shared" si="61"/>
        <v>4</v>
      </c>
      <c r="D1028">
        <v>26</v>
      </c>
      <c r="E1028" t="str">
        <f>"822"</f>
        <v>822</v>
      </c>
      <c r="F1028" t="str">
        <f t="shared" si="62"/>
        <v>0000</v>
      </c>
    </row>
    <row r="1029" spans="1:6">
      <c r="C1029" t="str">
        <f t="shared" si="61"/>
        <v>4</v>
      </c>
      <c r="D1029">
        <v>26</v>
      </c>
      <c r="E1029" t="str">
        <f>"549"</f>
        <v>549</v>
      </c>
      <c r="F1029" t="str">
        <f t="shared" si="62"/>
        <v>0000</v>
      </c>
    </row>
    <row r="1030" spans="1:6">
      <c r="C1030" t="str">
        <f t="shared" si="61"/>
        <v>4</v>
      </c>
      <c r="D1030">
        <v>26</v>
      </c>
      <c r="E1030" t="str">
        <f>"447"</f>
        <v>447</v>
      </c>
      <c r="F1030" t="str">
        <f t="shared" si="62"/>
        <v>0000</v>
      </c>
    </row>
    <row r="1031" spans="1:6">
      <c r="C1031" t="str">
        <f t="shared" si="61"/>
        <v>4</v>
      </c>
      <c r="D1031">
        <v>26</v>
      </c>
      <c r="E1031" t="str">
        <f>"439"</f>
        <v>439</v>
      </c>
      <c r="F1031" t="str">
        <f t="shared" si="62"/>
        <v>0000</v>
      </c>
    </row>
    <row r="1032" spans="1:6">
      <c r="C1032" t="str">
        <f t="shared" si="61"/>
        <v>4</v>
      </c>
      <c r="D1032">
        <v>26</v>
      </c>
      <c r="E1032" t="str">
        <f>"437"</f>
        <v>437</v>
      </c>
      <c r="F1032" t="str">
        <f t="shared" si="62"/>
        <v>0000</v>
      </c>
    </row>
    <row r="1033" spans="1:6">
      <c r="C1033" t="str">
        <f t="shared" si="61"/>
        <v>4</v>
      </c>
      <c r="D1033">
        <v>26</v>
      </c>
      <c r="E1033" t="str">
        <f>"419"</f>
        <v>419</v>
      </c>
      <c r="F1033" t="str">
        <f t="shared" si="62"/>
        <v>0000</v>
      </c>
    </row>
    <row r="1034" spans="1:6">
      <c r="C1034" t="str">
        <f t="shared" si="61"/>
        <v>4</v>
      </c>
      <c r="D1034">
        <v>26</v>
      </c>
      <c r="E1034" t="str">
        <f>"413"</f>
        <v>413</v>
      </c>
      <c r="F1034" t="str">
        <f t="shared" si="62"/>
        <v>0000</v>
      </c>
    </row>
    <row r="1035" spans="1:6">
      <c r="C1035" t="str">
        <f t="shared" si="61"/>
        <v>4</v>
      </c>
      <c r="D1035">
        <v>26</v>
      </c>
      <c r="E1035" t="str">
        <f>"268"</f>
        <v>268</v>
      </c>
      <c r="F1035" t="str">
        <f t="shared" si="62"/>
        <v>0000</v>
      </c>
    </row>
    <row r="1036" spans="1:6">
      <c r="C1036" t="str">
        <f t="shared" si="61"/>
        <v>4</v>
      </c>
      <c r="D1036">
        <v>26</v>
      </c>
      <c r="E1036" t="str">
        <f>"271"</f>
        <v>271</v>
      </c>
      <c r="F1036" t="str">
        <f t="shared" si="62"/>
        <v>0000</v>
      </c>
    </row>
    <row r="1037" spans="1:6">
      <c r="C1037" t="str">
        <f t="shared" si="61"/>
        <v>4</v>
      </c>
      <c r="D1037">
        <v>26</v>
      </c>
      <c r="E1037" t="str">
        <f>"270"</f>
        <v>270</v>
      </c>
      <c r="F1037" t="str">
        <f t="shared" si="62"/>
        <v>0000</v>
      </c>
    </row>
    <row r="1038" spans="1:6">
      <c r="A1038" t="str">
        <f>"E1203-256"</f>
        <v>E1203-256</v>
      </c>
      <c r="B1038" t="str">
        <f>"VIA CARLO LINNEO VICINO AL 134-"</f>
        <v>VIA CARLO LINNEO VICINO AL 134-</v>
      </c>
      <c r="C1038" t="str">
        <f t="shared" si="61"/>
        <v>4</v>
      </c>
      <c r="D1038">
        <v>26</v>
      </c>
      <c r="E1038" t="str">
        <f>"267"</f>
        <v>267</v>
      </c>
      <c r="F1038" t="str">
        <f t="shared" si="62"/>
        <v>0000</v>
      </c>
    </row>
    <row r="1039" spans="1:6">
      <c r="C1039" t="str">
        <f t="shared" si="61"/>
        <v>4</v>
      </c>
      <c r="D1039">
        <v>26</v>
      </c>
      <c r="E1039" t="str">
        <f>"268"</f>
        <v>268</v>
      </c>
      <c r="F1039" t="str">
        <f t="shared" si="62"/>
        <v>0000</v>
      </c>
    </row>
    <row r="1040" spans="1:6">
      <c r="C1040" t="str">
        <f t="shared" si="61"/>
        <v>4</v>
      </c>
      <c r="D1040">
        <v>26</v>
      </c>
      <c r="E1040" t="str">
        <f>"271"</f>
        <v>271</v>
      </c>
      <c r="F1040" t="str">
        <f t="shared" si="62"/>
        <v>0000</v>
      </c>
    </row>
    <row r="1041" spans="1:6">
      <c r="C1041" t="str">
        <f t="shared" si="61"/>
        <v>4</v>
      </c>
      <c r="D1041">
        <v>26</v>
      </c>
      <c r="E1041" t="str">
        <f>"419"</f>
        <v>419</v>
      </c>
      <c r="F1041" t="str">
        <f t="shared" si="62"/>
        <v>0000</v>
      </c>
    </row>
    <row r="1042" spans="1:6">
      <c r="C1042" t="str">
        <f t="shared" si="61"/>
        <v>4</v>
      </c>
      <c r="D1042">
        <v>26</v>
      </c>
      <c r="E1042" t="str">
        <f>"439"</f>
        <v>439</v>
      </c>
      <c r="F1042" t="str">
        <f t="shared" si="62"/>
        <v>0000</v>
      </c>
    </row>
    <row r="1043" spans="1:6">
      <c r="C1043" t="str">
        <f t="shared" si="61"/>
        <v>4</v>
      </c>
      <c r="D1043">
        <v>26</v>
      </c>
      <c r="E1043" t="str">
        <f>"99999"</f>
        <v>99999</v>
      </c>
      <c r="F1043" t="str">
        <f t="shared" si="62"/>
        <v>0000</v>
      </c>
    </row>
    <row r="1044" spans="1:6">
      <c r="C1044" t="str">
        <f t="shared" si="61"/>
        <v>4</v>
      </c>
      <c r="D1044">
        <v>26</v>
      </c>
      <c r="E1044" t="str">
        <f>"822"</f>
        <v>822</v>
      </c>
      <c r="F1044" t="str">
        <f t="shared" si="62"/>
        <v>0000</v>
      </c>
    </row>
    <row r="1045" spans="1:6">
      <c r="C1045" t="str">
        <f t="shared" si="61"/>
        <v>4</v>
      </c>
      <c r="D1045">
        <v>26</v>
      </c>
      <c r="E1045" t="str">
        <f>"549"</f>
        <v>549</v>
      </c>
      <c r="F1045" t="str">
        <f t="shared" si="62"/>
        <v>0000</v>
      </c>
    </row>
    <row r="1046" spans="1:6">
      <c r="C1046" t="str">
        <f t="shared" si="61"/>
        <v>4</v>
      </c>
      <c r="D1046">
        <v>26</v>
      </c>
      <c r="E1046" t="str">
        <f>"447"</f>
        <v>447</v>
      </c>
      <c r="F1046" t="str">
        <f t="shared" si="62"/>
        <v>0000</v>
      </c>
    </row>
    <row r="1047" spans="1:6">
      <c r="C1047" t="str">
        <f t="shared" si="61"/>
        <v>4</v>
      </c>
      <c r="D1047">
        <v>26</v>
      </c>
      <c r="E1047" t="str">
        <f>"437"</f>
        <v>437</v>
      </c>
      <c r="F1047" t="str">
        <f t="shared" si="62"/>
        <v>0000</v>
      </c>
    </row>
    <row r="1048" spans="1:6">
      <c r="C1048" t="str">
        <f t="shared" si="61"/>
        <v>4</v>
      </c>
      <c r="D1048">
        <v>26</v>
      </c>
      <c r="E1048" t="str">
        <f>"413"</f>
        <v>413</v>
      </c>
      <c r="F1048" t="str">
        <f t="shared" si="62"/>
        <v>0000</v>
      </c>
    </row>
    <row r="1049" spans="1:6">
      <c r="C1049" t="str">
        <f t="shared" si="61"/>
        <v>4</v>
      </c>
      <c r="D1049">
        <v>26</v>
      </c>
      <c r="E1049" t="str">
        <f>"270"</f>
        <v>270</v>
      </c>
      <c r="F1049" t="str">
        <f t="shared" si="62"/>
        <v>0000</v>
      </c>
    </row>
    <row r="1050" spans="1:6">
      <c r="A1050" t="str">
        <f>"E1203-257"</f>
        <v>E1203-257</v>
      </c>
      <c r="B1050" t="str">
        <f>"VIA CARLO LINNEO VICINO AL 134-"</f>
        <v>VIA CARLO LINNEO VICINO AL 134-</v>
      </c>
      <c r="C1050" t="str">
        <f t="shared" si="61"/>
        <v>4</v>
      </c>
      <c r="D1050">
        <v>26</v>
      </c>
      <c r="E1050" t="str">
        <f>"267"</f>
        <v>267</v>
      </c>
      <c r="F1050" t="str">
        <f t="shared" si="62"/>
        <v>0000</v>
      </c>
    </row>
    <row r="1051" spans="1:6">
      <c r="C1051" t="str">
        <f t="shared" si="61"/>
        <v>4</v>
      </c>
      <c r="D1051">
        <v>26</v>
      </c>
      <c r="E1051" t="str">
        <f>"99999"</f>
        <v>99999</v>
      </c>
      <c r="F1051" t="str">
        <f t="shared" si="62"/>
        <v>0000</v>
      </c>
    </row>
    <row r="1052" spans="1:6">
      <c r="C1052" t="str">
        <f t="shared" si="61"/>
        <v>4</v>
      </c>
      <c r="D1052">
        <v>26</v>
      </c>
      <c r="E1052" t="str">
        <f>"822"</f>
        <v>822</v>
      </c>
      <c r="F1052" t="str">
        <f t="shared" si="62"/>
        <v>0000</v>
      </c>
    </row>
    <row r="1053" spans="1:6">
      <c r="C1053" t="str">
        <f t="shared" si="61"/>
        <v>4</v>
      </c>
      <c r="D1053">
        <v>26</v>
      </c>
      <c r="E1053" t="str">
        <f>"549"</f>
        <v>549</v>
      </c>
      <c r="F1053" t="str">
        <f t="shared" si="62"/>
        <v>0000</v>
      </c>
    </row>
    <row r="1054" spans="1:6">
      <c r="C1054" t="str">
        <f t="shared" si="61"/>
        <v>4</v>
      </c>
      <c r="D1054">
        <v>26</v>
      </c>
      <c r="E1054" t="str">
        <f>"447"</f>
        <v>447</v>
      </c>
      <c r="F1054" t="str">
        <f t="shared" si="62"/>
        <v>0000</v>
      </c>
    </row>
    <row r="1055" spans="1:6">
      <c r="C1055" t="str">
        <f t="shared" si="61"/>
        <v>4</v>
      </c>
      <c r="D1055">
        <v>26</v>
      </c>
      <c r="E1055" t="str">
        <f>"439"</f>
        <v>439</v>
      </c>
      <c r="F1055" t="str">
        <f t="shared" si="62"/>
        <v>0000</v>
      </c>
    </row>
    <row r="1056" spans="1:6">
      <c r="C1056" t="str">
        <f t="shared" si="61"/>
        <v>4</v>
      </c>
      <c r="D1056">
        <v>26</v>
      </c>
      <c r="E1056" t="str">
        <f>"437"</f>
        <v>437</v>
      </c>
      <c r="F1056" t="str">
        <f t="shared" si="62"/>
        <v>0000</v>
      </c>
    </row>
    <row r="1057" spans="1:6">
      <c r="C1057" t="str">
        <f t="shared" si="61"/>
        <v>4</v>
      </c>
      <c r="D1057">
        <v>26</v>
      </c>
      <c r="E1057" t="str">
        <f>"419"</f>
        <v>419</v>
      </c>
      <c r="F1057" t="str">
        <f t="shared" si="62"/>
        <v>0000</v>
      </c>
    </row>
    <row r="1058" spans="1:6">
      <c r="C1058" t="str">
        <f t="shared" si="61"/>
        <v>4</v>
      </c>
      <c r="D1058">
        <v>26</v>
      </c>
      <c r="E1058" t="str">
        <f>"413"</f>
        <v>413</v>
      </c>
      <c r="F1058" t="str">
        <f t="shared" si="62"/>
        <v>0000</v>
      </c>
    </row>
    <row r="1059" spans="1:6">
      <c r="C1059" t="str">
        <f t="shared" si="61"/>
        <v>4</v>
      </c>
      <c r="D1059">
        <v>26</v>
      </c>
      <c r="E1059" t="str">
        <f>"268"</f>
        <v>268</v>
      </c>
      <c r="F1059" t="str">
        <f t="shared" si="62"/>
        <v>0000</v>
      </c>
    </row>
    <row r="1060" spans="1:6">
      <c r="C1060" t="str">
        <f t="shared" si="61"/>
        <v>4</v>
      </c>
      <c r="D1060">
        <v>26</v>
      </c>
      <c r="E1060" t="str">
        <f>"271"</f>
        <v>271</v>
      </c>
      <c r="F1060" t="str">
        <f t="shared" si="62"/>
        <v>0000</v>
      </c>
    </row>
    <row r="1061" spans="1:6">
      <c r="C1061" t="str">
        <f t="shared" si="61"/>
        <v>4</v>
      </c>
      <c r="D1061">
        <v>26</v>
      </c>
      <c r="E1061" t="str">
        <f>"270"</f>
        <v>270</v>
      </c>
      <c r="F1061" t="str">
        <f t="shared" si="62"/>
        <v>0000</v>
      </c>
    </row>
    <row r="1062" spans="1:6">
      <c r="A1062" t="str">
        <f>"E1203-258"</f>
        <v>E1203-258</v>
      </c>
      <c r="B1062" t="str">
        <f>"VIA CARLO LINNEO VICINO AL 134-"</f>
        <v>VIA CARLO LINNEO VICINO AL 134-</v>
      </c>
      <c r="C1062" t="str">
        <f t="shared" si="61"/>
        <v>4</v>
      </c>
      <c r="D1062">
        <v>26</v>
      </c>
      <c r="E1062" t="str">
        <f>"267"</f>
        <v>267</v>
      </c>
      <c r="F1062" t="str">
        <f t="shared" si="62"/>
        <v>0000</v>
      </c>
    </row>
    <row r="1063" spans="1:6">
      <c r="C1063" t="str">
        <f t="shared" si="61"/>
        <v>4</v>
      </c>
      <c r="D1063">
        <v>26</v>
      </c>
      <c r="E1063" t="str">
        <f>"268"</f>
        <v>268</v>
      </c>
      <c r="F1063" t="str">
        <f t="shared" si="62"/>
        <v>0000</v>
      </c>
    </row>
    <row r="1064" spans="1:6">
      <c r="C1064" t="str">
        <f t="shared" si="61"/>
        <v>4</v>
      </c>
      <c r="D1064">
        <v>26</v>
      </c>
      <c r="E1064" t="str">
        <f>"271"</f>
        <v>271</v>
      </c>
      <c r="F1064" t="str">
        <f t="shared" si="62"/>
        <v>0000</v>
      </c>
    </row>
    <row r="1065" spans="1:6">
      <c r="C1065" t="str">
        <f t="shared" si="61"/>
        <v>4</v>
      </c>
      <c r="D1065">
        <v>26</v>
      </c>
      <c r="E1065" t="str">
        <f>"419"</f>
        <v>419</v>
      </c>
      <c r="F1065" t="str">
        <f t="shared" si="62"/>
        <v>0000</v>
      </c>
    </row>
    <row r="1066" spans="1:6">
      <c r="C1066" t="str">
        <f t="shared" si="61"/>
        <v>4</v>
      </c>
      <c r="D1066">
        <v>26</v>
      </c>
      <c r="E1066" t="str">
        <f>"439"</f>
        <v>439</v>
      </c>
      <c r="F1066" t="str">
        <f t="shared" si="62"/>
        <v>0000</v>
      </c>
    </row>
    <row r="1067" spans="1:6">
      <c r="C1067" t="str">
        <f t="shared" si="61"/>
        <v>4</v>
      </c>
      <c r="D1067">
        <v>26</v>
      </c>
      <c r="E1067" t="str">
        <f>"99999"</f>
        <v>99999</v>
      </c>
      <c r="F1067" t="str">
        <f t="shared" si="62"/>
        <v>0000</v>
      </c>
    </row>
    <row r="1068" spans="1:6">
      <c r="C1068" t="str">
        <f t="shared" si="61"/>
        <v>4</v>
      </c>
      <c r="D1068">
        <v>26</v>
      </c>
      <c r="E1068" t="str">
        <f>"822"</f>
        <v>822</v>
      </c>
      <c r="F1068" t="str">
        <f t="shared" si="62"/>
        <v>0000</v>
      </c>
    </row>
    <row r="1069" spans="1:6">
      <c r="C1069" t="str">
        <f t="shared" si="61"/>
        <v>4</v>
      </c>
      <c r="D1069">
        <v>26</v>
      </c>
      <c r="E1069" t="str">
        <f>"549"</f>
        <v>549</v>
      </c>
      <c r="F1069" t="str">
        <f t="shared" si="62"/>
        <v>0000</v>
      </c>
    </row>
    <row r="1070" spans="1:6">
      <c r="C1070" t="str">
        <f t="shared" ref="C1070:C1133" si="63">"4"</f>
        <v>4</v>
      </c>
      <c r="D1070">
        <v>26</v>
      </c>
      <c r="E1070" t="str">
        <f>"447"</f>
        <v>447</v>
      </c>
      <c r="F1070" t="str">
        <f t="shared" ref="F1070:F1133" si="64">"0000"</f>
        <v>0000</v>
      </c>
    </row>
    <row r="1071" spans="1:6">
      <c r="C1071" t="str">
        <f t="shared" si="63"/>
        <v>4</v>
      </c>
      <c r="D1071">
        <v>26</v>
      </c>
      <c r="E1071" t="str">
        <f>"437"</f>
        <v>437</v>
      </c>
      <c r="F1071" t="str">
        <f t="shared" si="64"/>
        <v>0000</v>
      </c>
    </row>
    <row r="1072" spans="1:6">
      <c r="C1072" t="str">
        <f t="shared" si="63"/>
        <v>4</v>
      </c>
      <c r="D1072">
        <v>26</v>
      </c>
      <c r="E1072" t="str">
        <f>"413"</f>
        <v>413</v>
      </c>
      <c r="F1072" t="str">
        <f t="shared" si="64"/>
        <v>0000</v>
      </c>
    </row>
    <row r="1073" spans="1:6">
      <c r="C1073" t="str">
        <f t="shared" si="63"/>
        <v>4</v>
      </c>
      <c r="D1073">
        <v>26</v>
      </c>
      <c r="E1073" t="str">
        <f>"270"</f>
        <v>270</v>
      </c>
      <c r="F1073" t="str">
        <f t="shared" si="64"/>
        <v>0000</v>
      </c>
    </row>
    <row r="1074" spans="1:6">
      <c r="A1074" t="str">
        <f>"E1203-259"</f>
        <v>E1203-259</v>
      </c>
      <c r="B1074" t="str">
        <f>"VIA P NEGROTTO CAMBIASO VICINO AL 121-"</f>
        <v>VIA P NEGROTTO CAMBIASO VICINO AL 121-</v>
      </c>
      <c r="C1074" t="str">
        <f t="shared" si="63"/>
        <v>4</v>
      </c>
      <c r="D1074">
        <v>26</v>
      </c>
      <c r="E1074" t="str">
        <f>"267"</f>
        <v>267</v>
      </c>
      <c r="F1074" t="str">
        <f t="shared" si="64"/>
        <v>0000</v>
      </c>
    </row>
    <row r="1075" spans="1:6">
      <c r="C1075" t="str">
        <f t="shared" si="63"/>
        <v>4</v>
      </c>
      <c r="D1075">
        <v>26</v>
      </c>
      <c r="E1075" t="str">
        <f>"99999"</f>
        <v>99999</v>
      </c>
      <c r="F1075" t="str">
        <f t="shared" si="64"/>
        <v>0000</v>
      </c>
    </row>
    <row r="1076" spans="1:6">
      <c r="C1076" t="str">
        <f t="shared" si="63"/>
        <v>4</v>
      </c>
      <c r="D1076">
        <v>26</v>
      </c>
      <c r="E1076" t="str">
        <f>"822"</f>
        <v>822</v>
      </c>
      <c r="F1076" t="str">
        <f t="shared" si="64"/>
        <v>0000</v>
      </c>
    </row>
    <row r="1077" spans="1:6">
      <c r="C1077" t="str">
        <f t="shared" si="63"/>
        <v>4</v>
      </c>
      <c r="D1077">
        <v>26</v>
      </c>
      <c r="E1077" t="str">
        <f>"549"</f>
        <v>549</v>
      </c>
      <c r="F1077" t="str">
        <f t="shared" si="64"/>
        <v>0000</v>
      </c>
    </row>
    <row r="1078" spans="1:6">
      <c r="C1078" t="str">
        <f t="shared" si="63"/>
        <v>4</v>
      </c>
      <c r="D1078">
        <v>26</v>
      </c>
      <c r="E1078" t="str">
        <f>"447"</f>
        <v>447</v>
      </c>
      <c r="F1078" t="str">
        <f t="shared" si="64"/>
        <v>0000</v>
      </c>
    </row>
    <row r="1079" spans="1:6">
      <c r="C1079" t="str">
        <f t="shared" si="63"/>
        <v>4</v>
      </c>
      <c r="D1079">
        <v>26</v>
      </c>
      <c r="E1079" t="str">
        <f>"439"</f>
        <v>439</v>
      </c>
      <c r="F1079" t="str">
        <f t="shared" si="64"/>
        <v>0000</v>
      </c>
    </row>
    <row r="1080" spans="1:6">
      <c r="C1080" t="str">
        <f t="shared" si="63"/>
        <v>4</v>
      </c>
      <c r="D1080">
        <v>26</v>
      </c>
      <c r="E1080" t="str">
        <f>"437"</f>
        <v>437</v>
      </c>
      <c r="F1080" t="str">
        <f t="shared" si="64"/>
        <v>0000</v>
      </c>
    </row>
    <row r="1081" spans="1:6">
      <c r="C1081" t="str">
        <f t="shared" si="63"/>
        <v>4</v>
      </c>
      <c r="D1081">
        <v>26</v>
      </c>
      <c r="E1081" t="str">
        <f>"419"</f>
        <v>419</v>
      </c>
      <c r="F1081" t="str">
        <f t="shared" si="64"/>
        <v>0000</v>
      </c>
    </row>
    <row r="1082" spans="1:6">
      <c r="C1082" t="str">
        <f t="shared" si="63"/>
        <v>4</v>
      </c>
      <c r="D1082">
        <v>26</v>
      </c>
      <c r="E1082" t="str">
        <f>"413"</f>
        <v>413</v>
      </c>
      <c r="F1082" t="str">
        <f t="shared" si="64"/>
        <v>0000</v>
      </c>
    </row>
    <row r="1083" spans="1:6">
      <c r="C1083" t="str">
        <f t="shared" si="63"/>
        <v>4</v>
      </c>
      <c r="D1083">
        <v>26</v>
      </c>
      <c r="E1083" t="str">
        <f>"268"</f>
        <v>268</v>
      </c>
      <c r="F1083" t="str">
        <f t="shared" si="64"/>
        <v>0000</v>
      </c>
    </row>
    <row r="1084" spans="1:6">
      <c r="C1084" t="str">
        <f t="shared" si="63"/>
        <v>4</v>
      </c>
      <c r="D1084">
        <v>26</v>
      </c>
      <c r="E1084" t="str">
        <f>"271"</f>
        <v>271</v>
      </c>
      <c r="F1084" t="str">
        <f t="shared" si="64"/>
        <v>0000</v>
      </c>
    </row>
    <row r="1085" spans="1:6">
      <c r="C1085" t="str">
        <f t="shared" si="63"/>
        <v>4</v>
      </c>
      <c r="D1085">
        <v>26</v>
      </c>
      <c r="E1085" t="str">
        <f>"270"</f>
        <v>270</v>
      </c>
      <c r="F1085" t="str">
        <f t="shared" si="64"/>
        <v>0000</v>
      </c>
    </row>
    <row r="1086" spans="1:6">
      <c r="A1086" t="str">
        <f>"E1203-260"</f>
        <v>E1203-260</v>
      </c>
      <c r="B1086" t="str">
        <f>"VIA P NEGROTTO CAMBIASO VICINO AL 121-"</f>
        <v>VIA P NEGROTTO CAMBIASO VICINO AL 121-</v>
      </c>
      <c r="C1086" t="str">
        <f t="shared" si="63"/>
        <v>4</v>
      </c>
      <c r="D1086">
        <v>26</v>
      </c>
      <c r="E1086" t="str">
        <f>"267"</f>
        <v>267</v>
      </c>
      <c r="F1086" t="str">
        <f t="shared" si="64"/>
        <v>0000</v>
      </c>
    </row>
    <row r="1087" spans="1:6">
      <c r="C1087" t="str">
        <f t="shared" si="63"/>
        <v>4</v>
      </c>
      <c r="D1087">
        <v>26</v>
      </c>
      <c r="E1087" t="str">
        <f>"268"</f>
        <v>268</v>
      </c>
      <c r="F1087" t="str">
        <f t="shared" si="64"/>
        <v>0000</v>
      </c>
    </row>
    <row r="1088" spans="1:6">
      <c r="C1088" t="str">
        <f t="shared" si="63"/>
        <v>4</v>
      </c>
      <c r="D1088">
        <v>26</v>
      </c>
      <c r="E1088" t="str">
        <f>"271"</f>
        <v>271</v>
      </c>
      <c r="F1088" t="str">
        <f t="shared" si="64"/>
        <v>0000</v>
      </c>
    </row>
    <row r="1089" spans="1:6">
      <c r="C1089" t="str">
        <f t="shared" si="63"/>
        <v>4</v>
      </c>
      <c r="D1089">
        <v>26</v>
      </c>
      <c r="E1089" t="str">
        <f>"419"</f>
        <v>419</v>
      </c>
      <c r="F1089" t="str">
        <f t="shared" si="64"/>
        <v>0000</v>
      </c>
    </row>
    <row r="1090" spans="1:6">
      <c r="C1090" t="str">
        <f t="shared" si="63"/>
        <v>4</v>
      </c>
      <c r="D1090">
        <v>26</v>
      </c>
      <c r="E1090" t="str">
        <f>"439"</f>
        <v>439</v>
      </c>
      <c r="F1090" t="str">
        <f t="shared" si="64"/>
        <v>0000</v>
      </c>
    </row>
    <row r="1091" spans="1:6">
      <c r="C1091" t="str">
        <f t="shared" si="63"/>
        <v>4</v>
      </c>
      <c r="D1091">
        <v>26</v>
      </c>
      <c r="E1091" t="str">
        <f>"99999"</f>
        <v>99999</v>
      </c>
      <c r="F1091" t="str">
        <f t="shared" si="64"/>
        <v>0000</v>
      </c>
    </row>
    <row r="1092" spans="1:6">
      <c r="C1092" t="str">
        <f t="shared" si="63"/>
        <v>4</v>
      </c>
      <c r="D1092">
        <v>26</v>
      </c>
      <c r="E1092" t="str">
        <f>"822"</f>
        <v>822</v>
      </c>
      <c r="F1092" t="str">
        <f t="shared" si="64"/>
        <v>0000</v>
      </c>
    </row>
    <row r="1093" spans="1:6">
      <c r="C1093" t="str">
        <f t="shared" si="63"/>
        <v>4</v>
      </c>
      <c r="D1093">
        <v>26</v>
      </c>
      <c r="E1093" t="str">
        <f>"549"</f>
        <v>549</v>
      </c>
      <c r="F1093" t="str">
        <f t="shared" si="64"/>
        <v>0000</v>
      </c>
    </row>
    <row r="1094" spans="1:6">
      <c r="C1094" t="str">
        <f t="shared" si="63"/>
        <v>4</v>
      </c>
      <c r="D1094">
        <v>26</v>
      </c>
      <c r="E1094" t="str">
        <f>"447"</f>
        <v>447</v>
      </c>
      <c r="F1094" t="str">
        <f t="shared" si="64"/>
        <v>0000</v>
      </c>
    </row>
    <row r="1095" spans="1:6">
      <c r="C1095" t="str">
        <f t="shared" si="63"/>
        <v>4</v>
      </c>
      <c r="D1095">
        <v>26</v>
      </c>
      <c r="E1095" t="str">
        <f>"437"</f>
        <v>437</v>
      </c>
      <c r="F1095" t="str">
        <f t="shared" si="64"/>
        <v>0000</v>
      </c>
    </row>
    <row r="1096" spans="1:6">
      <c r="C1096" t="str">
        <f t="shared" si="63"/>
        <v>4</v>
      </c>
      <c r="D1096">
        <v>26</v>
      </c>
      <c r="E1096" t="str">
        <f>"413"</f>
        <v>413</v>
      </c>
      <c r="F1096" t="str">
        <f t="shared" si="64"/>
        <v>0000</v>
      </c>
    </row>
    <row r="1097" spans="1:6">
      <c r="C1097" t="str">
        <f t="shared" si="63"/>
        <v>4</v>
      </c>
      <c r="D1097">
        <v>26</v>
      </c>
      <c r="E1097" t="str">
        <f>"270"</f>
        <v>270</v>
      </c>
      <c r="F1097" t="str">
        <f t="shared" si="64"/>
        <v>0000</v>
      </c>
    </row>
    <row r="1098" spans="1:6">
      <c r="A1098" t="str">
        <f>"E1203-261"</f>
        <v>E1203-261</v>
      </c>
      <c r="B1098" t="str">
        <f>"VIA P NEGROTTO CAMBIASO VICINO AL 121-"</f>
        <v>VIA P NEGROTTO CAMBIASO VICINO AL 121-</v>
      </c>
      <c r="C1098" t="str">
        <f t="shared" si="63"/>
        <v>4</v>
      </c>
      <c r="D1098">
        <v>26</v>
      </c>
      <c r="E1098" t="str">
        <f>"267"</f>
        <v>267</v>
      </c>
      <c r="F1098" t="str">
        <f t="shared" si="64"/>
        <v>0000</v>
      </c>
    </row>
    <row r="1099" spans="1:6">
      <c r="C1099" t="str">
        <f t="shared" si="63"/>
        <v>4</v>
      </c>
      <c r="D1099">
        <v>26</v>
      </c>
      <c r="E1099" t="str">
        <f>"99999"</f>
        <v>99999</v>
      </c>
      <c r="F1099" t="str">
        <f t="shared" si="64"/>
        <v>0000</v>
      </c>
    </row>
    <row r="1100" spans="1:6">
      <c r="C1100" t="str">
        <f t="shared" si="63"/>
        <v>4</v>
      </c>
      <c r="D1100">
        <v>26</v>
      </c>
      <c r="E1100" t="str">
        <f>"822"</f>
        <v>822</v>
      </c>
      <c r="F1100" t="str">
        <f t="shared" si="64"/>
        <v>0000</v>
      </c>
    </row>
    <row r="1101" spans="1:6">
      <c r="C1101" t="str">
        <f t="shared" si="63"/>
        <v>4</v>
      </c>
      <c r="D1101">
        <v>26</v>
      </c>
      <c r="E1101" t="str">
        <f>"549"</f>
        <v>549</v>
      </c>
      <c r="F1101" t="str">
        <f t="shared" si="64"/>
        <v>0000</v>
      </c>
    </row>
    <row r="1102" spans="1:6">
      <c r="C1102" t="str">
        <f t="shared" si="63"/>
        <v>4</v>
      </c>
      <c r="D1102">
        <v>26</v>
      </c>
      <c r="E1102" t="str">
        <f>"447"</f>
        <v>447</v>
      </c>
      <c r="F1102" t="str">
        <f t="shared" si="64"/>
        <v>0000</v>
      </c>
    </row>
    <row r="1103" spans="1:6">
      <c r="C1103" t="str">
        <f t="shared" si="63"/>
        <v>4</v>
      </c>
      <c r="D1103">
        <v>26</v>
      </c>
      <c r="E1103" t="str">
        <f>"439"</f>
        <v>439</v>
      </c>
      <c r="F1103" t="str">
        <f t="shared" si="64"/>
        <v>0000</v>
      </c>
    </row>
    <row r="1104" spans="1:6">
      <c r="C1104" t="str">
        <f t="shared" si="63"/>
        <v>4</v>
      </c>
      <c r="D1104">
        <v>26</v>
      </c>
      <c r="E1104" t="str">
        <f>"437"</f>
        <v>437</v>
      </c>
      <c r="F1104" t="str">
        <f t="shared" si="64"/>
        <v>0000</v>
      </c>
    </row>
    <row r="1105" spans="1:6">
      <c r="C1105" t="str">
        <f t="shared" si="63"/>
        <v>4</v>
      </c>
      <c r="D1105">
        <v>26</v>
      </c>
      <c r="E1105" t="str">
        <f>"419"</f>
        <v>419</v>
      </c>
      <c r="F1105" t="str">
        <f t="shared" si="64"/>
        <v>0000</v>
      </c>
    </row>
    <row r="1106" spans="1:6">
      <c r="C1106" t="str">
        <f t="shared" si="63"/>
        <v>4</v>
      </c>
      <c r="D1106">
        <v>26</v>
      </c>
      <c r="E1106" t="str">
        <f>"413"</f>
        <v>413</v>
      </c>
      <c r="F1106" t="str">
        <f t="shared" si="64"/>
        <v>0000</v>
      </c>
    </row>
    <row r="1107" spans="1:6">
      <c r="C1107" t="str">
        <f t="shared" si="63"/>
        <v>4</v>
      </c>
      <c r="D1107">
        <v>26</v>
      </c>
      <c r="E1107" t="str">
        <f>"268"</f>
        <v>268</v>
      </c>
      <c r="F1107" t="str">
        <f t="shared" si="64"/>
        <v>0000</v>
      </c>
    </row>
    <row r="1108" spans="1:6">
      <c r="C1108" t="str">
        <f t="shared" si="63"/>
        <v>4</v>
      </c>
      <c r="D1108">
        <v>26</v>
      </c>
      <c r="E1108" t="str">
        <f>"271"</f>
        <v>271</v>
      </c>
      <c r="F1108" t="str">
        <f t="shared" si="64"/>
        <v>0000</v>
      </c>
    </row>
    <row r="1109" spans="1:6">
      <c r="C1109" t="str">
        <f t="shared" si="63"/>
        <v>4</v>
      </c>
      <c r="D1109">
        <v>26</v>
      </c>
      <c r="E1109" t="str">
        <f>"270"</f>
        <v>270</v>
      </c>
      <c r="F1109" t="str">
        <f t="shared" si="64"/>
        <v>0000</v>
      </c>
    </row>
    <row r="1110" spans="1:6">
      <c r="A1110" t="str">
        <f>"E1203-262"</f>
        <v>E1203-262</v>
      </c>
      <c r="B1110" t="str">
        <f>"VIA P NEGROTTO CAMBIASO VICINO AL 121-"</f>
        <v>VIA P NEGROTTO CAMBIASO VICINO AL 121-</v>
      </c>
      <c r="C1110" t="str">
        <f t="shared" si="63"/>
        <v>4</v>
      </c>
      <c r="D1110">
        <v>26</v>
      </c>
      <c r="E1110" t="str">
        <f>"267"</f>
        <v>267</v>
      </c>
      <c r="F1110" t="str">
        <f t="shared" si="64"/>
        <v>0000</v>
      </c>
    </row>
    <row r="1111" spans="1:6">
      <c r="C1111" t="str">
        <f t="shared" si="63"/>
        <v>4</v>
      </c>
      <c r="D1111">
        <v>26</v>
      </c>
      <c r="E1111" t="str">
        <f>"268"</f>
        <v>268</v>
      </c>
      <c r="F1111" t="str">
        <f t="shared" si="64"/>
        <v>0000</v>
      </c>
    </row>
    <row r="1112" spans="1:6">
      <c r="C1112" t="str">
        <f t="shared" si="63"/>
        <v>4</v>
      </c>
      <c r="D1112">
        <v>26</v>
      </c>
      <c r="E1112" t="str">
        <f>"271"</f>
        <v>271</v>
      </c>
      <c r="F1112" t="str">
        <f t="shared" si="64"/>
        <v>0000</v>
      </c>
    </row>
    <row r="1113" spans="1:6">
      <c r="C1113" t="str">
        <f t="shared" si="63"/>
        <v>4</v>
      </c>
      <c r="D1113">
        <v>26</v>
      </c>
      <c r="E1113" t="str">
        <f>"419"</f>
        <v>419</v>
      </c>
      <c r="F1113" t="str">
        <f t="shared" si="64"/>
        <v>0000</v>
      </c>
    </row>
    <row r="1114" spans="1:6">
      <c r="C1114" t="str">
        <f t="shared" si="63"/>
        <v>4</v>
      </c>
      <c r="D1114">
        <v>26</v>
      </c>
      <c r="E1114" t="str">
        <f>"439"</f>
        <v>439</v>
      </c>
      <c r="F1114" t="str">
        <f t="shared" si="64"/>
        <v>0000</v>
      </c>
    </row>
    <row r="1115" spans="1:6">
      <c r="C1115" t="str">
        <f t="shared" si="63"/>
        <v>4</v>
      </c>
      <c r="D1115">
        <v>26</v>
      </c>
      <c r="E1115" t="str">
        <f>"99999"</f>
        <v>99999</v>
      </c>
      <c r="F1115" t="str">
        <f t="shared" si="64"/>
        <v>0000</v>
      </c>
    </row>
    <row r="1116" spans="1:6">
      <c r="C1116" t="str">
        <f t="shared" si="63"/>
        <v>4</v>
      </c>
      <c r="D1116">
        <v>26</v>
      </c>
      <c r="E1116" t="str">
        <f>"822"</f>
        <v>822</v>
      </c>
      <c r="F1116" t="str">
        <f t="shared" si="64"/>
        <v>0000</v>
      </c>
    </row>
    <row r="1117" spans="1:6">
      <c r="C1117" t="str">
        <f t="shared" si="63"/>
        <v>4</v>
      </c>
      <c r="D1117">
        <v>26</v>
      </c>
      <c r="E1117" t="str">
        <f>"549"</f>
        <v>549</v>
      </c>
      <c r="F1117" t="str">
        <f t="shared" si="64"/>
        <v>0000</v>
      </c>
    </row>
    <row r="1118" spans="1:6">
      <c r="C1118" t="str">
        <f t="shared" si="63"/>
        <v>4</v>
      </c>
      <c r="D1118">
        <v>26</v>
      </c>
      <c r="E1118" t="str">
        <f>"447"</f>
        <v>447</v>
      </c>
      <c r="F1118" t="str">
        <f t="shared" si="64"/>
        <v>0000</v>
      </c>
    </row>
    <row r="1119" spans="1:6">
      <c r="C1119" t="str">
        <f t="shared" si="63"/>
        <v>4</v>
      </c>
      <c r="D1119">
        <v>26</v>
      </c>
      <c r="E1119" t="str">
        <f>"437"</f>
        <v>437</v>
      </c>
      <c r="F1119" t="str">
        <f t="shared" si="64"/>
        <v>0000</v>
      </c>
    </row>
    <row r="1120" spans="1:6">
      <c r="C1120" t="str">
        <f t="shared" si="63"/>
        <v>4</v>
      </c>
      <c r="D1120">
        <v>26</v>
      </c>
      <c r="E1120" t="str">
        <f>"413"</f>
        <v>413</v>
      </c>
      <c r="F1120" t="str">
        <f t="shared" si="64"/>
        <v>0000</v>
      </c>
    </row>
    <row r="1121" spans="1:6">
      <c r="C1121" t="str">
        <f t="shared" si="63"/>
        <v>4</v>
      </c>
      <c r="D1121">
        <v>26</v>
      </c>
      <c r="E1121" t="str">
        <f>"270"</f>
        <v>270</v>
      </c>
      <c r="F1121" t="str">
        <f t="shared" si="64"/>
        <v>0000</v>
      </c>
    </row>
    <row r="1122" spans="1:6">
      <c r="A1122" t="str">
        <f>"E1203-263"</f>
        <v>E1203-263</v>
      </c>
      <c r="B1122" t="str">
        <f>"VIA P NEGROTTO CAMBIASO VICINO AL 121-"</f>
        <v>VIA P NEGROTTO CAMBIASO VICINO AL 121-</v>
      </c>
      <c r="C1122" t="str">
        <f t="shared" si="63"/>
        <v>4</v>
      </c>
      <c r="D1122">
        <v>26</v>
      </c>
      <c r="E1122" t="str">
        <f>"267"</f>
        <v>267</v>
      </c>
      <c r="F1122" t="str">
        <f t="shared" si="64"/>
        <v>0000</v>
      </c>
    </row>
    <row r="1123" spans="1:6">
      <c r="C1123" t="str">
        <f t="shared" si="63"/>
        <v>4</v>
      </c>
      <c r="D1123">
        <v>26</v>
      </c>
      <c r="E1123" t="str">
        <f>"99999"</f>
        <v>99999</v>
      </c>
      <c r="F1123" t="str">
        <f t="shared" si="64"/>
        <v>0000</v>
      </c>
    </row>
    <row r="1124" spans="1:6">
      <c r="C1124" t="str">
        <f t="shared" si="63"/>
        <v>4</v>
      </c>
      <c r="D1124">
        <v>26</v>
      </c>
      <c r="E1124" t="str">
        <f>"822"</f>
        <v>822</v>
      </c>
      <c r="F1124" t="str">
        <f t="shared" si="64"/>
        <v>0000</v>
      </c>
    </row>
    <row r="1125" spans="1:6">
      <c r="C1125" t="str">
        <f t="shared" si="63"/>
        <v>4</v>
      </c>
      <c r="D1125">
        <v>26</v>
      </c>
      <c r="E1125" t="str">
        <f>"549"</f>
        <v>549</v>
      </c>
      <c r="F1125" t="str">
        <f t="shared" si="64"/>
        <v>0000</v>
      </c>
    </row>
    <row r="1126" spans="1:6">
      <c r="C1126" t="str">
        <f t="shared" si="63"/>
        <v>4</v>
      </c>
      <c r="D1126">
        <v>26</v>
      </c>
      <c r="E1126" t="str">
        <f>"447"</f>
        <v>447</v>
      </c>
      <c r="F1126" t="str">
        <f t="shared" si="64"/>
        <v>0000</v>
      </c>
    </row>
    <row r="1127" spans="1:6">
      <c r="C1127" t="str">
        <f t="shared" si="63"/>
        <v>4</v>
      </c>
      <c r="D1127">
        <v>26</v>
      </c>
      <c r="E1127" t="str">
        <f>"439"</f>
        <v>439</v>
      </c>
      <c r="F1127" t="str">
        <f t="shared" si="64"/>
        <v>0000</v>
      </c>
    </row>
    <row r="1128" spans="1:6">
      <c r="C1128" t="str">
        <f t="shared" si="63"/>
        <v>4</v>
      </c>
      <c r="D1128">
        <v>26</v>
      </c>
      <c r="E1128" t="str">
        <f>"437"</f>
        <v>437</v>
      </c>
      <c r="F1128" t="str">
        <f t="shared" si="64"/>
        <v>0000</v>
      </c>
    </row>
    <row r="1129" spans="1:6">
      <c r="C1129" t="str">
        <f t="shared" si="63"/>
        <v>4</v>
      </c>
      <c r="D1129">
        <v>26</v>
      </c>
      <c r="E1129" t="str">
        <f>"419"</f>
        <v>419</v>
      </c>
      <c r="F1129" t="str">
        <f t="shared" si="64"/>
        <v>0000</v>
      </c>
    </row>
    <row r="1130" spans="1:6">
      <c r="C1130" t="str">
        <f t="shared" si="63"/>
        <v>4</v>
      </c>
      <c r="D1130">
        <v>26</v>
      </c>
      <c r="E1130" t="str">
        <f>"413"</f>
        <v>413</v>
      </c>
      <c r="F1130" t="str">
        <f t="shared" si="64"/>
        <v>0000</v>
      </c>
    </row>
    <row r="1131" spans="1:6">
      <c r="C1131" t="str">
        <f t="shared" si="63"/>
        <v>4</v>
      </c>
      <c r="D1131">
        <v>26</v>
      </c>
      <c r="E1131" t="str">
        <f>"268"</f>
        <v>268</v>
      </c>
      <c r="F1131" t="str">
        <f t="shared" si="64"/>
        <v>0000</v>
      </c>
    </row>
    <row r="1132" spans="1:6">
      <c r="C1132" t="str">
        <f t="shared" si="63"/>
        <v>4</v>
      </c>
      <c r="D1132">
        <v>26</v>
      </c>
      <c r="E1132" t="str">
        <f>"271"</f>
        <v>271</v>
      </c>
      <c r="F1132" t="str">
        <f t="shared" si="64"/>
        <v>0000</v>
      </c>
    </row>
    <row r="1133" spans="1:6">
      <c r="C1133" t="str">
        <f t="shared" si="63"/>
        <v>4</v>
      </c>
      <c r="D1133">
        <v>26</v>
      </c>
      <c r="E1133" t="str">
        <f>"270"</f>
        <v>270</v>
      </c>
      <c r="F1133" t="str">
        <f t="shared" si="64"/>
        <v>0000</v>
      </c>
    </row>
    <row r="1134" spans="1:6">
      <c r="A1134" t="str">
        <f>"E1203-264"</f>
        <v>E1203-264</v>
      </c>
      <c r="B1134" t="str">
        <f>"VIA CARLO LINNEO VICINO AL 184-"</f>
        <v>VIA CARLO LINNEO VICINO AL 184-</v>
      </c>
      <c r="C1134" t="str">
        <f t="shared" ref="C1134:C1146" si="65">"4"</f>
        <v>4</v>
      </c>
      <c r="D1134">
        <v>26</v>
      </c>
      <c r="E1134" t="str">
        <f>"267"</f>
        <v>267</v>
      </c>
      <c r="F1134" t="str">
        <f t="shared" ref="F1134:F1146" si="66">"0000"</f>
        <v>0000</v>
      </c>
    </row>
    <row r="1135" spans="1:6">
      <c r="C1135" t="str">
        <f t="shared" si="65"/>
        <v>4</v>
      </c>
      <c r="D1135">
        <v>26</v>
      </c>
      <c r="E1135" t="str">
        <f>"268"</f>
        <v>268</v>
      </c>
      <c r="F1135" t="str">
        <f t="shared" si="66"/>
        <v>0000</v>
      </c>
    </row>
    <row r="1136" spans="1:6">
      <c r="C1136" t="str">
        <f t="shared" si="65"/>
        <v>4</v>
      </c>
      <c r="D1136">
        <v>26</v>
      </c>
      <c r="E1136" t="str">
        <f>"271"</f>
        <v>271</v>
      </c>
      <c r="F1136" t="str">
        <f t="shared" si="66"/>
        <v>0000</v>
      </c>
    </row>
    <row r="1137" spans="1:6">
      <c r="C1137" t="str">
        <f t="shared" si="65"/>
        <v>4</v>
      </c>
      <c r="D1137">
        <v>26</v>
      </c>
      <c r="E1137" t="str">
        <f>"419"</f>
        <v>419</v>
      </c>
      <c r="F1137" t="str">
        <f t="shared" si="66"/>
        <v>0000</v>
      </c>
    </row>
    <row r="1138" spans="1:6">
      <c r="C1138" t="str">
        <f t="shared" si="65"/>
        <v>4</v>
      </c>
      <c r="D1138">
        <v>26</v>
      </c>
      <c r="E1138" t="str">
        <f>"439"</f>
        <v>439</v>
      </c>
      <c r="F1138" t="str">
        <f t="shared" si="66"/>
        <v>0000</v>
      </c>
    </row>
    <row r="1139" spans="1:6">
      <c r="C1139" t="str">
        <f t="shared" si="65"/>
        <v>4</v>
      </c>
      <c r="D1139">
        <v>26</v>
      </c>
      <c r="E1139" t="str">
        <f>"99999"</f>
        <v>99999</v>
      </c>
      <c r="F1139" t="str">
        <f t="shared" si="66"/>
        <v>0000</v>
      </c>
    </row>
    <row r="1140" spans="1:6">
      <c r="C1140" t="str">
        <f t="shared" si="65"/>
        <v>4</v>
      </c>
      <c r="D1140">
        <v>26</v>
      </c>
      <c r="E1140" t="str">
        <f>"822"</f>
        <v>822</v>
      </c>
      <c r="F1140" t="str">
        <f t="shared" si="66"/>
        <v>0000</v>
      </c>
    </row>
    <row r="1141" spans="1:6">
      <c r="C1141" t="str">
        <f t="shared" si="65"/>
        <v>4</v>
      </c>
      <c r="D1141">
        <v>26</v>
      </c>
      <c r="E1141" t="str">
        <f>"549"</f>
        <v>549</v>
      </c>
      <c r="F1141" t="str">
        <f t="shared" si="66"/>
        <v>0000</v>
      </c>
    </row>
    <row r="1142" spans="1:6">
      <c r="C1142" t="str">
        <f t="shared" si="65"/>
        <v>4</v>
      </c>
      <c r="D1142">
        <v>26</v>
      </c>
      <c r="E1142" t="str">
        <f>"447"</f>
        <v>447</v>
      </c>
      <c r="F1142" t="str">
        <f t="shared" si="66"/>
        <v>0000</v>
      </c>
    </row>
    <row r="1143" spans="1:6">
      <c r="C1143" t="str">
        <f t="shared" si="65"/>
        <v>4</v>
      </c>
      <c r="D1143">
        <v>26</v>
      </c>
      <c r="E1143" t="str">
        <f>"437"</f>
        <v>437</v>
      </c>
      <c r="F1143" t="str">
        <f t="shared" si="66"/>
        <v>0000</v>
      </c>
    </row>
    <row r="1144" spans="1:6">
      <c r="C1144" t="str">
        <f t="shared" si="65"/>
        <v>4</v>
      </c>
      <c r="D1144">
        <v>26</v>
      </c>
      <c r="E1144" t="str">
        <f>"413"</f>
        <v>413</v>
      </c>
      <c r="F1144" t="str">
        <f t="shared" si="66"/>
        <v>0000</v>
      </c>
    </row>
    <row r="1145" spans="1:6">
      <c r="C1145" t="str">
        <f t="shared" si="65"/>
        <v>4</v>
      </c>
      <c r="D1145">
        <v>26</v>
      </c>
      <c r="E1145" t="str">
        <f>"270"</f>
        <v>270</v>
      </c>
      <c r="F1145" t="str">
        <f t="shared" si="66"/>
        <v>0000</v>
      </c>
    </row>
    <row r="1146" spans="1:6">
      <c r="A1146" t="str">
        <f>"E1204-1"</f>
        <v>E1204-1</v>
      </c>
      <c r="B1146" t="str">
        <f>"VIA SANT NS DELLA GUARDIA VICINO AL 41CR-"</f>
        <v>VIA SANT NS DELLA GUARDIA VICINO AL 41CR-</v>
      </c>
      <c r="C1146" t="str">
        <f t="shared" si="65"/>
        <v>4</v>
      </c>
      <c r="D1146">
        <v>14</v>
      </c>
      <c r="E1146" t="str">
        <f>"285"</f>
        <v>285</v>
      </c>
      <c r="F1146" t="str">
        <f t="shared" si="66"/>
        <v>0000</v>
      </c>
    </row>
    <row r="1147" spans="1:6">
      <c r="A1147" t="str">
        <f>"E1206-1"</f>
        <v>E1206-1</v>
      </c>
      <c r="B1147" t="str">
        <f>"VIA PASQUALE PASTORINO  23R-"</f>
        <v>VIA PASQUALE PASTORINO  23R-</v>
      </c>
      <c r="C1147" t="str">
        <f>"BOL"</f>
        <v>BOL</v>
      </c>
      <c r="D1147">
        <v>18</v>
      </c>
      <c r="E1147" t="str">
        <f>"58"</f>
        <v>58</v>
      </c>
      <c r="F1147" t="str">
        <f>"2"</f>
        <v>2</v>
      </c>
    </row>
    <row r="1148" spans="1:6">
      <c r="C1148" t="str">
        <f>"BOL"</f>
        <v>BOL</v>
      </c>
      <c r="D1148">
        <v>18</v>
      </c>
      <c r="E1148" t="str">
        <f>"60"</f>
        <v>60</v>
      </c>
      <c r="F1148" t="str">
        <f>"6"</f>
        <v>6</v>
      </c>
    </row>
    <row r="1149" spans="1:6">
      <c r="C1149" t="str">
        <f>"BOL"</f>
        <v>BOL</v>
      </c>
      <c r="D1149">
        <v>18</v>
      </c>
      <c r="E1149" t="str">
        <f>"61"</f>
        <v>61</v>
      </c>
      <c r="F1149" t="str">
        <f>"0000"</f>
        <v>0000</v>
      </c>
    </row>
    <row r="1150" spans="1:6">
      <c r="C1150" t="str">
        <f>"BOL"</f>
        <v>BOL</v>
      </c>
      <c r="D1150">
        <v>18</v>
      </c>
      <c r="E1150" t="str">
        <f>"59"</f>
        <v>59</v>
      </c>
      <c r="F1150" t="str">
        <f>"2"</f>
        <v>2</v>
      </c>
    </row>
    <row r="1151" spans="1:6">
      <c r="A1151" t="str">
        <f>"E1207-1"</f>
        <v>E1207-1</v>
      </c>
      <c r="B1151" t="str">
        <f t="shared" ref="B1151:B1162" si="67">"VIA P NEGROTTO CAMBIASO  160A-"</f>
        <v>VIA P NEGROTTO CAMBIASO  160A-</v>
      </c>
      <c r="C1151" t="str">
        <f t="shared" ref="C1151:C1182" si="68">"RIV"</f>
        <v>RIV</v>
      </c>
      <c r="D1151">
        <v>27</v>
      </c>
      <c r="E1151" t="str">
        <f t="shared" ref="E1151:E1177" si="69">"944"</f>
        <v>944</v>
      </c>
      <c r="F1151" t="str">
        <f>"86"</f>
        <v>86</v>
      </c>
    </row>
    <row r="1152" spans="1:6">
      <c r="A1152" t="str">
        <f>"E1207-2"</f>
        <v>E1207-2</v>
      </c>
      <c r="B1152" t="str">
        <f t="shared" si="67"/>
        <v>VIA P NEGROTTO CAMBIASO  160A-</v>
      </c>
      <c r="C1152" t="str">
        <f t="shared" si="68"/>
        <v>RIV</v>
      </c>
      <c r="D1152">
        <v>27</v>
      </c>
      <c r="E1152" t="str">
        <f t="shared" si="69"/>
        <v>944</v>
      </c>
      <c r="F1152" t="str">
        <f>"87"</f>
        <v>87</v>
      </c>
    </row>
    <row r="1153" spans="1:6">
      <c r="A1153" t="str">
        <f>"E1207-3"</f>
        <v>E1207-3</v>
      </c>
      <c r="B1153" t="str">
        <f t="shared" si="67"/>
        <v>VIA P NEGROTTO CAMBIASO  160A-</v>
      </c>
      <c r="C1153" t="str">
        <f t="shared" si="68"/>
        <v>RIV</v>
      </c>
      <c r="D1153">
        <v>27</v>
      </c>
      <c r="E1153" t="str">
        <f t="shared" si="69"/>
        <v>944</v>
      </c>
      <c r="F1153" t="str">
        <f>"88"</f>
        <v>88</v>
      </c>
    </row>
    <row r="1154" spans="1:6">
      <c r="A1154" t="str">
        <f>"E1207-5"</f>
        <v>E1207-5</v>
      </c>
      <c r="B1154" t="str">
        <f t="shared" si="67"/>
        <v>VIA P NEGROTTO CAMBIASO  160A-</v>
      </c>
      <c r="C1154" t="str">
        <f t="shared" si="68"/>
        <v>RIV</v>
      </c>
      <c r="D1154">
        <v>27</v>
      </c>
      <c r="E1154" t="str">
        <f t="shared" si="69"/>
        <v>944</v>
      </c>
      <c r="F1154" t="str">
        <f>"90"</f>
        <v>90</v>
      </c>
    </row>
    <row r="1155" spans="1:6">
      <c r="A1155" t="str">
        <f>"E1207-6"</f>
        <v>E1207-6</v>
      </c>
      <c r="B1155" t="str">
        <f t="shared" si="67"/>
        <v>VIA P NEGROTTO CAMBIASO  160A-</v>
      </c>
      <c r="C1155" t="str">
        <f t="shared" si="68"/>
        <v>RIV</v>
      </c>
      <c r="D1155">
        <v>27</v>
      </c>
      <c r="E1155" t="str">
        <f t="shared" si="69"/>
        <v>944</v>
      </c>
      <c r="F1155" t="str">
        <f>"91"</f>
        <v>91</v>
      </c>
    </row>
    <row r="1156" spans="1:6">
      <c r="A1156" t="str">
        <f>"E1207-7"</f>
        <v>E1207-7</v>
      </c>
      <c r="B1156" t="str">
        <f t="shared" si="67"/>
        <v>VIA P NEGROTTO CAMBIASO  160A-</v>
      </c>
      <c r="C1156" t="str">
        <f t="shared" si="68"/>
        <v>RIV</v>
      </c>
      <c r="D1156">
        <v>27</v>
      </c>
      <c r="E1156" t="str">
        <f t="shared" si="69"/>
        <v>944</v>
      </c>
      <c r="F1156" t="str">
        <f>"92"</f>
        <v>92</v>
      </c>
    </row>
    <row r="1157" spans="1:6">
      <c r="A1157" t="str">
        <f>"E1207-8"</f>
        <v>E1207-8</v>
      </c>
      <c r="B1157" t="str">
        <f t="shared" si="67"/>
        <v>VIA P NEGROTTO CAMBIASO  160A-</v>
      </c>
      <c r="C1157" t="str">
        <f t="shared" si="68"/>
        <v>RIV</v>
      </c>
      <c r="D1157">
        <v>27</v>
      </c>
      <c r="E1157" t="str">
        <f t="shared" si="69"/>
        <v>944</v>
      </c>
      <c r="F1157" t="str">
        <f>"93"</f>
        <v>93</v>
      </c>
    </row>
    <row r="1158" spans="1:6">
      <c r="A1158" t="str">
        <f>"E1207-9"</f>
        <v>E1207-9</v>
      </c>
      <c r="B1158" t="str">
        <f t="shared" si="67"/>
        <v>VIA P NEGROTTO CAMBIASO  160A-</v>
      </c>
      <c r="C1158" t="str">
        <f t="shared" si="68"/>
        <v>RIV</v>
      </c>
      <c r="D1158">
        <v>27</v>
      </c>
      <c r="E1158" t="str">
        <f t="shared" si="69"/>
        <v>944</v>
      </c>
      <c r="F1158" t="str">
        <f>"94"</f>
        <v>94</v>
      </c>
    </row>
    <row r="1159" spans="1:6">
      <c r="A1159" t="str">
        <f>"E1207-10"</f>
        <v>E1207-10</v>
      </c>
      <c r="B1159" t="str">
        <f t="shared" si="67"/>
        <v>VIA P NEGROTTO CAMBIASO  160A-</v>
      </c>
      <c r="C1159" t="str">
        <f t="shared" si="68"/>
        <v>RIV</v>
      </c>
      <c r="D1159">
        <v>27</v>
      </c>
      <c r="E1159" t="str">
        <f t="shared" si="69"/>
        <v>944</v>
      </c>
      <c r="F1159" t="str">
        <f>"95"</f>
        <v>95</v>
      </c>
    </row>
    <row r="1160" spans="1:6">
      <c r="A1160" t="str">
        <f>"E1207-12"</f>
        <v>E1207-12</v>
      </c>
      <c r="B1160" t="str">
        <f t="shared" si="67"/>
        <v>VIA P NEGROTTO CAMBIASO  160A-</v>
      </c>
      <c r="C1160" t="str">
        <f t="shared" si="68"/>
        <v>RIV</v>
      </c>
      <c r="D1160">
        <v>27</v>
      </c>
      <c r="E1160" t="str">
        <f t="shared" si="69"/>
        <v>944</v>
      </c>
      <c r="F1160" t="str">
        <f>"97"</f>
        <v>97</v>
      </c>
    </row>
    <row r="1161" spans="1:6">
      <c r="A1161" t="str">
        <f>"E1207-13"</f>
        <v>E1207-13</v>
      </c>
      <c r="B1161" t="str">
        <f t="shared" si="67"/>
        <v>VIA P NEGROTTO CAMBIASO  160A-</v>
      </c>
      <c r="C1161" t="str">
        <f t="shared" si="68"/>
        <v>RIV</v>
      </c>
      <c r="D1161">
        <v>27</v>
      </c>
      <c r="E1161" t="str">
        <f t="shared" si="69"/>
        <v>944</v>
      </c>
      <c r="F1161" t="str">
        <f>"98"</f>
        <v>98</v>
      </c>
    </row>
    <row r="1162" spans="1:6">
      <c r="A1162" t="str">
        <f>"E1207-16"</f>
        <v>E1207-16</v>
      </c>
      <c r="B1162" t="str">
        <f t="shared" si="67"/>
        <v>VIA P NEGROTTO CAMBIASO  160A-</v>
      </c>
      <c r="C1162" t="str">
        <f t="shared" si="68"/>
        <v>RIV</v>
      </c>
      <c r="D1162">
        <v>27</v>
      </c>
      <c r="E1162" t="str">
        <f t="shared" si="69"/>
        <v>944</v>
      </c>
      <c r="F1162" t="str">
        <f>"101"</f>
        <v>101</v>
      </c>
    </row>
    <row r="1163" spans="1:6">
      <c r="A1163" t="str">
        <f>"E1207-17"</f>
        <v>E1207-17</v>
      </c>
      <c r="B1163" t="str">
        <f>"VIA FELICE MARITANO  164-"</f>
        <v>VIA FELICE MARITANO  164-</v>
      </c>
      <c r="C1163" t="str">
        <f t="shared" si="68"/>
        <v>RIV</v>
      </c>
      <c r="D1163">
        <v>27</v>
      </c>
      <c r="E1163" t="str">
        <f t="shared" si="69"/>
        <v>944</v>
      </c>
      <c r="F1163" t="str">
        <f>"4"</f>
        <v>4</v>
      </c>
    </row>
    <row r="1164" spans="1:6">
      <c r="A1164" t="str">
        <f>"E1207-18"</f>
        <v>E1207-18</v>
      </c>
      <c r="B1164" t="str">
        <f t="shared" ref="B1164:B1172" si="70">"VIA P NEGROTTO CAMBIASO  160A-"</f>
        <v>VIA P NEGROTTO CAMBIASO  160A-</v>
      </c>
      <c r="C1164" t="str">
        <f t="shared" si="68"/>
        <v>RIV</v>
      </c>
      <c r="D1164">
        <v>27</v>
      </c>
      <c r="E1164" t="str">
        <f t="shared" si="69"/>
        <v>944</v>
      </c>
      <c r="F1164" t="str">
        <f>"134"</f>
        <v>134</v>
      </c>
    </row>
    <row r="1165" spans="1:6">
      <c r="A1165" t="str">
        <f>"E1207-19"</f>
        <v>E1207-19</v>
      </c>
      <c r="B1165" t="str">
        <f t="shared" si="70"/>
        <v>VIA P NEGROTTO CAMBIASO  160A-</v>
      </c>
      <c r="C1165" t="str">
        <f t="shared" si="68"/>
        <v>RIV</v>
      </c>
      <c r="D1165">
        <v>27</v>
      </c>
      <c r="E1165" t="str">
        <f t="shared" si="69"/>
        <v>944</v>
      </c>
      <c r="F1165" t="str">
        <f>"135"</f>
        <v>135</v>
      </c>
    </row>
    <row r="1166" spans="1:6">
      <c r="A1166" t="str">
        <f>"E1207-22"</f>
        <v>E1207-22</v>
      </c>
      <c r="B1166" t="str">
        <f t="shared" si="70"/>
        <v>VIA P NEGROTTO CAMBIASO  160A-</v>
      </c>
      <c r="C1166" t="str">
        <f t="shared" si="68"/>
        <v>RIV</v>
      </c>
      <c r="D1166">
        <v>27</v>
      </c>
      <c r="E1166" t="str">
        <f t="shared" si="69"/>
        <v>944</v>
      </c>
      <c r="F1166" t="str">
        <f>"138"</f>
        <v>138</v>
      </c>
    </row>
    <row r="1167" spans="1:6">
      <c r="A1167" t="str">
        <f>"E1207-23"</f>
        <v>E1207-23</v>
      </c>
      <c r="B1167" t="str">
        <f t="shared" si="70"/>
        <v>VIA P NEGROTTO CAMBIASO  160A-</v>
      </c>
      <c r="C1167" t="str">
        <f t="shared" si="68"/>
        <v>RIV</v>
      </c>
      <c r="D1167">
        <v>27</v>
      </c>
      <c r="E1167" t="str">
        <f t="shared" si="69"/>
        <v>944</v>
      </c>
      <c r="F1167" t="str">
        <f>"144"</f>
        <v>144</v>
      </c>
    </row>
    <row r="1168" spans="1:6">
      <c r="A1168" t="str">
        <f>"E1207-25"</f>
        <v>E1207-25</v>
      </c>
      <c r="B1168" t="str">
        <f t="shared" si="70"/>
        <v>VIA P NEGROTTO CAMBIASO  160A-</v>
      </c>
      <c r="C1168" t="str">
        <f t="shared" si="68"/>
        <v>RIV</v>
      </c>
      <c r="D1168">
        <v>27</v>
      </c>
      <c r="E1168" t="str">
        <f t="shared" si="69"/>
        <v>944</v>
      </c>
      <c r="F1168" t="str">
        <f>"146"</f>
        <v>146</v>
      </c>
    </row>
    <row r="1169" spans="1:6">
      <c r="A1169" t="str">
        <f>"E1207-26"</f>
        <v>E1207-26</v>
      </c>
      <c r="B1169" t="str">
        <f t="shared" si="70"/>
        <v>VIA P NEGROTTO CAMBIASO  160A-</v>
      </c>
      <c r="C1169" t="str">
        <f t="shared" si="68"/>
        <v>RIV</v>
      </c>
      <c r="D1169">
        <v>27</v>
      </c>
      <c r="E1169" t="str">
        <f t="shared" si="69"/>
        <v>944</v>
      </c>
      <c r="F1169" t="str">
        <f>"147"</f>
        <v>147</v>
      </c>
    </row>
    <row r="1170" spans="1:6">
      <c r="A1170" t="str">
        <f>"E1207-27"</f>
        <v>E1207-27</v>
      </c>
      <c r="B1170" t="str">
        <f t="shared" si="70"/>
        <v>VIA P NEGROTTO CAMBIASO  160A-</v>
      </c>
      <c r="C1170" t="str">
        <f t="shared" si="68"/>
        <v>RIV</v>
      </c>
      <c r="D1170">
        <v>27</v>
      </c>
      <c r="E1170" t="str">
        <f t="shared" si="69"/>
        <v>944</v>
      </c>
      <c r="F1170" t="str">
        <f>"148"</f>
        <v>148</v>
      </c>
    </row>
    <row r="1171" spans="1:6">
      <c r="A1171" t="str">
        <f>"E1207-28"</f>
        <v>E1207-28</v>
      </c>
      <c r="B1171" t="str">
        <f t="shared" si="70"/>
        <v>VIA P NEGROTTO CAMBIASO  160A-</v>
      </c>
      <c r="C1171" t="str">
        <f t="shared" si="68"/>
        <v>RIV</v>
      </c>
      <c r="D1171">
        <v>27</v>
      </c>
      <c r="E1171" t="str">
        <f t="shared" si="69"/>
        <v>944</v>
      </c>
      <c r="F1171" t="str">
        <f>"149"</f>
        <v>149</v>
      </c>
    </row>
    <row r="1172" spans="1:6">
      <c r="A1172" t="str">
        <f>"E1207-29"</f>
        <v>E1207-29</v>
      </c>
      <c r="B1172" t="str">
        <f t="shared" si="70"/>
        <v>VIA P NEGROTTO CAMBIASO  160A-</v>
      </c>
      <c r="C1172" t="str">
        <f t="shared" si="68"/>
        <v>RIV</v>
      </c>
      <c r="D1172">
        <v>27</v>
      </c>
      <c r="E1172" t="str">
        <f t="shared" si="69"/>
        <v>944</v>
      </c>
      <c r="F1172" t="str">
        <f>"150"</f>
        <v>150</v>
      </c>
    </row>
    <row r="1173" spans="1:6">
      <c r="A1173" t="str">
        <f>"E1207-30"</f>
        <v>E1207-30</v>
      </c>
      <c r="B1173" t="str">
        <f>"VIA FELICE MARITANO  166-"</f>
        <v>VIA FELICE MARITANO  166-</v>
      </c>
      <c r="C1173" t="str">
        <f t="shared" si="68"/>
        <v>RIV</v>
      </c>
      <c r="D1173">
        <v>27</v>
      </c>
      <c r="E1173" t="str">
        <f t="shared" si="69"/>
        <v>944</v>
      </c>
      <c r="F1173" t="str">
        <f>"7"</f>
        <v>7</v>
      </c>
    </row>
    <row r="1174" spans="1:6">
      <c r="A1174" t="str">
        <f>"E1207-31"</f>
        <v>E1207-31</v>
      </c>
      <c r="B1174" t="str">
        <f>"VIA FELICE MARITANO  166-"</f>
        <v>VIA FELICE MARITANO  166-</v>
      </c>
      <c r="C1174" t="str">
        <f t="shared" si="68"/>
        <v>RIV</v>
      </c>
      <c r="D1174">
        <v>27</v>
      </c>
      <c r="E1174" t="str">
        <f t="shared" si="69"/>
        <v>944</v>
      </c>
      <c r="F1174" t="str">
        <f>"8"</f>
        <v>8</v>
      </c>
    </row>
    <row r="1175" spans="1:6">
      <c r="A1175" t="str">
        <f>"E1207-32"</f>
        <v>E1207-32</v>
      </c>
      <c r="B1175" t="str">
        <f>"VIA FELICE MARITANO  166-"</f>
        <v>VIA FELICE MARITANO  166-</v>
      </c>
      <c r="C1175" t="str">
        <f t="shared" si="68"/>
        <v>RIV</v>
      </c>
      <c r="D1175">
        <v>27</v>
      </c>
      <c r="E1175" t="str">
        <f t="shared" si="69"/>
        <v>944</v>
      </c>
      <c r="F1175" t="str">
        <f>"9"</f>
        <v>9</v>
      </c>
    </row>
    <row r="1176" spans="1:6">
      <c r="A1176" t="str">
        <f>"E1207-33"</f>
        <v>E1207-33</v>
      </c>
      <c r="B1176" t="str">
        <f>"VIA FELICE MARITANO  166-"</f>
        <v>VIA FELICE MARITANO  166-</v>
      </c>
      <c r="C1176" t="str">
        <f t="shared" si="68"/>
        <v>RIV</v>
      </c>
      <c r="D1176">
        <v>27</v>
      </c>
      <c r="E1176" t="str">
        <f t="shared" si="69"/>
        <v>944</v>
      </c>
      <c r="F1176" t="str">
        <f>"10"</f>
        <v>10</v>
      </c>
    </row>
    <row r="1177" spans="1:6">
      <c r="A1177" t="str">
        <f>"E1207-34"</f>
        <v>E1207-34</v>
      </c>
      <c r="B1177" t="str">
        <f>"VIA FELICE MARITANO  166-"</f>
        <v>VIA FELICE MARITANO  166-</v>
      </c>
      <c r="C1177" t="str">
        <f t="shared" si="68"/>
        <v>RIV</v>
      </c>
      <c r="D1177">
        <v>27</v>
      </c>
      <c r="E1177" t="str">
        <f t="shared" si="69"/>
        <v>944</v>
      </c>
      <c r="F1177" t="str">
        <f>"11"</f>
        <v>11</v>
      </c>
    </row>
    <row r="1178" spans="1:6">
      <c r="A1178" t="str">
        <f>"E1208-1"</f>
        <v>E1208-1</v>
      </c>
      <c r="B1178" t="str">
        <f t="shared" ref="B1178:B1213" si="71">"VIA CAMILLO SBARBARO  7-"</f>
        <v>VIA CAMILLO SBARBARO  7-</v>
      </c>
      <c r="C1178" t="str">
        <f t="shared" si="68"/>
        <v>RIV</v>
      </c>
      <c r="D1178">
        <v>27</v>
      </c>
      <c r="E1178" t="str">
        <f t="shared" ref="E1178:E1211" si="72">"1005"</f>
        <v>1005</v>
      </c>
      <c r="F1178" t="str">
        <f>"28"</f>
        <v>28</v>
      </c>
    </row>
    <row r="1179" spans="1:6">
      <c r="A1179" t="str">
        <f>"E1208-2"</f>
        <v>E1208-2</v>
      </c>
      <c r="B1179" t="str">
        <f t="shared" si="71"/>
        <v>VIA CAMILLO SBARBARO  7-</v>
      </c>
      <c r="C1179" t="str">
        <f t="shared" si="68"/>
        <v>RIV</v>
      </c>
      <c r="D1179">
        <v>27</v>
      </c>
      <c r="E1179" t="str">
        <f t="shared" si="72"/>
        <v>1005</v>
      </c>
      <c r="F1179" t="str">
        <f>"29"</f>
        <v>29</v>
      </c>
    </row>
    <row r="1180" spans="1:6">
      <c r="A1180" t="str">
        <f>"E1208-3"</f>
        <v>E1208-3</v>
      </c>
      <c r="B1180" t="str">
        <f t="shared" si="71"/>
        <v>VIA CAMILLO SBARBARO  7-</v>
      </c>
      <c r="C1180" t="str">
        <f t="shared" si="68"/>
        <v>RIV</v>
      </c>
      <c r="D1180">
        <v>27</v>
      </c>
      <c r="E1180" t="str">
        <f t="shared" si="72"/>
        <v>1005</v>
      </c>
      <c r="F1180" t="str">
        <f>"30"</f>
        <v>30</v>
      </c>
    </row>
    <row r="1181" spans="1:6">
      <c r="A1181" t="str">
        <f>"E1208-4"</f>
        <v>E1208-4</v>
      </c>
      <c r="B1181" t="str">
        <f t="shared" si="71"/>
        <v>VIA CAMILLO SBARBARO  7-</v>
      </c>
      <c r="C1181" t="str">
        <f t="shared" si="68"/>
        <v>RIV</v>
      </c>
      <c r="D1181">
        <v>27</v>
      </c>
      <c r="E1181" t="str">
        <f t="shared" si="72"/>
        <v>1005</v>
      </c>
      <c r="F1181" t="str">
        <f>"31"</f>
        <v>31</v>
      </c>
    </row>
    <row r="1182" spans="1:6">
      <c r="A1182" t="str">
        <f>"E1208-5"</f>
        <v>E1208-5</v>
      </c>
      <c r="B1182" t="str">
        <f t="shared" si="71"/>
        <v>VIA CAMILLO SBARBARO  7-</v>
      </c>
      <c r="C1182" t="str">
        <f t="shared" si="68"/>
        <v>RIV</v>
      </c>
      <c r="D1182">
        <v>27</v>
      </c>
      <c r="E1182" t="str">
        <f t="shared" si="72"/>
        <v>1005</v>
      </c>
      <c r="F1182" t="str">
        <f>"32"</f>
        <v>32</v>
      </c>
    </row>
    <row r="1183" spans="1:6">
      <c r="A1183" t="str">
        <f>"E1208-6"</f>
        <v>E1208-6</v>
      </c>
      <c r="B1183" t="str">
        <f t="shared" si="71"/>
        <v>VIA CAMILLO SBARBARO  7-</v>
      </c>
      <c r="C1183" t="str">
        <f t="shared" ref="C1183:C1218" si="73">"RIV"</f>
        <v>RIV</v>
      </c>
      <c r="D1183">
        <v>27</v>
      </c>
      <c r="E1183" t="str">
        <f t="shared" si="72"/>
        <v>1005</v>
      </c>
      <c r="F1183" t="str">
        <f>"33"</f>
        <v>33</v>
      </c>
    </row>
    <row r="1184" spans="1:6">
      <c r="A1184" t="str">
        <f>"E1208-7"</f>
        <v>E1208-7</v>
      </c>
      <c r="B1184" t="str">
        <f t="shared" si="71"/>
        <v>VIA CAMILLO SBARBARO  7-</v>
      </c>
      <c r="C1184" t="str">
        <f t="shared" si="73"/>
        <v>RIV</v>
      </c>
      <c r="D1184">
        <v>27</v>
      </c>
      <c r="E1184" t="str">
        <f t="shared" si="72"/>
        <v>1005</v>
      </c>
      <c r="F1184" t="str">
        <f>"34"</f>
        <v>34</v>
      </c>
    </row>
    <row r="1185" spans="1:6">
      <c r="A1185" t="str">
        <f>"E1208-8"</f>
        <v>E1208-8</v>
      </c>
      <c r="B1185" t="str">
        <f t="shared" si="71"/>
        <v>VIA CAMILLO SBARBARO  7-</v>
      </c>
      <c r="C1185" t="str">
        <f t="shared" si="73"/>
        <v>RIV</v>
      </c>
      <c r="D1185">
        <v>27</v>
      </c>
      <c r="E1185" t="str">
        <f t="shared" si="72"/>
        <v>1005</v>
      </c>
      <c r="F1185" t="str">
        <f>"35"</f>
        <v>35</v>
      </c>
    </row>
    <row r="1186" spans="1:6">
      <c r="A1186" t="str">
        <f>"E1208-9"</f>
        <v>E1208-9</v>
      </c>
      <c r="B1186" t="str">
        <f t="shared" si="71"/>
        <v>VIA CAMILLO SBARBARO  7-</v>
      </c>
      <c r="C1186" t="str">
        <f t="shared" si="73"/>
        <v>RIV</v>
      </c>
      <c r="D1186">
        <v>27</v>
      </c>
      <c r="E1186" t="str">
        <f t="shared" si="72"/>
        <v>1005</v>
      </c>
      <c r="F1186" t="str">
        <f>"36"</f>
        <v>36</v>
      </c>
    </row>
    <row r="1187" spans="1:6">
      <c r="A1187" t="str">
        <f>"E1208-10"</f>
        <v>E1208-10</v>
      </c>
      <c r="B1187" t="str">
        <f t="shared" si="71"/>
        <v>VIA CAMILLO SBARBARO  7-</v>
      </c>
      <c r="C1187" t="str">
        <f t="shared" si="73"/>
        <v>RIV</v>
      </c>
      <c r="D1187">
        <v>27</v>
      </c>
      <c r="E1187" t="str">
        <f t="shared" si="72"/>
        <v>1005</v>
      </c>
      <c r="F1187" t="str">
        <f>"37"</f>
        <v>37</v>
      </c>
    </row>
    <row r="1188" spans="1:6">
      <c r="A1188" t="str">
        <f>"E1208-11"</f>
        <v>E1208-11</v>
      </c>
      <c r="B1188" t="str">
        <f t="shared" si="71"/>
        <v>VIA CAMILLO SBARBARO  7-</v>
      </c>
      <c r="C1188" t="str">
        <f t="shared" si="73"/>
        <v>RIV</v>
      </c>
      <c r="D1188">
        <v>27</v>
      </c>
      <c r="E1188" t="str">
        <f t="shared" si="72"/>
        <v>1005</v>
      </c>
      <c r="F1188" t="str">
        <f>"38"</f>
        <v>38</v>
      </c>
    </row>
    <row r="1189" spans="1:6">
      <c r="A1189" t="str">
        <f>"E1208-12"</f>
        <v>E1208-12</v>
      </c>
      <c r="B1189" t="str">
        <f t="shared" si="71"/>
        <v>VIA CAMILLO SBARBARO  7-</v>
      </c>
      <c r="C1189" t="str">
        <f t="shared" si="73"/>
        <v>RIV</v>
      </c>
      <c r="D1189">
        <v>27</v>
      </c>
      <c r="E1189" t="str">
        <f t="shared" si="72"/>
        <v>1005</v>
      </c>
      <c r="F1189" t="str">
        <f>"39"</f>
        <v>39</v>
      </c>
    </row>
    <row r="1190" spans="1:6">
      <c r="A1190" t="str">
        <f>"E1208-13"</f>
        <v>E1208-13</v>
      </c>
      <c r="B1190" t="str">
        <f t="shared" si="71"/>
        <v>VIA CAMILLO SBARBARO  7-</v>
      </c>
      <c r="C1190" t="str">
        <f t="shared" si="73"/>
        <v>RIV</v>
      </c>
      <c r="D1190">
        <v>27</v>
      </c>
      <c r="E1190" t="str">
        <f t="shared" si="72"/>
        <v>1005</v>
      </c>
      <c r="F1190" t="str">
        <f>"40"</f>
        <v>40</v>
      </c>
    </row>
    <row r="1191" spans="1:6">
      <c r="A1191" t="str">
        <f>"E1208-14"</f>
        <v>E1208-14</v>
      </c>
      <c r="B1191" t="str">
        <f t="shared" si="71"/>
        <v>VIA CAMILLO SBARBARO  7-</v>
      </c>
      <c r="C1191" t="str">
        <f t="shared" si="73"/>
        <v>RIV</v>
      </c>
      <c r="D1191">
        <v>27</v>
      </c>
      <c r="E1191" t="str">
        <f t="shared" si="72"/>
        <v>1005</v>
      </c>
      <c r="F1191" t="str">
        <f>"41"</f>
        <v>41</v>
      </c>
    </row>
    <row r="1192" spans="1:6">
      <c r="A1192" t="str">
        <f>"E1208-15"</f>
        <v>E1208-15</v>
      </c>
      <c r="B1192" t="str">
        <f t="shared" si="71"/>
        <v>VIA CAMILLO SBARBARO  7-</v>
      </c>
      <c r="C1192" t="str">
        <f t="shared" si="73"/>
        <v>RIV</v>
      </c>
      <c r="D1192">
        <v>27</v>
      </c>
      <c r="E1192" t="str">
        <f t="shared" si="72"/>
        <v>1005</v>
      </c>
      <c r="F1192" t="str">
        <f>"42"</f>
        <v>42</v>
      </c>
    </row>
    <row r="1193" spans="1:6">
      <c r="A1193" t="str">
        <f>"E1208-16"</f>
        <v>E1208-16</v>
      </c>
      <c r="B1193" t="str">
        <f t="shared" si="71"/>
        <v>VIA CAMILLO SBARBARO  7-</v>
      </c>
      <c r="C1193" t="str">
        <f t="shared" si="73"/>
        <v>RIV</v>
      </c>
      <c r="D1193">
        <v>27</v>
      </c>
      <c r="E1193" t="str">
        <f t="shared" si="72"/>
        <v>1005</v>
      </c>
      <c r="F1193" t="str">
        <f>"43"</f>
        <v>43</v>
      </c>
    </row>
    <row r="1194" spans="1:6">
      <c r="A1194" t="str">
        <f>"E1208-17"</f>
        <v>E1208-17</v>
      </c>
      <c r="B1194" t="str">
        <f t="shared" si="71"/>
        <v>VIA CAMILLO SBARBARO  7-</v>
      </c>
      <c r="C1194" t="str">
        <f t="shared" si="73"/>
        <v>RIV</v>
      </c>
      <c r="D1194">
        <v>27</v>
      </c>
      <c r="E1194" t="str">
        <f t="shared" si="72"/>
        <v>1005</v>
      </c>
      <c r="F1194" t="str">
        <f>"44"</f>
        <v>44</v>
      </c>
    </row>
    <row r="1195" spans="1:6">
      <c r="A1195" t="str">
        <f>"E1208-18"</f>
        <v>E1208-18</v>
      </c>
      <c r="B1195" t="str">
        <f t="shared" si="71"/>
        <v>VIA CAMILLO SBARBARO  7-</v>
      </c>
      <c r="C1195" t="str">
        <f t="shared" si="73"/>
        <v>RIV</v>
      </c>
      <c r="D1195">
        <v>27</v>
      </c>
      <c r="E1195" t="str">
        <f t="shared" si="72"/>
        <v>1005</v>
      </c>
      <c r="F1195" t="str">
        <f>"45"</f>
        <v>45</v>
      </c>
    </row>
    <row r="1196" spans="1:6">
      <c r="A1196" t="str">
        <f>"E1208-19"</f>
        <v>E1208-19</v>
      </c>
      <c r="B1196" t="str">
        <f t="shared" si="71"/>
        <v>VIA CAMILLO SBARBARO  7-</v>
      </c>
      <c r="C1196" t="str">
        <f t="shared" si="73"/>
        <v>RIV</v>
      </c>
      <c r="D1196">
        <v>27</v>
      </c>
      <c r="E1196" t="str">
        <f t="shared" si="72"/>
        <v>1005</v>
      </c>
      <c r="F1196" t="str">
        <f>"46"</f>
        <v>46</v>
      </c>
    </row>
    <row r="1197" spans="1:6">
      <c r="A1197" t="str">
        <f>"E1208-20"</f>
        <v>E1208-20</v>
      </c>
      <c r="B1197" t="str">
        <f t="shared" si="71"/>
        <v>VIA CAMILLO SBARBARO  7-</v>
      </c>
      <c r="C1197" t="str">
        <f t="shared" si="73"/>
        <v>RIV</v>
      </c>
      <c r="D1197">
        <v>27</v>
      </c>
      <c r="E1197" t="str">
        <f t="shared" si="72"/>
        <v>1005</v>
      </c>
      <c r="F1197" t="str">
        <f>"47"</f>
        <v>47</v>
      </c>
    </row>
    <row r="1198" spans="1:6">
      <c r="A1198" t="str">
        <f>"E1208-21"</f>
        <v>E1208-21</v>
      </c>
      <c r="B1198" t="str">
        <f t="shared" si="71"/>
        <v>VIA CAMILLO SBARBARO  7-</v>
      </c>
      <c r="C1198" t="str">
        <f t="shared" si="73"/>
        <v>RIV</v>
      </c>
      <c r="D1198">
        <v>27</v>
      </c>
      <c r="E1198" t="str">
        <f t="shared" si="72"/>
        <v>1005</v>
      </c>
      <c r="F1198" t="str">
        <f>"48"</f>
        <v>48</v>
      </c>
    </row>
    <row r="1199" spans="1:6">
      <c r="A1199" t="str">
        <f>"E1208-22"</f>
        <v>E1208-22</v>
      </c>
      <c r="B1199" t="str">
        <f t="shared" si="71"/>
        <v>VIA CAMILLO SBARBARO  7-</v>
      </c>
      <c r="C1199" t="str">
        <f t="shared" si="73"/>
        <v>RIV</v>
      </c>
      <c r="D1199">
        <v>27</v>
      </c>
      <c r="E1199" t="str">
        <f t="shared" si="72"/>
        <v>1005</v>
      </c>
      <c r="F1199" t="str">
        <f>"49"</f>
        <v>49</v>
      </c>
    </row>
    <row r="1200" spans="1:6">
      <c r="A1200" t="str">
        <f>"E1208-23"</f>
        <v>E1208-23</v>
      </c>
      <c r="B1200" t="str">
        <f t="shared" si="71"/>
        <v>VIA CAMILLO SBARBARO  7-</v>
      </c>
      <c r="C1200" t="str">
        <f t="shared" si="73"/>
        <v>RIV</v>
      </c>
      <c r="D1200">
        <v>27</v>
      </c>
      <c r="E1200" t="str">
        <f t="shared" si="72"/>
        <v>1005</v>
      </c>
      <c r="F1200" t="str">
        <f>"50"</f>
        <v>50</v>
      </c>
    </row>
    <row r="1201" spans="1:6">
      <c r="A1201" t="str">
        <f>"E1208-24"</f>
        <v>E1208-24</v>
      </c>
      <c r="B1201" t="str">
        <f t="shared" si="71"/>
        <v>VIA CAMILLO SBARBARO  7-</v>
      </c>
      <c r="C1201" t="str">
        <f t="shared" si="73"/>
        <v>RIV</v>
      </c>
      <c r="D1201">
        <v>27</v>
      </c>
      <c r="E1201" t="str">
        <f t="shared" si="72"/>
        <v>1005</v>
      </c>
      <c r="F1201" t="str">
        <f>"4"</f>
        <v>4</v>
      </c>
    </row>
    <row r="1202" spans="1:6">
      <c r="A1202" t="str">
        <f>"E1208-25"</f>
        <v>E1208-25</v>
      </c>
      <c r="B1202" t="str">
        <f t="shared" si="71"/>
        <v>VIA CAMILLO SBARBARO  7-</v>
      </c>
      <c r="C1202" t="str">
        <f t="shared" si="73"/>
        <v>RIV</v>
      </c>
      <c r="D1202">
        <v>27</v>
      </c>
      <c r="E1202" t="str">
        <f t="shared" si="72"/>
        <v>1005</v>
      </c>
      <c r="F1202" t="str">
        <f>"5"</f>
        <v>5</v>
      </c>
    </row>
    <row r="1203" spans="1:6">
      <c r="A1203" t="str">
        <f>"E1208-26"</f>
        <v>E1208-26</v>
      </c>
      <c r="B1203" t="str">
        <f t="shared" si="71"/>
        <v>VIA CAMILLO SBARBARO  7-</v>
      </c>
      <c r="C1203" t="str">
        <f t="shared" si="73"/>
        <v>RIV</v>
      </c>
      <c r="D1203">
        <v>27</v>
      </c>
      <c r="E1203" t="str">
        <f t="shared" si="72"/>
        <v>1005</v>
      </c>
      <c r="F1203" t="str">
        <f>"6"</f>
        <v>6</v>
      </c>
    </row>
    <row r="1204" spans="1:6">
      <c r="A1204" t="str">
        <f>"E1208-27"</f>
        <v>E1208-27</v>
      </c>
      <c r="B1204" t="str">
        <f t="shared" si="71"/>
        <v>VIA CAMILLO SBARBARO  7-</v>
      </c>
      <c r="C1204" t="str">
        <f t="shared" si="73"/>
        <v>RIV</v>
      </c>
      <c r="D1204">
        <v>27</v>
      </c>
      <c r="E1204" t="str">
        <f t="shared" si="72"/>
        <v>1005</v>
      </c>
      <c r="F1204" t="str">
        <f>"7"</f>
        <v>7</v>
      </c>
    </row>
    <row r="1205" spans="1:6">
      <c r="A1205" t="str">
        <f>"E1208-28"</f>
        <v>E1208-28</v>
      </c>
      <c r="B1205" t="str">
        <f t="shared" si="71"/>
        <v>VIA CAMILLO SBARBARO  7-</v>
      </c>
      <c r="C1205" t="str">
        <f t="shared" si="73"/>
        <v>RIV</v>
      </c>
      <c r="D1205">
        <v>27</v>
      </c>
      <c r="E1205" t="str">
        <f t="shared" si="72"/>
        <v>1005</v>
      </c>
      <c r="F1205" t="str">
        <f>"8"</f>
        <v>8</v>
      </c>
    </row>
    <row r="1206" spans="1:6">
      <c r="A1206" t="str">
        <f>"E1208-29"</f>
        <v>E1208-29</v>
      </c>
      <c r="B1206" t="str">
        <f t="shared" si="71"/>
        <v>VIA CAMILLO SBARBARO  7-</v>
      </c>
      <c r="C1206" t="str">
        <f t="shared" si="73"/>
        <v>RIV</v>
      </c>
      <c r="D1206">
        <v>27</v>
      </c>
      <c r="E1206" t="str">
        <f t="shared" si="72"/>
        <v>1005</v>
      </c>
      <c r="F1206" t="str">
        <f>"9"</f>
        <v>9</v>
      </c>
    </row>
    <row r="1207" spans="1:6">
      <c r="A1207" t="str">
        <f>"E1208-30"</f>
        <v>E1208-30</v>
      </c>
      <c r="B1207" t="str">
        <f t="shared" si="71"/>
        <v>VIA CAMILLO SBARBARO  7-</v>
      </c>
      <c r="C1207" t="str">
        <f t="shared" si="73"/>
        <v>RIV</v>
      </c>
      <c r="D1207">
        <v>27</v>
      </c>
      <c r="E1207" t="str">
        <f t="shared" si="72"/>
        <v>1005</v>
      </c>
      <c r="F1207" t="str">
        <f>"10"</f>
        <v>10</v>
      </c>
    </row>
    <row r="1208" spans="1:6">
      <c r="A1208" t="str">
        <f>"E1208-31"</f>
        <v>E1208-31</v>
      </c>
      <c r="B1208" t="str">
        <f t="shared" si="71"/>
        <v>VIA CAMILLO SBARBARO  7-</v>
      </c>
      <c r="C1208" t="str">
        <f t="shared" si="73"/>
        <v>RIV</v>
      </c>
      <c r="D1208">
        <v>27</v>
      </c>
      <c r="E1208" t="str">
        <f t="shared" si="72"/>
        <v>1005</v>
      </c>
      <c r="F1208" t="str">
        <f>"11"</f>
        <v>11</v>
      </c>
    </row>
    <row r="1209" spans="1:6">
      <c r="A1209" t="str">
        <f>"E1208-32"</f>
        <v>E1208-32</v>
      </c>
      <c r="B1209" t="str">
        <f t="shared" si="71"/>
        <v>VIA CAMILLO SBARBARO  7-</v>
      </c>
      <c r="C1209" t="str">
        <f t="shared" si="73"/>
        <v>RIV</v>
      </c>
      <c r="D1209">
        <v>27</v>
      </c>
      <c r="E1209" t="str">
        <f t="shared" si="72"/>
        <v>1005</v>
      </c>
      <c r="F1209" t="str">
        <f>"12"</f>
        <v>12</v>
      </c>
    </row>
    <row r="1210" spans="1:6">
      <c r="A1210" t="str">
        <f>"E1208-33"</f>
        <v>E1208-33</v>
      </c>
      <c r="B1210" t="str">
        <f t="shared" si="71"/>
        <v>VIA CAMILLO SBARBARO  7-</v>
      </c>
      <c r="C1210" t="str">
        <f t="shared" si="73"/>
        <v>RIV</v>
      </c>
      <c r="D1210">
        <v>27</v>
      </c>
      <c r="E1210" t="str">
        <f t="shared" si="72"/>
        <v>1005</v>
      </c>
      <c r="F1210" t="str">
        <f>"13"</f>
        <v>13</v>
      </c>
    </row>
    <row r="1211" spans="1:6">
      <c r="A1211" t="str">
        <f>"E1208-34"</f>
        <v>E1208-34</v>
      </c>
      <c r="B1211" t="str">
        <f t="shared" si="71"/>
        <v>VIA CAMILLO SBARBARO  7-</v>
      </c>
      <c r="C1211" t="str">
        <f t="shared" si="73"/>
        <v>RIV</v>
      </c>
      <c r="D1211">
        <v>27</v>
      </c>
      <c r="E1211" t="str">
        <f t="shared" si="72"/>
        <v>1005</v>
      </c>
      <c r="F1211" t="str">
        <f>"14"</f>
        <v>14</v>
      </c>
    </row>
    <row r="1212" spans="1:6">
      <c r="A1212" t="str">
        <f>"E1208-35"</f>
        <v>E1208-35</v>
      </c>
      <c r="B1212" t="str">
        <f t="shared" si="71"/>
        <v>VIA CAMILLO SBARBARO  7-</v>
      </c>
      <c r="C1212" t="str">
        <f t="shared" si="73"/>
        <v>RIV</v>
      </c>
      <c r="D1212">
        <v>27</v>
      </c>
      <c r="E1212" t="str">
        <f>"1008"</f>
        <v>1008</v>
      </c>
      <c r="F1212" t="str">
        <f>"15"</f>
        <v>15</v>
      </c>
    </row>
    <row r="1213" spans="1:6">
      <c r="A1213" t="str">
        <f>"E1208-36"</f>
        <v>E1208-36</v>
      </c>
      <c r="B1213" t="str">
        <f t="shared" si="71"/>
        <v>VIA CAMILLO SBARBARO  7-</v>
      </c>
      <c r="C1213" t="str">
        <f t="shared" si="73"/>
        <v>RIV</v>
      </c>
      <c r="D1213">
        <v>27</v>
      </c>
      <c r="E1213" t="str">
        <f t="shared" ref="E1213:E1218" si="74">"1005"</f>
        <v>1005</v>
      </c>
      <c r="F1213" t="str">
        <f>"16"</f>
        <v>16</v>
      </c>
    </row>
    <row r="1214" spans="1:6">
      <c r="A1214" t="str">
        <f>"E1208-37"</f>
        <v>E1208-37</v>
      </c>
      <c r="B1214" t="str">
        <f t="shared" ref="B1214:B1227" si="75">"VIA CAMILLO SBARBARO  1-"</f>
        <v>VIA CAMILLO SBARBARO  1-</v>
      </c>
      <c r="C1214" t="str">
        <f t="shared" si="73"/>
        <v>RIV</v>
      </c>
      <c r="D1214">
        <v>27</v>
      </c>
      <c r="E1214" t="str">
        <f t="shared" si="74"/>
        <v>1005</v>
      </c>
      <c r="F1214" t="str">
        <f>"17"</f>
        <v>17</v>
      </c>
    </row>
    <row r="1215" spans="1:6">
      <c r="A1215" t="str">
        <f>"E1208-38"</f>
        <v>E1208-38</v>
      </c>
      <c r="B1215" t="str">
        <f t="shared" si="75"/>
        <v>VIA CAMILLO SBARBARO  1-</v>
      </c>
      <c r="C1215" t="str">
        <f t="shared" si="73"/>
        <v>RIV</v>
      </c>
      <c r="D1215">
        <v>27</v>
      </c>
      <c r="E1215" t="str">
        <f t="shared" si="74"/>
        <v>1005</v>
      </c>
      <c r="F1215" t="str">
        <f>"18"</f>
        <v>18</v>
      </c>
    </row>
    <row r="1216" spans="1:6">
      <c r="A1216" t="str">
        <f>"E1208-39"</f>
        <v>E1208-39</v>
      </c>
      <c r="B1216" t="str">
        <f t="shared" si="75"/>
        <v>VIA CAMILLO SBARBARO  1-</v>
      </c>
      <c r="C1216" t="str">
        <f t="shared" si="73"/>
        <v>RIV</v>
      </c>
      <c r="D1216">
        <v>27</v>
      </c>
      <c r="E1216" t="str">
        <f t="shared" si="74"/>
        <v>1005</v>
      </c>
      <c r="F1216" t="str">
        <f>"19"</f>
        <v>19</v>
      </c>
    </row>
    <row r="1217" spans="1:6">
      <c r="A1217" t="str">
        <f>"E1208-40"</f>
        <v>E1208-40</v>
      </c>
      <c r="B1217" t="str">
        <f t="shared" si="75"/>
        <v>VIA CAMILLO SBARBARO  1-</v>
      </c>
      <c r="C1217" t="str">
        <f t="shared" si="73"/>
        <v>RIV</v>
      </c>
      <c r="D1217">
        <v>27</v>
      </c>
      <c r="E1217" t="str">
        <f t="shared" si="74"/>
        <v>1005</v>
      </c>
      <c r="F1217" t="str">
        <f>"20"</f>
        <v>20</v>
      </c>
    </row>
    <row r="1218" spans="1:6">
      <c r="A1218" t="str">
        <f>"E1208-41"</f>
        <v>E1208-41</v>
      </c>
      <c r="B1218" t="str">
        <f t="shared" si="75"/>
        <v>VIA CAMILLO SBARBARO  1-</v>
      </c>
      <c r="C1218" t="str">
        <f t="shared" si="73"/>
        <v>RIV</v>
      </c>
      <c r="D1218">
        <v>27</v>
      </c>
      <c r="E1218" t="str">
        <f t="shared" si="74"/>
        <v>1005</v>
      </c>
      <c r="F1218" t="str">
        <f>"21"</f>
        <v>21</v>
      </c>
    </row>
    <row r="1219" spans="1:6">
      <c r="A1219" t="str">
        <f>"E1208-42"</f>
        <v>E1208-42</v>
      </c>
      <c r="B1219" t="str">
        <f t="shared" si="75"/>
        <v>VIA CAMILLO SBARBARO  1-</v>
      </c>
      <c r="C1219" t="str">
        <f>"4"</f>
        <v>4</v>
      </c>
      <c r="D1219">
        <v>27</v>
      </c>
      <c r="E1219" t="str">
        <f>"1002"</f>
        <v>1002</v>
      </c>
      <c r="F1219" t="str">
        <f>"0000"</f>
        <v>0000</v>
      </c>
    </row>
    <row r="1220" spans="1:6">
      <c r="A1220" t="str">
        <f>"E1208-42"</f>
        <v>E1208-42</v>
      </c>
      <c r="B1220" t="str">
        <f t="shared" si="75"/>
        <v>VIA CAMILLO SBARBARO  1-</v>
      </c>
      <c r="C1220" t="str">
        <f>"4"</f>
        <v>4</v>
      </c>
      <c r="D1220">
        <v>27</v>
      </c>
      <c r="E1220" t="str">
        <f>"1005"</f>
        <v>1005</v>
      </c>
      <c r="F1220" t="str">
        <f>"0000"</f>
        <v>0000</v>
      </c>
    </row>
    <row r="1221" spans="1:6">
      <c r="C1221" t="str">
        <f>"4"</f>
        <v>4</v>
      </c>
      <c r="D1221">
        <v>27</v>
      </c>
      <c r="E1221" t="str">
        <f>"997"</f>
        <v>997</v>
      </c>
      <c r="F1221" t="str">
        <f>"0000"</f>
        <v>0000</v>
      </c>
    </row>
    <row r="1222" spans="1:6">
      <c r="C1222" t="str">
        <f>"4"</f>
        <v>4</v>
      </c>
      <c r="D1222">
        <v>27</v>
      </c>
      <c r="E1222" t="str">
        <f>"1004"</f>
        <v>1004</v>
      </c>
      <c r="F1222" t="str">
        <f>"0000"</f>
        <v>0000</v>
      </c>
    </row>
    <row r="1223" spans="1:6">
      <c r="A1223" t="str">
        <f>"E1208-43"</f>
        <v>E1208-43</v>
      </c>
      <c r="B1223" t="str">
        <f t="shared" si="75"/>
        <v>VIA CAMILLO SBARBARO  1-</v>
      </c>
      <c r="C1223" t="str">
        <f t="shared" ref="C1223:C1286" si="76">"RIV"</f>
        <v>RIV</v>
      </c>
      <c r="D1223">
        <v>27</v>
      </c>
      <c r="E1223" t="str">
        <f>"1005"</f>
        <v>1005</v>
      </c>
      <c r="F1223" t="str">
        <f>"23"</f>
        <v>23</v>
      </c>
    </row>
    <row r="1224" spans="1:6">
      <c r="A1224" t="str">
        <f>"E1208-44"</f>
        <v>E1208-44</v>
      </c>
      <c r="B1224" t="str">
        <f t="shared" si="75"/>
        <v>VIA CAMILLO SBARBARO  1-</v>
      </c>
      <c r="C1224" t="str">
        <f t="shared" si="76"/>
        <v>RIV</v>
      </c>
      <c r="D1224">
        <v>27</v>
      </c>
      <c r="E1224" t="str">
        <f>"1005"</f>
        <v>1005</v>
      </c>
      <c r="F1224" t="str">
        <f>"24"</f>
        <v>24</v>
      </c>
    </row>
    <row r="1225" spans="1:6">
      <c r="A1225" t="str">
        <f>"E1208-45"</f>
        <v>E1208-45</v>
      </c>
      <c r="B1225" t="str">
        <f t="shared" si="75"/>
        <v>VIA CAMILLO SBARBARO  1-</v>
      </c>
      <c r="C1225" t="str">
        <f t="shared" si="76"/>
        <v>RIV</v>
      </c>
      <c r="D1225">
        <v>27</v>
      </c>
      <c r="E1225" t="str">
        <f>"1005"</f>
        <v>1005</v>
      </c>
      <c r="F1225" t="str">
        <f>"25"</f>
        <v>25</v>
      </c>
    </row>
    <row r="1226" spans="1:6">
      <c r="A1226" t="str">
        <f>"E1208-46"</f>
        <v>E1208-46</v>
      </c>
      <c r="B1226" t="str">
        <f t="shared" si="75"/>
        <v>VIA CAMILLO SBARBARO  1-</v>
      </c>
      <c r="C1226" t="str">
        <f t="shared" si="76"/>
        <v>RIV</v>
      </c>
      <c r="D1226">
        <v>27</v>
      </c>
      <c r="E1226" t="str">
        <f>"1005"</f>
        <v>1005</v>
      </c>
      <c r="F1226" t="str">
        <f>"26"</f>
        <v>26</v>
      </c>
    </row>
    <row r="1227" spans="1:6">
      <c r="A1227" t="str">
        <f>"E1208-47"</f>
        <v>E1208-47</v>
      </c>
      <c r="B1227" t="str">
        <f t="shared" si="75"/>
        <v>VIA CAMILLO SBARBARO  1-</v>
      </c>
      <c r="C1227" t="str">
        <f t="shared" si="76"/>
        <v>RIV</v>
      </c>
      <c r="D1227">
        <v>27</v>
      </c>
      <c r="E1227" t="str">
        <f>"1005"</f>
        <v>1005</v>
      </c>
      <c r="F1227" t="str">
        <f>"27"</f>
        <v>27</v>
      </c>
    </row>
    <row r="1228" spans="1:6">
      <c r="A1228" t="str">
        <f>"E1208-48"</f>
        <v>E1208-48</v>
      </c>
      <c r="B1228" t="str">
        <f>"VIA CAMILLO SBARBARO  13-"</f>
        <v>VIA CAMILLO SBARBARO  13-</v>
      </c>
      <c r="C1228" t="str">
        <f t="shared" si="76"/>
        <v>RIV</v>
      </c>
      <c r="D1228">
        <v>27</v>
      </c>
      <c r="E1228" t="str">
        <f t="shared" ref="E1228:E1241" si="77">"1004"</f>
        <v>1004</v>
      </c>
      <c r="F1228" t="str">
        <f>"52"</f>
        <v>52</v>
      </c>
    </row>
    <row r="1229" spans="1:6">
      <c r="A1229" t="str">
        <f>"E1208-49"</f>
        <v>E1208-49</v>
      </c>
      <c r="B1229" t="str">
        <f t="shared" ref="B1229:B1253" si="78">"VIA CAMILLO SBARBARO  9-"</f>
        <v>VIA CAMILLO SBARBARO  9-</v>
      </c>
      <c r="C1229" t="str">
        <f t="shared" si="76"/>
        <v>RIV</v>
      </c>
      <c r="D1229">
        <v>27</v>
      </c>
      <c r="E1229" t="str">
        <f t="shared" si="77"/>
        <v>1004</v>
      </c>
      <c r="F1229" t="str">
        <f>"2"</f>
        <v>2</v>
      </c>
    </row>
    <row r="1230" spans="1:6">
      <c r="A1230" t="str">
        <f>"E1208-49"</f>
        <v>E1208-49</v>
      </c>
      <c r="B1230" t="str">
        <f t="shared" si="78"/>
        <v>VIA CAMILLO SBARBARO  9-</v>
      </c>
      <c r="C1230" t="str">
        <f t="shared" si="76"/>
        <v>RIV</v>
      </c>
      <c r="D1230">
        <v>27</v>
      </c>
      <c r="E1230" t="str">
        <f t="shared" si="77"/>
        <v>1004</v>
      </c>
      <c r="F1230" t="str">
        <f>"6"</f>
        <v>6</v>
      </c>
    </row>
    <row r="1231" spans="1:6">
      <c r="A1231" t="str">
        <f>"E1208-50"</f>
        <v>E1208-50</v>
      </c>
      <c r="B1231" t="str">
        <f t="shared" si="78"/>
        <v>VIA CAMILLO SBARBARO  9-</v>
      </c>
      <c r="C1231" t="str">
        <f t="shared" si="76"/>
        <v>RIV</v>
      </c>
      <c r="D1231">
        <v>27</v>
      </c>
      <c r="E1231" t="str">
        <f t="shared" si="77"/>
        <v>1004</v>
      </c>
      <c r="F1231" t="str">
        <f>"7"</f>
        <v>7</v>
      </c>
    </row>
    <row r="1232" spans="1:6">
      <c r="A1232" t="str">
        <f>"E1208-51"</f>
        <v>E1208-51</v>
      </c>
      <c r="B1232" t="str">
        <f t="shared" si="78"/>
        <v>VIA CAMILLO SBARBARO  9-</v>
      </c>
      <c r="C1232" t="str">
        <f t="shared" si="76"/>
        <v>RIV</v>
      </c>
      <c r="D1232">
        <v>27</v>
      </c>
      <c r="E1232" t="str">
        <f t="shared" si="77"/>
        <v>1004</v>
      </c>
      <c r="F1232" t="str">
        <f>"3"</f>
        <v>3</v>
      </c>
    </row>
    <row r="1233" spans="1:6">
      <c r="C1233" t="str">
        <f t="shared" si="76"/>
        <v>RIV</v>
      </c>
      <c r="D1233">
        <v>27</v>
      </c>
      <c r="E1233" t="str">
        <f t="shared" si="77"/>
        <v>1004</v>
      </c>
      <c r="F1233" t="str">
        <f>"8"</f>
        <v>8</v>
      </c>
    </row>
    <row r="1234" spans="1:6">
      <c r="A1234" t="str">
        <f>"E1208-52"</f>
        <v>E1208-52</v>
      </c>
      <c r="B1234" t="str">
        <f t="shared" si="78"/>
        <v>VIA CAMILLO SBARBARO  9-</v>
      </c>
      <c r="C1234" t="str">
        <f t="shared" si="76"/>
        <v>RIV</v>
      </c>
      <c r="D1234">
        <v>27</v>
      </c>
      <c r="E1234" t="str">
        <f t="shared" si="77"/>
        <v>1004</v>
      </c>
      <c r="F1234" t="str">
        <f>"9"</f>
        <v>9</v>
      </c>
    </row>
    <row r="1235" spans="1:6">
      <c r="A1235" t="str">
        <f>"E1208-53"</f>
        <v>E1208-53</v>
      </c>
      <c r="B1235" t="str">
        <f t="shared" si="78"/>
        <v>VIA CAMILLO SBARBARO  9-</v>
      </c>
      <c r="C1235" t="str">
        <f t="shared" si="76"/>
        <v>RIV</v>
      </c>
      <c r="D1235">
        <v>27</v>
      </c>
      <c r="E1235" t="str">
        <f t="shared" si="77"/>
        <v>1004</v>
      </c>
      <c r="F1235" t="str">
        <f>"10"</f>
        <v>10</v>
      </c>
    </row>
    <row r="1236" spans="1:6">
      <c r="A1236" t="str">
        <f>"E1208-54"</f>
        <v>E1208-54</v>
      </c>
      <c r="B1236" t="str">
        <f t="shared" si="78"/>
        <v>VIA CAMILLO SBARBARO  9-</v>
      </c>
      <c r="C1236" t="str">
        <f t="shared" si="76"/>
        <v>RIV</v>
      </c>
      <c r="D1236">
        <v>27</v>
      </c>
      <c r="E1236" t="str">
        <f t="shared" si="77"/>
        <v>1004</v>
      </c>
      <c r="F1236" t="str">
        <f>"11"</f>
        <v>11</v>
      </c>
    </row>
    <row r="1237" spans="1:6">
      <c r="A1237" t="str">
        <f>"E1208-55"</f>
        <v>E1208-55</v>
      </c>
      <c r="B1237" t="str">
        <f t="shared" si="78"/>
        <v>VIA CAMILLO SBARBARO  9-</v>
      </c>
      <c r="C1237" t="str">
        <f t="shared" si="76"/>
        <v>RIV</v>
      </c>
      <c r="D1237">
        <v>27</v>
      </c>
      <c r="E1237" t="str">
        <f t="shared" si="77"/>
        <v>1004</v>
      </c>
      <c r="F1237" t="str">
        <f>"12"</f>
        <v>12</v>
      </c>
    </row>
    <row r="1238" spans="1:6">
      <c r="A1238" t="str">
        <f>"E1208-56"</f>
        <v>E1208-56</v>
      </c>
      <c r="B1238" t="str">
        <f t="shared" si="78"/>
        <v>VIA CAMILLO SBARBARO  9-</v>
      </c>
      <c r="C1238" t="str">
        <f t="shared" si="76"/>
        <v>RIV</v>
      </c>
      <c r="D1238">
        <v>27</v>
      </c>
      <c r="E1238" t="str">
        <f t="shared" si="77"/>
        <v>1004</v>
      </c>
      <c r="F1238" t="str">
        <f>"13"</f>
        <v>13</v>
      </c>
    </row>
    <row r="1239" spans="1:6">
      <c r="A1239" t="str">
        <f>"E1208-57"</f>
        <v>E1208-57</v>
      </c>
      <c r="B1239" t="str">
        <f t="shared" si="78"/>
        <v>VIA CAMILLO SBARBARO  9-</v>
      </c>
      <c r="C1239" t="str">
        <f t="shared" si="76"/>
        <v>RIV</v>
      </c>
      <c r="D1239">
        <v>27</v>
      </c>
      <c r="E1239" t="str">
        <f t="shared" si="77"/>
        <v>1004</v>
      </c>
      <c r="F1239" t="str">
        <f>"14"</f>
        <v>14</v>
      </c>
    </row>
    <row r="1240" spans="1:6">
      <c r="A1240" t="str">
        <f>"E1208-58"</f>
        <v>E1208-58</v>
      </c>
      <c r="B1240" t="str">
        <f t="shared" si="78"/>
        <v>VIA CAMILLO SBARBARO  9-</v>
      </c>
      <c r="C1240" t="str">
        <f t="shared" si="76"/>
        <v>RIV</v>
      </c>
      <c r="D1240">
        <v>27</v>
      </c>
      <c r="E1240" t="str">
        <f t="shared" si="77"/>
        <v>1004</v>
      </c>
      <c r="F1240" t="str">
        <f>"15"</f>
        <v>15</v>
      </c>
    </row>
    <row r="1241" spans="1:6">
      <c r="A1241" t="str">
        <f>"E1208-59"</f>
        <v>E1208-59</v>
      </c>
      <c r="B1241" t="str">
        <f t="shared" si="78"/>
        <v>VIA CAMILLO SBARBARO  9-</v>
      </c>
      <c r="C1241" t="str">
        <f t="shared" si="76"/>
        <v>RIV</v>
      </c>
      <c r="D1241">
        <v>27</v>
      </c>
      <c r="E1241" t="str">
        <f t="shared" si="77"/>
        <v>1004</v>
      </c>
      <c r="F1241" t="str">
        <f>"16"</f>
        <v>16</v>
      </c>
    </row>
    <row r="1242" spans="1:6">
      <c r="A1242" t="str">
        <f>"E1208-60"</f>
        <v>E1208-60</v>
      </c>
      <c r="B1242" t="str">
        <f t="shared" si="78"/>
        <v>VIA CAMILLO SBARBARO  9-</v>
      </c>
      <c r="C1242" t="str">
        <f t="shared" si="76"/>
        <v>RIV</v>
      </c>
      <c r="D1242">
        <v>27</v>
      </c>
      <c r="E1242" t="str">
        <f>"548"</f>
        <v>548</v>
      </c>
      <c r="F1242" t="str">
        <f>"17"</f>
        <v>17</v>
      </c>
    </row>
    <row r="1243" spans="1:6">
      <c r="A1243" t="str">
        <f>"E1208-61"</f>
        <v>E1208-61</v>
      </c>
      <c r="B1243" t="str">
        <f t="shared" si="78"/>
        <v>VIA CAMILLO SBARBARO  9-</v>
      </c>
      <c r="C1243" t="str">
        <f t="shared" si="76"/>
        <v>RIV</v>
      </c>
      <c r="D1243">
        <v>27</v>
      </c>
      <c r="E1243" t="str">
        <f t="shared" ref="E1243:E1274" si="79">"1004"</f>
        <v>1004</v>
      </c>
      <c r="F1243" t="str">
        <f>"18"</f>
        <v>18</v>
      </c>
    </row>
    <row r="1244" spans="1:6">
      <c r="A1244" t="str">
        <f>"E1208-62"</f>
        <v>E1208-62</v>
      </c>
      <c r="B1244" t="str">
        <f t="shared" si="78"/>
        <v>VIA CAMILLO SBARBARO  9-</v>
      </c>
      <c r="C1244" t="str">
        <f t="shared" si="76"/>
        <v>RIV</v>
      </c>
      <c r="D1244">
        <v>27</v>
      </c>
      <c r="E1244" t="str">
        <f t="shared" si="79"/>
        <v>1004</v>
      </c>
      <c r="F1244" t="str">
        <f>"19"</f>
        <v>19</v>
      </c>
    </row>
    <row r="1245" spans="1:6">
      <c r="A1245" t="str">
        <f>"E1208-63"</f>
        <v>E1208-63</v>
      </c>
      <c r="B1245" t="str">
        <f t="shared" si="78"/>
        <v>VIA CAMILLO SBARBARO  9-</v>
      </c>
      <c r="C1245" t="str">
        <f t="shared" si="76"/>
        <v>RIV</v>
      </c>
      <c r="D1245">
        <v>27</v>
      </c>
      <c r="E1245" t="str">
        <f t="shared" si="79"/>
        <v>1004</v>
      </c>
      <c r="F1245" t="str">
        <f>"20"</f>
        <v>20</v>
      </c>
    </row>
    <row r="1246" spans="1:6">
      <c r="A1246" t="str">
        <f>"E1208-64"</f>
        <v>E1208-64</v>
      </c>
      <c r="B1246" t="str">
        <f t="shared" si="78"/>
        <v>VIA CAMILLO SBARBARO  9-</v>
      </c>
      <c r="C1246" t="str">
        <f t="shared" si="76"/>
        <v>RIV</v>
      </c>
      <c r="D1246">
        <v>27</v>
      </c>
      <c r="E1246" t="str">
        <f t="shared" si="79"/>
        <v>1004</v>
      </c>
      <c r="F1246" t="str">
        <f>"21"</f>
        <v>21</v>
      </c>
    </row>
    <row r="1247" spans="1:6">
      <c r="A1247" t="str">
        <f>"E1208-65"</f>
        <v>E1208-65</v>
      </c>
      <c r="B1247" t="str">
        <f t="shared" si="78"/>
        <v>VIA CAMILLO SBARBARO  9-</v>
      </c>
      <c r="C1247" t="str">
        <f t="shared" si="76"/>
        <v>RIV</v>
      </c>
      <c r="D1247">
        <v>27</v>
      </c>
      <c r="E1247" t="str">
        <f t="shared" si="79"/>
        <v>1004</v>
      </c>
      <c r="F1247" t="str">
        <f>"22"</f>
        <v>22</v>
      </c>
    </row>
    <row r="1248" spans="1:6">
      <c r="A1248" t="str">
        <f>"E1208-66"</f>
        <v>E1208-66</v>
      </c>
      <c r="B1248" t="str">
        <f t="shared" si="78"/>
        <v>VIA CAMILLO SBARBARO  9-</v>
      </c>
      <c r="C1248" t="str">
        <f t="shared" si="76"/>
        <v>RIV</v>
      </c>
      <c r="D1248">
        <v>27</v>
      </c>
      <c r="E1248" t="str">
        <f t="shared" si="79"/>
        <v>1004</v>
      </c>
      <c r="F1248" t="str">
        <f>"23"</f>
        <v>23</v>
      </c>
    </row>
    <row r="1249" spans="1:6">
      <c r="A1249" t="str">
        <f>"E1208-67"</f>
        <v>E1208-67</v>
      </c>
      <c r="B1249" t="str">
        <f t="shared" si="78"/>
        <v>VIA CAMILLO SBARBARO  9-</v>
      </c>
      <c r="C1249" t="str">
        <f t="shared" si="76"/>
        <v>RIV</v>
      </c>
      <c r="D1249">
        <v>27</v>
      </c>
      <c r="E1249" t="str">
        <f t="shared" si="79"/>
        <v>1004</v>
      </c>
      <c r="F1249" t="str">
        <f>"24"</f>
        <v>24</v>
      </c>
    </row>
    <row r="1250" spans="1:6">
      <c r="A1250" t="str">
        <f>"E1208-68"</f>
        <v>E1208-68</v>
      </c>
      <c r="B1250" t="str">
        <f t="shared" si="78"/>
        <v>VIA CAMILLO SBARBARO  9-</v>
      </c>
      <c r="C1250" t="str">
        <f t="shared" si="76"/>
        <v>RIV</v>
      </c>
      <c r="D1250">
        <v>27</v>
      </c>
      <c r="E1250" t="str">
        <f t="shared" si="79"/>
        <v>1004</v>
      </c>
      <c r="F1250" t="str">
        <f>"25"</f>
        <v>25</v>
      </c>
    </row>
    <row r="1251" spans="1:6">
      <c r="A1251" t="str">
        <f>"E1208-69"</f>
        <v>E1208-69</v>
      </c>
      <c r="B1251" t="str">
        <f t="shared" si="78"/>
        <v>VIA CAMILLO SBARBARO  9-</v>
      </c>
      <c r="C1251" t="str">
        <f t="shared" si="76"/>
        <v>RIV</v>
      </c>
      <c r="D1251">
        <v>27</v>
      </c>
      <c r="E1251" t="str">
        <f t="shared" si="79"/>
        <v>1004</v>
      </c>
      <c r="F1251" t="str">
        <f>"26"</f>
        <v>26</v>
      </c>
    </row>
    <row r="1252" spans="1:6">
      <c r="A1252" t="str">
        <f>"E1208-70"</f>
        <v>E1208-70</v>
      </c>
      <c r="B1252" t="str">
        <f t="shared" si="78"/>
        <v>VIA CAMILLO SBARBARO  9-</v>
      </c>
      <c r="C1252" t="str">
        <f t="shared" si="76"/>
        <v>RIV</v>
      </c>
      <c r="D1252">
        <v>27</v>
      </c>
      <c r="E1252" t="str">
        <f t="shared" si="79"/>
        <v>1004</v>
      </c>
      <c r="F1252" t="str">
        <f>"27"</f>
        <v>27</v>
      </c>
    </row>
    <row r="1253" spans="1:6">
      <c r="A1253" t="str">
        <f>"E1208-71"</f>
        <v>E1208-71</v>
      </c>
      <c r="B1253" t="str">
        <f t="shared" si="78"/>
        <v>VIA CAMILLO SBARBARO  9-</v>
      </c>
      <c r="C1253" t="str">
        <f t="shared" si="76"/>
        <v>RIV</v>
      </c>
      <c r="D1253">
        <v>27</v>
      </c>
      <c r="E1253" t="str">
        <f t="shared" si="79"/>
        <v>1004</v>
      </c>
      <c r="F1253" t="str">
        <f>"28"</f>
        <v>28</v>
      </c>
    </row>
    <row r="1254" spans="1:6">
      <c r="A1254" t="str">
        <f>"E1208-72"</f>
        <v>E1208-72</v>
      </c>
      <c r="B1254" t="str">
        <f t="shared" ref="B1254:B1278" si="80">"VIA CAMILLO SBARBARO  11-"</f>
        <v>VIA CAMILLO SBARBARO  11-</v>
      </c>
      <c r="C1254" t="str">
        <f t="shared" si="76"/>
        <v>RIV</v>
      </c>
      <c r="D1254">
        <v>27</v>
      </c>
      <c r="E1254" t="str">
        <f t="shared" si="79"/>
        <v>1004</v>
      </c>
      <c r="F1254" t="str">
        <f>"29"</f>
        <v>29</v>
      </c>
    </row>
    <row r="1255" spans="1:6">
      <c r="A1255" t="str">
        <f>"E1208-72"</f>
        <v>E1208-72</v>
      </c>
      <c r="B1255" t="str">
        <f t="shared" si="80"/>
        <v>VIA CAMILLO SBARBARO  11-</v>
      </c>
      <c r="C1255" t="str">
        <f t="shared" si="76"/>
        <v>RIV</v>
      </c>
      <c r="D1255">
        <v>27</v>
      </c>
      <c r="E1255" t="str">
        <f t="shared" si="79"/>
        <v>1004</v>
      </c>
      <c r="F1255" t="str">
        <f>"4"</f>
        <v>4</v>
      </c>
    </row>
    <row r="1256" spans="1:6">
      <c r="A1256" t="str">
        <f>"E1208-73"</f>
        <v>E1208-73</v>
      </c>
      <c r="B1256" t="str">
        <f t="shared" si="80"/>
        <v>VIA CAMILLO SBARBARO  11-</v>
      </c>
      <c r="C1256" t="str">
        <f t="shared" si="76"/>
        <v>RIV</v>
      </c>
      <c r="D1256">
        <v>27</v>
      </c>
      <c r="E1256" t="str">
        <f t="shared" si="79"/>
        <v>1004</v>
      </c>
      <c r="F1256" t="str">
        <f>"30"</f>
        <v>30</v>
      </c>
    </row>
    <row r="1257" spans="1:6">
      <c r="A1257" t="str">
        <f>"E1208-74"</f>
        <v>E1208-74</v>
      </c>
      <c r="B1257" t="str">
        <f t="shared" si="80"/>
        <v>VIA CAMILLO SBARBARO  11-</v>
      </c>
      <c r="C1257" t="str">
        <f t="shared" si="76"/>
        <v>RIV</v>
      </c>
      <c r="D1257">
        <v>27</v>
      </c>
      <c r="E1257" t="str">
        <f t="shared" si="79"/>
        <v>1004</v>
      </c>
      <c r="F1257" t="str">
        <f>"31"</f>
        <v>31</v>
      </c>
    </row>
    <row r="1258" spans="1:6">
      <c r="C1258" t="str">
        <f t="shared" si="76"/>
        <v>RIV</v>
      </c>
      <c r="D1258">
        <v>27</v>
      </c>
      <c r="E1258" t="str">
        <f t="shared" si="79"/>
        <v>1004</v>
      </c>
      <c r="F1258" t="str">
        <f>"5"</f>
        <v>5</v>
      </c>
    </row>
    <row r="1259" spans="1:6">
      <c r="A1259" t="str">
        <f>"E1208-75"</f>
        <v>E1208-75</v>
      </c>
      <c r="B1259" t="str">
        <f t="shared" si="80"/>
        <v>VIA CAMILLO SBARBARO  11-</v>
      </c>
      <c r="C1259" t="str">
        <f t="shared" si="76"/>
        <v>RIV</v>
      </c>
      <c r="D1259">
        <v>27</v>
      </c>
      <c r="E1259" t="str">
        <f t="shared" si="79"/>
        <v>1004</v>
      </c>
      <c r="F1259" t="str">
        <f>"32"</f>
        <v>32</v>
      </c>
    </row>
    <row r="1260" spans="1:6">
      <c r="A1260" t="str">
        <f>"E1208-76"</f>
        <v>E1208-76</v>
      </c>
      <c r="B1260" t="str">
        <f t="shared" si="80"/>
        <v>VIA CAMILLO SBARBARO  11-</v>
      </c>
      <c r="C1260" t="str">
        <f t="shared" si="76"/>
        <v>RIV</v>
      </c>
      <c r="D1260">
        <v>27</v>
      </c>
      <c r="E1260" t="str">
        <f t="shared" si="79"/>
        <v>1004</v>
      </c>
      <c r="F1260" t="str">
        <f>"33"</f>
        <v>33</v>
      </c>
    </row>
    <row r="1261" spans="1:6">
      <c r="A1261" t="str">
        <f>"E1208-77"</f>
        <v>E1208-77</v>
      </c>
      <c r="B1261" t="str">
        <f t="shared" si="80"/>
        <v>VIA CAMILLO SBARBARO  11-</v>
      </c>
      <c r="C1261" t="str">
        <f t="shared" si="76"/>
        <v>RIV</v>
      </c>
      <c r="D1261">
        <v>27</v>
      </c>
      <c r="E1261" t="str">
        <f t="shared" si="79"/>
        <v>1004</v>
      </c>
      <c r="F1261" t="str">
        <f>"34"</f>
        <v>34</v>
      </c>
    </row>
    <row r="1262" spans="1:6">
      <c r="A1262" t="str">
        <f>"E1208-78"</f>
        <v>E1208-78</v>
      </c>
      <c r="B1262" t="str">
        <f t="shared" si="80"/>
        <v>VIA CAMILLO SBARBARO  11-</v>
      </c>
      <c r="C1262" t="str">
        <f t="shared" si="76"/>
        <v>RIV</v>
      </c>
      <c r="D1262">
        <v>27</v>
      </c>
      <c r="E1262" t="str">
        <f t="shared" si="79"/>
        <v>1004</v>
      </c>
      <c r="F1262" t="str">
        <f>"35"</f>
        <v>35</v>
      </c>
    </row>
    <row r="1263" spans="1:6">
      <c r="A1263" t="str">
        <f>"E1208-79"</f>
        <v>E1208-79</v>
      </c>
      <c r="B1263" t="str">
        <f t="shared" si="80"/>
        <v>VIA CAMILLO SBARBARO  11-</v>
      </c>
      <c r="C1263" t="str">
        <f t="shared" si="76"/>
        <v>RIV</v>
      </c>
      <c r="D1263">
        <v>27</v>
      </c>
      <c r="E1263" t="str">
        <f t="shared" si="79"/>
        <v>1004</v>
      </c>
      <c r="F1263" t="str">
        <f>"36"</f>
        <v>36</v>
      </c>
    </row>
    <row r="1264" spans="1:6">
      <c r="A1264" t="str">
        <f>"E1208-80"</f>
        <v>E1208-80</v>
      </c>
      <c r="B1264" t="str">
        <f t="shared" si="80"/>
        <v>VIA CAMILLO SBARBARO  11-</v>
      </c>
      <c r="C1264" t="str">
        <f t="shared" si="76"/>
        <v>RIV</v>
      </c>
      <c r="D1264">
        <v>27</v>
      </c>
      <c r="E1264" t="str">
        <f t="shared" si="79"/>
        <v>1004</v>
      </c>
      <c r="F1264" t="str">
        <f>"37"</f>
        <v>37</v>
      </c>
    </row>
    <row r="1265" spans="1:6">
      <c r="A1265" t="str">
        <f>"E1208-81"</f>
        <v>E1208-81</v>
      </c>
      <c r="B1265" t="str">
        <f t="shared" si="80"/>
        <v>VIA CAMILLO SBARBARO  11-</v>
      </c>
      <c r="C1265" t="str">
        <f t="shared" si="76"/>
        <v>RIV</v>
      </c>
      <c r="D1265">
        <v>27</v>
      </c>
      <c r="E1265" t="str">
        <f t="shared" si="79"/>
        <v>1004</v>
      </c>
      <c r="F1265" t="str">
        <f>"38"</f>
        <v>38</v>
      </c>
    </row>
    <row r="1266" spans="1:6">
      <c r="A1266" t="str">
        <f>"E1208-82"</f>
        <v>E1208-82</v>
      </c>
      <c r="B1266" t="str">
        <f t="shared" si="80"/>
        <v>VIA CAMILLO SBARBARO  11-</v>
      </c>
      <c r="C1266" t="str">
        <f t="shared" si="76"/>
        <v>RIV</v>
      </c>
      <c r="D1266">
        <v>27</v>
      </c>
      <c r="E1266" t="str">
        <f t="shared" si="79"/>
        <v>1004</v>
      </c>
      <c r="F1266" t="str">
        <f>"39"</f>
        <v>39</v>
      </c>
    </row>
    <row r="1267" spans="1:6">
      <c r="A1267" t="str">
        <f>"E1208-83"</f>
        <v>E1208-83</v>
      </c>
      <c r="B1267" t="str">
        <f t="shared" si="80"/>
        <v>VIA CAMILLO SBARBARO  11-</v>
      </c>
      <c r="C1267" t="str">
        <f t="shared" si="76"/>
        <v>RIV</v>
      </c>
      <c r="D1267">
        <v>27</v>
      </c>
      <c r="E1267" t="str">
        <f t="shared" si="79"/>
        <v>1004</v>
      </c>
      <c r="F1267" t="str">
        <f>"40"</f>
        <v>40</v>
      </c>
    </row>
    <row r="1268" spans="1:6">
      <c r="A1268" t="str">
        <f>"E1208-84"</f>
        <v>E1208-84</v>
      </c>
      <c r="B1268" t="str">
        <f t="shared" si="80"/>
        <v>VIA CAMILLO SBARBARO  11-</v>
      </c>
      <c r="C1268" t="str">
        <f t="shared" si="76"/>
        <v>RIV</v>
      </c>
      <c r="D1268">
        <v>27</v>
      </c>
      <c r="E1268" t="str">
        <f t="shared" si="79"/>
        <v>1004</v>
      </c>
      <c r="F1268" t="str">
        <f>"41"</f>
        <v>41</v>
      </c>
    </row>
    <row r="1269" spans="1:6">
      <c r="A1269" t="str">
        <f>"E1208-85"</f>
        <v>E1208-85</v>
      </c>
      <c r="B1269" t="str">
        <f t="shared" si="80"/>
        <v>VIA CAMILLO SBARBARO  11-</v>
      </c>
      <c r="C1269" t="str">
        <f t="shared" si="76"/>
        <v>RIV</v>
      </c>
      <c r="D1269">
        <v>27</v>
      </c>
      <c r="E1269" t="str">
        <f t="shared" si="79"/>
        <v>1004</v>
      </c>
      <c r="F1269" t="str">
        <f>"42"</f>
        <v>42</v>
      </c>
    </row>
    <row r="1270" spans="1:6">
      <c r="A1270" t="str">
        <f>"E1208-86"</f>
        <v>E1208-86</v>
      </c>
      <c r="B1270" t="str">
        <f t="shared" si="80"/>
        <v>VIA CAMILLO SBARBARO  11-</v>
      </c>
      <c r="C1270" t="str">
        <f t="shared" si="76"/>
        <v>RIV</v>
      </c>
      <c r="D1270">
        <v>27</v>
      </c>
      <c r="E1270" t="str">
        <f t="shared" si="79"/>
        <v>1004</v>
      </c>
      <c r="F1270" t="str">
        <f>"43"</f>
        <v>43</v>
      </c>
    </row>
    <row r="1271" spans="1:6">
      <c r="A1271" t="str">
        <f>"E1208-87"</f>
        <v>E1208-87</v>
      </c>
      <c r="B1271" t="str">
        <f t="shared" si="80"/>
        <v>VIA CAMILLO SBARBARO  11-</v>
      </c>
      <c r="C1271" t="str">
        <f t="shared" si="76"/>
        <v>RIV</v>
      </c>
      <c r="D1271">
        <v>27</v>
      </c>
      <c r="E1271" t="str">
        <f t="shared" si="79"/>
        <v>1004</v>
      </c>
      <c r="F1271" t="str">
        <f>"44"</f>
        <v>44</v>
      </c>
    </row>
    <row r="1272" spans="1:6">
      <c r="A1272" t="str">
        <f>"E1208-88"</f>
        <v>E1208-88</v>
      </c>
      <c r="B1272" t="str">
        <f t="shared" si="80"/>
        <v>VIA CAMILLO SBARBARO  11-</v>
      </c>
      <c r="C1272" t="str">
        <f t="shared" si="76"/>
        <v>RIV</v>
      </c>
      <c r="D1272">
        <v>27</v>
      </c>
      <c r="E1272" t="str">
        <f t="shared" si="79"/>
        <v>1004</v>
      </c>
      <c r="F1272" t="str">
        <f>"45"</f>
        <v>45</v>
      </c>
    </row>
    <row r="1273" spans="1:6">
      <c r="A1273" t="str">
        <f>"E1208-89"</f>
        <v>E1208-89</v>
      </c>
      <c r="B1273" t="str">
        <f t="shared" si="80"/>
        <v>VIA CAMILLO SBARBARO  11-</v>
      </c>
      <c r="C1273" t="str">
        <f t="shared" si="76"/>
        <v>RIV</v>
      </c>
      <c r="D1273">
        <v>27</v>
      </c>
      <c r="E1273" t="str">
        <f t="shared" si="79"/>
        <v>1004</v>
      </c>
      <c r="F1273" t="str">
        <f>"46"</f>
        <v>46</v>
      </c>
    </row>
    <row r="1274" spans="1:6">
      <c r="A1274" t="str">
        <f>"E1208-90"</f>
        <v>E1208-90</v>
      </c>
      <c r="B1274" t="str">
        <f t="shared" si="80"/>
        <v>VIA CAMILLO SBARBARO  11-</v>
      </c>
      <c r="C1274" t="str">
        <f t="shared" si="76"/>
        <v>RIV</v>
      </c>
      <c r="D1274">
        <v>27</v>
      </c>
      <c r="E1274" t="str">
        <f t="shared" si="79"/>
        <v>1004</v>
      </c>
      <c r="F1274" t="str">
        <f>"47"</f>
        <v>47</v>
      </c>
    </row>
    <row r="1275" spans="1:6">
      <c r="A1275" t="str">
        <f>"E1208-91"</f>
        <v>E1208-91</v>
      </c>
      <c r="B1275" t="str">
        <f t="shared" si="80"/>
        <v>VIA CAMILLO SBARBARO  11-</v>
      </c>
      <c r="C1275" t="str">
        <f t="shared" si="76"/>
        <v>RIV</v>
      </c>
      <c r="D1275">
        <v>27</v>
      </c>
      <c r="E1275" t="str">
        <f t="shared" ref="E1275:E1306" si="81">"1004"</f>
        <v>1004</v>
      </c>
      <c r="F1275" t="str">
        <f>"48"</f>
        <v>48</v>
      </c>
    </row>
    <row r="1276" spans="1:6">
      <c r="A1276" t="str">
        <f>"E1208-92"</f>
        <v>E1208-92</v>
      </c>
      <c r="B1276" t="str">
        <f t="shared" si="80"/>
        <v>VIA CAMILLO SBARBARO  11-</v>
      </c>
      <c r="C1276" t="str">
        <f t="shared" si="76"/>
        <v>RIV</v>
      </c>
      <c r="D1276">
        <v>27</v>
      </c>
      <c r="E1276" t="str">
        <f t="shared" si="81"/>
        <v>1004</v>
      </c>
      <c r="F1276" t="str">
        <f>"49"</f>
        <v>49</v>
      </c>
    </row>
    <row r="1277" spans="1:6">
      <c r="A1277" t="str">
        <f>"E1208-93"</f>
        <v>E1208-93</v>
      </c>
      <c r="B1277" t="str">
        <f t="shared" si="80"/>
        <v>VIA CAMILLO SBARBARO  11-</v>
      </c>
      <c r="C1277" t="str">
        <f t="shared" si="76"/>
        <v>RIV</v>
      </c>
      <c r="D1277">
        <v>27</v>
      </c>
      <c r="E1277" t="str">
        <f t="shared" si="81"/>
        <v>1004</v>
      </c>
      <c r="F1277" t="str">
        <f>"50"</f>
        <v>50</v>
      </c>
    </row>
    <row r="1278" spans="1:6">
      <c r="A1278" t="str">
        <f>"E1208-94"</f>
        <v>E1208-94</v>
      </c>
      <c r="B1278" t="str">
        <f t="shared" si="80"/>
        <v>VIA CAMILLO SBARBARO  11-</v>
      </c>
      <c r="C1278" t="str">
        <f t="shared" si="76"/>
        <v>RIV</v>
      </c>
      <c r="D1278">
        <v>27</v>
      </c>
      <c r="E1278" t="str">
        <f t="shared" si="81"/>
        <v>1004</v>
      </c>
      <c r="F1278" t="str">
        <f>"51"</f>
        <v>51</v>
      </c>
    </row>
    <row r="1279" spans="1:6">
      <c r="A1279" t="str">
        <f>"E1208-95"</f>
        <v>E1208-95</v>
      </c>
      <c r="B1279" t="str">
        <f t="shared" ref="B1279:B1318" si="82">"VIA CAMILLO SBARBARO  9-"</f>
        <v>VIA CAMILLO SBARBARO  9-</v>
      </c>
      <c r="C1279" t="str">
        <f t="shared" si="76"/>
        <v>RIV</v>
      </c>
      <c r="D1279">
        <v>27</v>
      </c>
      <c r="E1279" t="str">
        <f t="shared" si="81"/>
        <v>1004</v>
      </c>
      <c r="F1279" t="str">
        <f>"73"</f>
        <v>73</v>
      </c>
    </row>
    <row r="1280" spans="1:6">
      <c r="A1280" t="str">
        <f>"E1208-96"</f>
        <v>E1208-96</v>
      </c>
      <c r="B1280" t="str">
        <f t="shared" si="82"/>
        <v>VIA CAMILLO SBARBARO  9-</v>
      </c>
      <c r="C1280" t="str">
        <f t="shared" si="76"/>
        <v>RIV</v>
      </c>
      <c r="D1280">
        <v>27</v>
      </c>
      <c r="E1280" t="str">
        <f t="shared" si="81"/>
        <v>1004</v>
      </c>
      <c r="F1280" t="str">
        <f>"74"</f>
        <v>74</v>
      </c>
    </row>
    <row r="1281" spans="1:6">
      <c r="A1281" t="str">
        <f>"E1208-97"</f>
        <v>E1208-97</v>
      </c>
      <c r="B1281" t="str">
        <f t="shared" si="82"/>
        <v>VIA CAMILLO SBARBARO  9-</v>
      </c>
      <c r="C1281" t="str">
        <f t="shared" si="76"/>
        <v>RIV</v>
      </c>
      <c r="D1281">
        <v>27</v>
      </c>
      <c r="E1281" t="str">
        <f t="shared" si="81"/>
        <v>1004</v>
      </c>
      <c r="F1281" t="str">
        <f>"75"</f>
        <v>75</v>
      </c>
    </row>
    <row r="1282" spans="1:6">
      <c r="A1282" t="str">
        <f>"E1208-98"</f>
        <v>E1208-98</v>
      </c>
      <c r="B1282" t="str">
        <f t="shared" si="82"/>
        <v>VIA CAMILLO SBARBARO  9-</v>
      </c>
      <c r="C1282" t="str">
        <f t="shared" si="76"/>
        <v>RIV</v>
      </c>
      <c r="D1282">
        <v>27</v>
      </c>
      <c r="E1282" t="str">
        <f t="shared" si="81"/>
        <v>1004</v>
      </c>
      <c r="F1282" t="str">
        <f>"76"</f>
        <v>76</v>
      </c>
    </row>
    <row r="1283" spans="1:6">
      <c r="A1283" t="str">
        <f>"E1208-99"</f>
        <v>E1208-99</v>
      </c>
      <c r="B1283" t="str">
        <f t="shared" si="82"/>
        <v>VIA CAMILLO SBARBARO  9-</v>
      </c>
      <c r="C1283" t="str">
        <f t="shared" si="76"/>
        <v>RIV</v>
      </c>
      <c r="D1283">
        <v>27</v>
      </c>
      <c r="E1283" t="str">
        <f t="shared" si="81"/>
        <v>1004</v>
      </c>
      <c r="F1283" t="str">
        <f>"77"</f>
        <v>77</v>
      </c>
    </row>
    <row r="1284" spans="1:6">
      <c r="A1284" t="str">
        <f>"E1208-100"</f>
        <v>E1208-100</v>
      </c>
      <c r="B1284" t="str">
        <f t="shared" si="82"/>
        <v>VIA CAMILLO SBARBARO  9-</v>
      </c>
      <c r="C1284" t="str">
        <f t="shared" si="76"/>
        <v>RIV</v>
      </c>
      <c r="D1284">
        <v>27</v>
      </c>
      <c r="E1284" t="str">
        <f t="shared" si="81"/>
        <v>1004</v>
      </c>
      <c r="F1284" t="str">
        <f>"78"</f>
        <v>78</v>
      </c>
    </row>
    <row r="1285" spans="1:6">
      <c r="A1285" t="str">
        <f>"E1208-101"</f>
        <v>E1208-101</v>
      </c>
      <c r="B1285" t="str">
        <f t="shared" si="82"/>
        <v>VIA CAMILLO SBARBARO  9-</v>
      </c>
      <c r="C1285" t="str">
        <f t="shared" si="76"/>
        <v>RIV</v>
      </c>
      <c r="D1285">
        <v>27</v>
      </c>
      <c r="E1285" t="str">
        <f t="shared" si="81"/>
        <v>1004</v>
      </c>
      <c r="F1285" t="str">
        <f>"79"</f>
        <v>79</v>
      </c>
    </row>
    <row r="1286" spans="1:6">
      <c r="A1286" t="str">
        <f>"E1208-102"</f>
        <v>E1208-102</v>
      </c>
      <c r="B1286" t="str">
        <f t="shared" si="82"/>
        <v>VIA CAMILLO SBARBARO  9-</v>
      </c>
      <c r="C1286" t="str">
        <f t="shared" si="76"/>
        <v>RIV</v>
      </c>
      <c r="D1286">
        <v>27</v>
      </c>
      <c r="E1286" t="str">
        <f t="shared" si="81"/>
        <v>1004</v>
      </c>
      <c r="F1286" t="str">
        <f>"80"</f>
        <v>80</v>
      </c>
    </row>
    <row r="1287" spans="1:6">
      <c r="A1287" t="str">
        <f>"E1208-103"</f>
        <v>E1208-103</v>
      </c>
      <c r="B1287" t="str">
        <f t="shared" si="82"/>
        <v>VIA CAMILLO SBARBARO  9-</v>
      </c>
      <c r="C1287" t="str">
        <f t="shared" ref="C1287:C1350" si="83">"RIV"</f>
        <v>RIV</v>
      </c>
      <c r="D1287">
        <v>27</v>
      </c>
      <c r="E1287" t="str">
        <f t="shared" si="81"/>
        <v>1004</v>
      </c>
      <c r="F1287" t="str">
        <f>"81"</f>
        <v>81</v>
      </c>
    </row>
    <row r="1288" spans="1:6">
      <c r="A1288" t="str">
        <f>"E1208-104"</f>
        <v>E1208-104</v>
      </c>
      <c r="B1288" t="str">
        <f t="shared" si="82"/>
        <v>VIA CAMILLO SBARBARO  9-</v>
      </c>
      <c r="C1288" t="str">
        <f t="shared" si="83"/>
        <v>RIV</v>
      </c>
      <c r="D1288">
        <v>27</v>
      </c>
      <c r="E1288" t="str">
        <f t="shared" si="81"/>
        <v>1004</v>
      </c>
      <c r="F1288" t="str">
        <f>"82"</f>
        <v>82</v>
      </c>
    </row>
    <row r="1289" spans="1:6">
      <c r="A1289" t="str">
        <f>"E1208-105"</f>
        <v>E1208-105</v>
      </c>
      <c r="B1289" t="str">
        <f t="shared" si="82"/>
        <v>VIA CAMILLO SBARBARO  9-</v>
      </c>
      <c r="C1289" t="str">
        <f t="shared" si="83"/>
        <v>RIV</v>
      </c>
      <c r="D1289">
        <v>27</v>
      </c>
      <c r="E1289" t="str">
        <f t="shared" si="81"/>
        <v>1004</v>
      </c>
      <c r="F1289" t="str">
        <f>"83"</f>
        <v>83</v>
      </c>
    </row>
    <row r="1290" spans="1:6">
      <c r="A1290" t="str">
        <f>"E1208-106"</f>
        <v>E1208-106</v>
      </c>
      <c r="B1290" t="str">
        <f t="shared" si="82"/>
        <v>VIA CAMILLO SBARBARO  9-</v>
      </c>
      <c r="C1290" t="str">
        <f t="shared" si="83"/>
        <v>RIV</v>
      </c>
      <c r="D1290">
        <v>27</v>
      </c>
      <c r="E1290" t="str">
        <f t="shared" si="81"/>
        <v>1004</v>
      </c>
      <c r="F1290" t="str">
        <f>"84"</f>
        <v>84</v>
      </c>
    </row>
    <row r="1291" spans="1:6">
      <c r="A1291" t="str">
        <f>"E1208-107"</f>
        <v>E1208-107</v>
      </c>
      <c r="B1291" t="str">
        <f t="shared" si="82"/>
        <v>VIA CAMILLO SBARBARO  9-</v>
      </c>
      <c r="C1291" t="str">
        <f t="shared" si="83"/>
        <v>RIV</v>
      </c>
      <c r="D1291">
        <v>27</v>
      </c>
      <c r="E1291" t="str">
        <f t="shared" si="81"/>
        <v>1004</v>
      </c>
      <c r="F1291" t="str">
        <f>"85"</f>
        <v>85</v>
      </c>
    </row>
    <row r="1292" spans="1:6">
      <c r="A1292" t="str">
        <f>"E1208-108"</f>
        <v>E1208-108</v>
      </c>
      <c r="B1292" t="str">
        <f t="shared" si="82"/>
        <v>VIA CAMILLO SBARBARO  9-</v>
      </c>
      <c r="C1292" t="str">
        <f t="shared" si="83"/>
        <v>RIV</v>
      </c>
      <c r="D1292">
        <v>27</v>
      </c>
      <c r="E1292" t="str">
        <f t="shared" si="81"/>
        <v>1004</v>
      </c>
      <c r="F1292" t="str">
        <f>"86"</f>
        <v>86</v>
      </c>
    </row>
    <row r="1293" spans="1:6">
      <c r="A1293" t="str">
        <f>"E1208-109"</f>
        <v>E1208-109</v>
      </c>
      <c r="B1293" t="str">
        <f t="shared" si="82"/>
        <v>VIA CAMILLO SBARBARO  9-</v>
      </c>
      <c r="C1293" t="str">
        <f t="shared" si="83"/>
        <v>RIV</v>
      </c>
      <c r="D1293">
        <v>27</v>
      </c>
      <c r="E1293" t="str">
        <f t="shared" si="81"/>
        <v>1004</v>
      </c>
      <c r="F1293" t="str">
        <f>"87"</f>
        <v>87</v>
      </c>
    </row>
    <row r="1294" spans="1:6">
      <c r="A1294" t="str">
        <f>"E1208-110"</f>
        <v>E1208-110</v>
      </c>
      <c r="B1294" t="str">
        <f t="shared" si="82"/>
        <v>VIA CAMILLO SBARBARO  9-</v>
      </c>
      <c r="C1294" t="str">
        <f t="shared" si="83"/>
        <v>RIV</v>
      </c>
      <c r="D1294">
        <v>27</v>
      </c>
      <c r="E1294" t="str">
        <f t="shared" si="81"/>
        <v>1004</v>
      </c>
      <c r="F1294" t="str">
        <f>"88"</f>
        <v>88</v>
      </c>
    </row>
    <row r="1295" spans="1:6">
      <c r="A1295" t="str">
        <f>"E1208-111"</f>
        <v>E1208-111</v>
      </c>
      <c r="B1295" t="str">
        <f t="shared" si="82"/>
        <v>VIA CAMILLO SBARBARO  9-</v>
      </c>
      <c r="C1295" t="str">
        <f t="shared" si="83"/>
        <v>RIV</v>
      </c>
      <c r="D1295">
        <v>27</v>
      </c>
      <c r="E1295" t="str">
        <f t="shared" si="81"/>
        <v>1004</v>
      </c>
      <c r="F1295" t="str">
        <f>"89"</f>
        <v>89</v>
      </c>
    </row>
    <row r="1296" spans="1:6">
      <c r="A1296" t="str">
        <f>"E1208-112"</f>
        <v>E1208-112</v>
      </c>
      <c r="B1296" t="str">
        <f t="shared" si="82"/>
        <v>VIA CAMILLO SBARBARO  9-</v>
      </c>
      <c r="C1296" t="str">
        <f t="shared" si="83"/>
        <v>RIV</v>
      </c>
      <c r="D1296">
        <v>27</v>
      </c>
      <c r="E1296" t="str">
        <f t="shared" si="81"/>
        <v>1004</v>
      </c>
      <c r="F1296" t="str">
        <f>"90"</f>
        <v>90</v>
      </c>
    </row>
    <row r="1297" spans="1:6">
      <c r="A1297" t="str">
        <f>"E1208-113"</f>
        <v>E1208-113</v>
      </c>
      <c r="B1297" t="str">
        <f t="shared" si="82"/>
        <v>VIA CAMILLO SBARBARO  9-</v>
      </c>
      <c r="C1297" t="str">
        <f t="shared" si="83"/>
        <v>RIV</v>
      </c>
      <c r="D1297">
        <v>27</v>
      </c>
      <c r="E1297" t="str">
        <f t="shared" si="81"/>
        <v>1004</v>
      </c>
      <c r="F1297" t="str">
        <f>"91"</f>
        <v>91</v>
      </c>
    </row>
    <row r="1298" spans="1:6">
      <c r="A1298" t="str">
        <f>"E1208-114"</f>
        <v>E1208-114</v>
      </c>
      <c r="B1298" t="str">
        <f t="shared" si="82"/>
        <v>VIA CAMILLO SBARBARO  9-</v>
      </c>
      <c r="C1298" t="str">
        <f t="shared" si="83"/>
        <v>RIV</v>
      </c>
      <c r="D1298">
        <v>27</v>
      </c>
      <c r="E1298" t="str">
        <f t="shared" si="81"/>
        <v>1004</v>
      </c>
      <c r="F1298" t="str">
        <f>"92"</f>
        <v>92</v>
      </c>
    </row>
    <row r="1299" spans="1:6">
      <c r="A1299" t="str">
        <f>"E1208-115"</f>
        <v>E1208-115</v>
      </c>
      <c r="B1299" t="str">
        <f t="shared" si="82"/>
        <v>VIA CAMILLO SBARBARO  9-</v>
      </c>
      <c r="C1299" t="str">
        <f t="shared" si="83"/>
        <v>RIV</v>
      </c>
      <c r="D1299">
        <v>27</v>
      </c>
      <c r="E1299" t="str">
        <f t="shared" si="81"/>
        <v>1004</v>
      </c>
      <c r="F1299" t="str">
        <f>"93"</f>
        <v>93</v>
      </c>
    </row>
    <row r="1300" spans="1:6">
      <c r="A1300" t="str">
        <f>"E1208-116"</f>
        <v>E1208-116</v>
      </c>
      <c r="B1300" t="str">
        <f t="shared" si="82"/>
        <v>VIA CAMILLO SBARBARO  9-</v>
      </c>
      <c r="C1300" t="str">
        <f t="shared" si="83"/>
        <v>RIV</v>
      </c>
      <c r="D1300">
        <v>27</v>
      </c>
      <c r="E1300" t="str">
        <f t="shared" si="81"/>
        <v>1004</v>
      </c>
      <c r="F1300" t="str">
        <f>"94"</f>
        <v>94</v>
      </c>
    </row>
    <row r="1301" spans="1:6">
      <c r="A1301" t="str">
        <f>"E1208-117"</f>
        <v>E1208-117</v>
      </c>
      <c r="B1301" t="str">
        <f t="shared" si="82"/>
        <v>VIA CAMILLO SBARBARO  9-</v>
      </c>
      <c r="C1301" t="str">
        <f t="shared" si="83"/>
        <v>RIV</v>
      </c>
      <c r="D1301">
        <v>27</v>
      </c>
      <c r="E1301" t="str">
        <f t="shared" si="81"/>
        <v>1004</v>
      </c>
      <c r="F1301" t="str">
        <f>"95"</f>
        <v>95</v>
      </c>
    </row>
    <row r="1302" spans="1:6">
      <c r="A1302" t="str">
        <f>"E1208-118"</f>
        <v>E1208-118</v>
      </c>
      <c r="B1302" t="str">
        <f t="shared" si="82"/>
        <v>VIA CAMILLO SBARBARO  9-</v>
      </c>
      <c r="C1302" t="str">
        <f t="shared" si="83"/>
        <v>RIV</v>
      </c>
      <c r="D1302">
        <v>27</v>
      </c>
      <c r="E1302" t="str">
        <f t="shared" si="81"/>
        <v>1004</v>
      </c>
      <c r="F1302" t="str">
        <f>"96"</f>
        <v>96</v>
      </c>
    </row>
    <row r="1303" spans="1:6">
      <c r="A1303" t="str">
        <f>"E1208-119"</f>
        <v>E1208-119</v>
      </c>
      <c r="B1303" t="str">
        <f t="shared" si="82"/>
        <v>VIA CAMILLO SBARBARO  9-</v>
      </c>
      <c r="C1303" t="str">
        <f t="shared" si="83"/>
        <v>RIV</v>
      </c>
      <c r="D1303">
        <v>27</v>
      </c>
      <c r="E1303" t="str">
        <f t="shared" si="81"/>
        <v>1004</v>
      </c>
      <c r="F1303" t="str">
        <f>"97"</f>
        <v>97</v>
      </c>
    </row>
    <row r="1304" spans="1:6">
      <c r="A1304" t="str">
        <f>"E1208-120"</f>
        <v>E1208-120</v>
      </c>
      <c r="B1304" t="str">
        <f t="shared" si="82"/>
        <v>VIA CAMILLO SBARBARO  9-</v>
      </c>
      <c r="C1304" t="str">
        <f t="shared" si="83"/>
        <v>RIV</v>
      </c>
      <c r="D1304">
        <v>27</v>
      </c>
      <c r="E1304" t="str">
        <f t="shared" si="81"/>
        <v>1004</v>
      </c>
      <c r="F1304" t="str">
        <f>"98"</f>
        <v>98</v>
      </c>
    </row>
    <row r="1305" spans="1:6">
      <c r="A1305" t="str">
        <f>"E1208-121"</f>
        <v>E1208-121</v>
      </c>
      <c r="B1305" t="str">
        <f t="shared" si="82"/>
        <v>VIA CAMILLO SBARBARO  9-</v>
      </c>
      <c r="C1305" t="str">
        <f t="shared" si="83"/>
        <v>RIV</v>
      </c>
      <c r="D1305">
        <v>27</v>
      </c>
      <c r="E1305" t="str">
        <f t="shared" si="81"/>
        <v>1004</v>
      </c>
      <c r="F1305" t="str">
        <f>"99"</f>
        <v>99</v>
      </c>
    </row>
    <row r="1306" spans="1:6">
      <c r="A1306" t="str">
        <f>"E1208-122"</f>
        <v>E1208-122</v>
      </c>
      <c r="B1306" t="str">
        <f t="shared" si="82"/>
        <v>VIA CAMILLO SBARBARO  9-</v>
      </c>
      <c r="C1306" t="str">
        <f t="shared" si="83"/>
        <v>RIV</v>
      </c>
      <c r="D1306">
        <v>27</v>
      </c>
      <c r="E1306" t="str">
        <f t="shared" si="81"/>
        <v>1004</v>
      </c>
      <c r="F1306" t="str">
        <f>"100"</f>
        <v>100</v>
      </c>
    </row>
    <row r="1307" spans="1:6">
      <c r="A1307" t="str">
        <f>"E1208-123"</f>
        <v>E1208-123</v>
      </c>
      <c r="B1307" t="str">
        <f t="shared" si="82"/>
        <v>VIA CAMILLO SBARBARO  9-</v>
      </c>
      <c r="C1307" t="str">
        <f t="shared" si="83"/>
        <v>RIV</v>
      </c>
      <c r="D1307">
        <v>27</v>
      </c>
      <c r="E1307" t="str">
        <f t="shared" ref="E1307:E1338" si="84">"1004"</f>
        <v>1004</v>
      </c>
      <c r="F1307" t="str">
        <f>"101"</f>
        <v>101</v>
      </c>
    </row>
    <row r="1308" spans="1:6">
      <c r="A1308" t="str">
        <f>"E1208-124"</f>
        <v>E1208-124</v>
      </c>
      <c r="B1308" t="str">
        <f t="shared" si="82"/>
        <v>VIA CAMILLO SBARBARO  9-</v>
      </c>
      <c r="C1308" t="str">
        <f t="shared" si="83"/>
        <v>RIV</v>
      </c>
      <c r="D1308">
        <v>27</v>
      </c>
      <c r="E1308" t="str">
        <f t="shared" si="84"/>
        <v>1004</v>
      </c>
      <c r="F1308" t="str">
        <f>"102"</f>
        <v>102</v>
      </c>
    </row>
    <row r="1309" spans="1:6">
      <c r="A1309" t="str">
        <f>"E1208-125"</f>
        <v>E1208-125</v>
      </c>
      <c r="B1309" t="str">
        <f t="shared" si="82"/>
        <v>VIA CAMILLO SBARBARO  9-</v>
      </c>
      <c r="C1309" t="str">
        <f t="shared" si="83"/>
        <v>RIV</v>
      </c>
      <c r="D1309">
        <v>27</v>
      </c>
      <c r="E1309" t="str">
        <f t="shared" si="84"/>
        <v>1004</v>
      </c>
      <c r="F1309" t="str">
        <f>"103"</f>
        <v>103</v>
      </c>
    </row>
    <row r="1310" spans="1:6">
      <c r="A1310" t="str">
        <f>"E1208-126"</f>
        <v>E1208-126</v>
      </c>
      <c r="B1310" t="str">
        <f t="shared" si="82"/>
        <v>VIA CAMILLO SBARBARO  9-</v>
      </c>
      <c r="C1310" t="str">
        <f t="shared" si="83"/>
        <v>RIV</v>
      </c>
      <c r="D1310">
        <v>27</v>
      </c>
      <c r="E1310" t="str">
        <f t="shared" si="84"/>
        <v>1004</v>
      </c>
      <c r="F1310" t="str">
        <f>"104"</f>
        <v>104</v>
      </c>
    </row>
    <row r="1311" spans="1:6">
      <c r="A1311" t="str">
        <f>"E1208-127"</f>
        <v>E1208-127</v>
      </c>
      <c r="B1311" t="str">
        <f t="shared" si="82"/>
        <v>VIA CAMILLO SBARBARO  9-</v>
      </c>
      <c r="C1311" t="str">
        <f t="shared" si="83"/>
        <v>RIV</v>
      </c>
      <c r="D1311">
        <v>27</v>
      </c>
      <c r="E1311" t="str">
        <f t="shared" si="84"/>
        <v>1004</v>
      </c>
      <c r="F1311" t="str">
        <f>"105"</f>
        <v>105</v>
      </c>
    </row>
    <row r="1312" spans="1:6">
      <c r="A1312" t="str">
        <f>"E1208-128"</f>
        <v>E1208-128</v>
      </c>
      <c r="B1312" t="str">
        <f t="shared" si="82"/>
        <v>VIA CAMILLO SBARBARO  9-</v>
      </c>
      <c r="C1312" t="str">
        <f t="shared" si="83"/>
        <v>RIV</v>
      </c>
      <c r="D1312">
        <v>27</v>
      </c>
      <c r="E1312" t="str">
        <f t="shared" si="84"/>
        <v>1004</v>
      </c>
      <c r="F1312" t="str">
        <f>"106"</f>
        <v>106</v>
      </c>
    </row>
    <row r="1313" spans="1:6">
      <c r="A1313" t="str">
        <f>"E1208-129"</f>
        <v>E1208-129</v>
      </c>
      <c r="B1313" t="str">
        <f t="shared" si="82"/>
        <v>VIA CAMILLO SBARBARO  9-</v>
      </c>
      <c r="C1313" t="str">
        <f t="shared" si="83"/>
        <v>RIV</v>
      </c>
      <c r="D1313">
        <v>27</v>
      </c>
      <c r="E1313" t="str">
        <f t="shared" si="84"/>
        <v>1004</v>
      </c>
      <c r="F1313" t="str">
        <f>"107"</f>
        <v>107</v>
      </c>
    </row>
    <row r="1314" spans="1:6">
      <c r="A1314" t="str">
        <f>"E1208-130"</f>
        <v>E1208-130</v>
      </c>
      <c r="B1314" t="str">
        <f t="shared" si="82"/>
        <v>VIA CAMILLO SBARBARO  9-</v>
      </c>
      <c r="C1314" t="str">
        <f t="shared" si="83"/>
        <v>RIV</v>
      </c>
      <c r="D1314">
        <v>27</v>
      </c>
      <c r="E1314" t="str">
        <f t="shared" si="84"/>
        <v>1004</v>
      </c>
      <c r="F1314" t="str">
        <f>"108"</f>
        <v>108</v>
      </c>
    </row>
    <row r="1315" spans="1:6">
      <c r="A1315" t="str">
        <f>"E1208-131"</f>
        <v>E1208-131</v>
      </c>
      <c r="B1315" t="str">
        <f t="shared" si="82"/>
        <v>VIA CAMILLO SBARBARO  9-</v>
      </c>
      <c r="C1315" t="str">
        <f t="shared" si="83"/>
        <v>RIV</v>
      </c>
      <c r="D1315">
        <v>27</v>
      </c>
      <c r="E1315" t="str">
        <f t="shared" si="84"/>
        <v>1004</v>
      </c>
      <c r="F1315" t="str">
        <f>"109"</f>
        <v>109</v>
      </c>
    </row>
    <row r="1316" spans="1:6">
      <c r="A1316" t="str">
        <f>"E1208-132"</f>
        <v>E1208-132</v>
      </c>
      <c r="B1316" t="str">
        <f t="shared" si="82"/>
        <v>VIA CAMILLO SBARBARO  9-</v>
      </c>
      <c r="C1316" t="str">
        <f t="shared" si="83"/>
        <v>RIV</v>
      </c>
      <c r="D1316">
        <v>27</v>
      </c>
      <c r="E1316" t="str">
        <f t="shared" si="84"/>
        <v>1004</v>
      </c>
      <c r="F1316" t="str">
        <f>"110"</f>
        <v>110</v>
      </c>
    </row>
    <row r="1317" spans="1:6">
      <c r="A1317" t="str">
        <f>"E1208-133"</f>
        <v>E1208-133</v>
      </c>
      <c r="B1317" t="str">
        <f t="shared" si="82"/>
        <v>VIA CAMILLO SBARBARO  9-</v>
      </c>
      <c r="C1317" t="str">
        <f t="shared" si="83"/>
        <v>RIV</v>
      </c>
      <c r="D1317">
        <v>27</v>
      </c>
      <c r="E1317" t="str">
        <f t="shared" si="84"/>
        <v>1004</v>
      </c>
      <c r="F1317" t="str">
        <f>"111"</f>
        <v>111</v>
      </c>
    </row>
    <row r="1318" spans="1:6">
      <c r="A1318" t="str">
        <f>"E1208-134"</f>
        <v>E1208-134</v>
      </c>
      <c r="B1318" t="str">
        <f t="shared" si="82"/>
        <v>VIA CAMILLO SBARBARO  9-</v>
      </c>
      <c r="C1318" t="str">
        <f t="shared" si="83"/>
        <v>RIV</v>
      </c>
      <c r="D1318">
        <v>27</v>
      </c>
      <c r="E1318" t="str">
        <f t="shared" si="84"/>
        <v>1004</v>
      </c>
      <c r="F1318" t="str">
        <f>"112"</f>
        <v>112</v>
      </c>
    </row>
    <row r="1319" spans="1:6">
      <c r="A1319" t="str">
        <f>"E1208-135"</f>
        <v>E1208-135</v>
      </c>
      <c r="B1319" t="str">
        <f>"VIA CAMILLO SBARBARO  11-"</f>
        <v>VIA CAMILLO SBARBARO  11-</v>
      </c>
      <c r="C1319" t="str">
        <f t="shared" si="83"/>
        <v>RIV</v>
      </c>
      <c r="D1319">
        <v>27</v>
      </c>
      <c r="E1319" t="str">
        <f t="shared" si="84"/>
        <v>1004</v>
      </c>
      <c r="F1319" t="str">
        <f>"113"</f>
        <v>113</v>
      </c>
    </row>
    <row r="1320" spans="1:6">
      <c r="A1320" t="str">
        <f>"E1208-136"</f>
        <v>E1208-136</v>
      </c>
      <c r="B1320" t="str">
        <f>"VIA CAMILLO SBARBARO  11-"</f>
        <v>VIA CAMILLO SBARBARO  11-</v>
      </c>
      <c r="C1320" t="str">
        <f t="shared" si="83"/>
        <v>RIV</v>
      </c>
      <c r="D1320">
        <v>27</v>
      </c>
      <c r="E1320" t="str">
        <f t="shared" si="84"/>
        <v>1004</v>
      </c>
      <c r="F1320" t="str">
        <f>"114"</f>
        <v>114</v>
      </c>
    </row>
    <row r="1321" spans="1:6">
      <c r="A1321" t="str">
        <f>"E1208-137"</f>
        <v>E1208-137</v>
      </c>
      <c r="B1321" t="str">
        <f>"VIA CAMILLO SBARBARO  11-"</f>
        <v>VIA CAMILLO SBARBARO  11-</v>
      </c>
      <c r="C1321" t="str">
        <f t="shared" si="83"/>
        <v>RIV</v>
      </c>
      <c r="D1321">
        <v>27</v>
      </c>
      <c r="E1321" t="str">
        <f t="shared" si="84"/>
        <v>1004</v>
      </c>
      <c r="F1321" t="str">
        <f>"115"</f>
        <v>115</v>
      </c>
    </row>
    <row r="1322" spans="1:6">
      <c r="A1322" t="str">
        <f>"E1208-138"</f>
        <v>E1208-138</v>
      </c>
      <c r="B1322" t="str">
        <f>"VIA CAMILLO SBARBARO  9-"</f>
        <v>VIA CAMILLO SBARBARO  9-</v>
      </c>
      <c r="C1322" t="str">
        <f t="shared" si="83"/>
        <v>RIV</v>
      </c>
      <c r="D1322">
        <v>27</v>
      </c>
      <c r="E1322" t="str">
        <f t="shared" si="84"/>
        <v>1004</v>
      </c>
      <c r="F1322" t="str">
        <f>"116"</f>
        <v>116</v>
      </c>
    </row>
    <row r="1323" spans="1:6">
      <c r="A1323" t="str">
        <f>"E1208-139"</f>
        <v>E1208-139</v>
      </c>
      <c r="B1323" t="str">
        <f>"VIA CAMILLO SBARBARO  9-"</f>
        <v>VIA CAMILLO SBARBARO  9-</v>
      </c>
      <c r="C1323" t="str">
        <f t="shared" si="83"/>
        <v>RIV</v>
      </c>
      <c r="D1323">
        <v>27</v>
      </c>
      <c r="E1323" t="str">
        <f t="shared" si="84"/>
        <v>1004</v>
      </c>
      <c r="F1323" t="str">
        <f>"117"</f>
        <v>117</v>
      </c>
    </row>
    <row r="1324" spans="1:6">
      <c r="A1324" t="str">
        <f>"E1208-140"</f>
        <v>E1208-140</v>
      </c>
      <c r="B1324" t="str">
        <f>"VIA CAMILLO SBARBARO  9-"</f>
        <v>VIA CAMILLO SBARBARO  9-</v>
      </c>
      <c r="C1324" t="str">
        <f t="shared" si="83"/>
        <v>RIV</v>
      </c>
      <c r="D1324">
        <v>27</v>
      </c>
      <c r="E1324" t="str">
        <f t="shared" si="84"/>
        <v>1004</v>
      </c>
      <c r="F1324" t="str">
        <f>"118"</f>
        <v>118</v>
      </c>
    </row>
    <row r="1325" spans="1:6">
      <c r="A1325" t="str">
        <f>"E1208-141"</f>
        <v>E1208-141</v>
      </c>
      <c r="B1325" t="str">
        <f t="shared" ref="B1325:B1344" si="85">"VIA CAMILLO SBARBARO  15-"</f>
        <v>VIA CAMILLO SBARBARO  15-</v>
      </c>
      <c r="C1325" t="str">
        <f t="shared" si="83"/>
        <v>RIV</v>
      </c>
      <c r="D1325">
        <v>27</v>
      </c>
      <c r="E1325" t="str">
        <f t="shared" si="84"/>
        <v>1004</v>
      </c>
      <c r="F1325" t="str">
        <f>"53"</f>
        <v>53</v>
      </c>
    </row>
    <row r="1326" spans="1:6">
      <c r="A1326" t="str">
        <f>"E1208-142"</f>
        <v>E1208-142</v>
      </c>
      <c r="B1326" t="str">
        <f t="shared" si="85"/>
        <v>VIA CAMILLO SBARBARO  15-</v>
      </c>
      <c r="C1326" t="str">
        <f t="shared" si="83"/>
        <v>RIV</v>
      </c>
      <c r="D1326">
        <v>27</v>
      </c>
      <c r="E1326" t="str">
        <f t="shared" si="84"/>
        <v>1004</v>
      </c>
      <c r="F1326" t="str">
        <f>"54"</f>
        <v>54</v>
      </c>
    </row>
    <row r="1327" spans="1:6">
      <c r="A1327" t="str">
        <f>"E1208-143"</f>
        <v>E1208-143</v>
      </c>
      <c r="B1327" t="str">
        <f t="shared" si="85"/>
        <v>VIA CAMILLO SBARBARO  15-</v>
      </c>
      <c r="C1327" t="str">
        <f t="shared" si="83"/>
        <v>RIV</v>
      </c>
      <c r="D1327">
        <v>27</v>
      </c>
      <c r="E1327" t="str">
        <f t="shared" si="84"/>
        <v>1004</v>
      </c>
      <c r="F1327" t="str">
        <f>"55"</f>
        <v>55</v>
      </c>
    </row>
    <row r="1328" spans="1:6">
      <c r="A1328" t="str">
        <f>"E1208-144"</f>
        <v>E1208-144</v>
      </c>
      <c r="B1328" t="str">
        <f t="shared" si="85"/>
        <v>VIA CAMILLO SBARBARO  15-</v>
      </c>
      <c r="C1328" t="str">
        <f t="shared" si="83"/>
        <v>RIV</v>
      </c>
      <c r="D1328">
        <v>27</v>
      </c>
      <c r="E1328" t="str">
        <f t="shared" si="84"/>
        <v>1004</v>
      </c>
      <c r="F1328" t="str">
        <f>"56"</f>
        <v>56</v>
      </c>
    </row>
    <row r="1329" spans="1:6">
      <c r="A1329" t="str">
        <f>"E1208-145"</f>
        <v>E1208-145</v>
      </c>
      <c r="B1329" t="str">
        <f t="shared" si="85"/>
        <v>VIA CAMILLO SBARBARO  15-</v>
      </c>
      <c r="C1329" t="str">
        <f t="shared" si="83"/>
        <v>RIV</v>
      </c>
      <c r="D1329">
        <v>27</v>
      </c>
      <c r="E1329" t="str">
        <f t="shared" si="84"/>
        <v>1004</v>
      </c>
      <c r="F1329" t="str">
        <f>"57"</f>
        <v>57</v>
      </c>
    </row>
    <row r="1330" spans="1:6">
      <c r="A1330" t="str">
        <f>"E1208-146"</f>
        <v>E1208-146</v>
      </c>
      <c r="B1330" t="str">
        <f t="shared" si="85"/>
        <v>VIA CAMILLO SBARBARO  15-</v>
      </c>
      <c r="C1330" t="str">
        <f t="shared" si="83"/>
        <v>RIV</v>
      </c>
      <c r="D1330">
        <v>27</v>
      </c>
      <c r="E1330" t="str">
        <f t="shared" si="84"/>
        <v>1004</v>
      </c>
      <c r="F1330" t="str">
        <f>"58"</f>
        <v>58</v>
      </c>
    </row>
    <row r="1331" spans="1:6">
      <c r="A1331" t="str">
        <f>"E1208-147"</f>
        <v>E1208-147</v>
      </c>
      <c r="B1331" t="str">
        <f t="shared" si="85"/>
        <v>VIA CAMILLO SBARBARO  15-</v>
      </c>
      <c r="C1331" t="str">
        <f t="shared" si="83"/>
        <v>RIV</v>
      </c>
      <c r="D1331">
        <v>27</v>
      </c>
      <c r="E1331" t="str">
        <f t="shared" si="84"/>
        <v>1004</v>
      </c>
      <c r="F1331" t="str">
        <f>"59"</f>
        <v>59</v>
      </c>
    </row>
    <row r="1332" spans="1:6">
      <c r="A1332" t="str">
        <f>"E1208-148"</f>
        <v>E1208-148</v>
      </c>
      <c r="B1332" t="str">
        <f t="shared" si="85"/>
        <v>VIA CAMILLO SBARBARO  15-</v>
      </c>
      <c r="C1332" t="str">
        <f t="shared" si="83"/>
        <v>RIV</v>
      </c>
      <c r="D1332">
        <v>27</v>
      </c>
      <c r="E1332" t="str">
        <f t="shared" si="84"/>
        <v>1004</v>
      </c>
      <c r="F1332" t="str">
        <f>"60"</f>
        <v>60</v>
      </c>
    </row>
    <row r="1333" spans="1:6">
      <c r="A1333" t="str">
        <f>"E1208-149"</f>
        <v>E1208-149</v>
      </c>
      <c r="B1333" t="str">
        <f t="shared" si="85"/>
        <v>VIA CAMILLO SBARBARO  15-</v>
      </c>
      <c r="C1333" t="str">
        <f t="shared" si="83"/>
        <v>RIV</v>
      </c>
      <c r="D1333">
        <v>27</v>
      </c>
      <c r="E1333" t="str">
        <f t="shared" si="84"/>
        <v>1004</v>
      </c>
      <c r="F1333" t="str">
        <f>"61"</f>
        <v>61</v>
      </c>
    </row>
    <row r="1334" spans="1:6">
      <c r="A1334" t="str">
        <f>"E1208-150"</f>
        <v>E1208-150</v>
      </c>
      <c r="B1334" t="str">
        <f t="shared" si="85"/>
        <v>VIA CAMILLO SBARBARO  15-</v>
      </c>
      <c r="C1334" t="str">
        <f t="shared" si="83"/>
        <v>RIV</v>
      </c>
      <c r="D1334">
        <v>27</v>
      </c>
      <c r="E1334" t="str">
        <f t="shared" si="84"/>
        <v>1004</v>
      </c>
      <c r="F1334" t="str">
        <f>"62"</f>
        <v>62</v>
      </c>
    </row>
    <row r="1335" spans="1:6">
      <c r="A1335" t="str">
        <f>"E1208-151"</f>
        <v>E1208-151</v>
      </c>
      <c r="B1335" t="str">
        <f t="shared" si="85"/>
        <v>VIA CAMILLO SBARBARO  15-</v>
      </c>
      <c r="C1335" t="str">
        <f t="shared" si="83"/>
        <v>RIV</v>
      </c>
      <c r="D1335">
        <v>27</v>
      </c>
      <c r="E1335" t="str">
        <f t="shared" si="84"/>
        <v>1004</v>
      </c>
      <c r="F1335" t="str">
        <f>"63"</f>
        <v>63</v>
      </c>
    </row>
    <row r="1336" spans="1:6">
      <c r="A1336" t="str">
        <f>"E1208-152"</f>
        <v>E1208-152</v>
      </c>
      <c r="B1336" t="str">
        <f t="shared" si="85"/>
        <v>VIA CAMILLO SBARBARO  15-</v>
      </c>
      <c r="C1336" t="str">
        <f t="shared" si="83"/>
        <v>RIV</v>
      </c>
      <c r="D1336">
        <v>27</v>
      </c>
      <c r="E1336" t="str">
        <f t="shared" si="84"/>
        <v>1004</v>
      </c>
      <c r="F1336" t="str">
        <f>"64"</f>
        <v>64</v>
      </c>
    </row>
    <row r="1337" spans="1:6">
      <c r="A1337" t="str">
        <f>"E1208-153"</f>
        <v>E1208-153</v>
      </c>
      <c r="B1337" t="str">
        <f t="shared" si="85"/>
        <v>VIA CAMILLO SBARBARO  15-</v>
      </c>
      <c r="C1337" t="str">
        <f t="shared" si="83"/>
        <v>RIV</v>
      </c>
      <c r="D1337">
        <v>27</v>
      </c>
      <c r="E1337" t="str">
        <f t="shared" si="84"/>
        <v>1004</v>
      </c>
      <c r="F1337" t="str">
        <f>"65"</f>
        <v>65</v>
      </c>
    </row>
    <row r="1338" spans="1:6">
      <c r="A1338" t="str">
        <f>"E1208-154"</f>
        <v>E1208-154</v>
      </c>
      <c r="B1338" t="str">
        <f t="shared" si="85"/>
        <v>VIA CAMILLO SBARBARO  15-</v>
      </c>
      <c r="C1338" t="str">
        <f t="shared" si="83"/>
        <v>RIV</v>
      </c>
      <c r="D1338">
        <v>27</v>
      </c>
      <c r="E1338" t="str">
        <f t="shared" si="84"/>
        <v>1004</v>
      </c>
      <c r="F1338" t="str">
        <f>"66"</f>
        <v>66</v>
      </c>
    </row>
    <row r="1339" spans="1:6">
      <c r="A1339" t="str">
        <f>"E1208-155"</f>
        <v>E1208-155</v>
      </c>
      <c r="B1339" t="str">
        <f t="shared" si="85"/>
        <v>VIA CAMILLO SBARBARO  15-</v>
      </c>
      <c r="C1339" t="str">
        <f t="shared" si="83"/>
        <v>RIV</v>
      </c>
      <c r="D1339">
        <v>27</v>
      </c>
      <c r="E1339" t="str">
        <f t="shared" ref="E1339:E1344" si="86">"1004"</f>
        <v>1004</v>
      </c>
      <c r="F1339" t="str">
        <f>"67"</f>
        <v>67</v>
      </c>
    </row>
    <row r="1340" spans="1:6">
      <c r="A1340" t="str">
        <f>"E1208-156"</f>
        <v>E1208-156</v>
      </c>
      <c r="B1340" t="str">
        <f t="shared" si="85"/>
        <v>VIA CAMILLO SBARBARO  15-</v>
      </c>
      <c r="C1340" t="str">
        <f t="shared" si="83"/>
        <v>RIV</v>
      </c>
      <c r="D1340">
        <v>27</v>
      </c>
      <c r="E1340" t="str">
        <f t="shared" si="86"/>
        <v>1004</v>
      </c>
      <c r="F1340" t="str">
        <f>"68"</f>
        <v>68</v>
      </c>
    </row>
    <row r="1341" spans="1:6">
      <c r="A1341" t="str">
        <f>"E1208-157"</f>
        <v>E1208-157</v>
      </c>
      <c r="B1341" t="str">
        <f t="shared" si="85"/>
        <v>VIA CAMILLO SBARBARO  15-</v>
      </c>
      <c r="C1341" t="str">
        <f t="shared" si="83"/>
        <v>RIV</v>
      </c>
      <c r="D1341">
        <v>27</v>
      </c>
      <c r="E1341" t="str">
        <f t="shared" si="86"/>
        <v>1004</v>
      </c>
      <c r="F1341" t="str">
        <f>"69"</f>
        <v>69</v>
      </c>
    </row>
    <row r="1342" spans="1:6">
      <c r="A1342" t="str">
        <f>"E1208-158"</f>
        <v>E1208-158</v>
      </c>
      <c r="B1342" t="str">
        <f t="shared" si="85"/>
        <v>VIA CAMILLO SBARBARO  15-</v>
      </c>
      <c r="C1342" t="str">
        <f t="shared" si="83"/>
        <v>RIV</v>
      </c>
      <c r="D1342">
        <v>27</v>
      </c>
      <c r="E1342" t="str">
        <f t="shared" si="86"/>
        <v>1004</v>
      </c>
      <c r="F1342" t="str">
        <f>"70"</f>
        <v>70</v>
      </c>
    </row>
    <row r="1343" spans="1:6">
      <c r="A1343" t="str">
        <f>"E1208-159"</f>
        <v>E1208-159</v>
      </c>
      <c r="B1343" t="str">
        <f t="shared" si="85"/>
        <v>VIA CAMILLO SBARBARO  15-</v>
      </c>
      <c r="C1343" t="str">
        <f t="shared" si="83"/>
        <v>RIV</v>
      </c>
      <c r="D1343">
        <v>27</v>
      </c>
      <c r="E1343" t="str">
        <f t="shared" si="86"/>
        <v>1004</v>
      </c>
      <c r="F1343" t="str">
        <f>"71"</f>
        <v>71</v>
      </c>
    </row>
    <row r="1344" spans="1:6">
      <c r="A1344" t="str">
        <f>"E1208-160"</f>
        <v>E1208-160</v>
      </c>
      <c r="B1344" t="str">
        <f t="shared" si="85"/>
        <v>VIA CAMILLO SBARBARO  15-</v>
      </c>
      <c r="C1344" t="str">
        <f t="shared" si="83"/>
        <v>RIV</v>
      </c>
      <c r="D1344">
        <v>27</v>
      </c>
      <c r="E1344" t="str">
        <f t="shared" si="86"/>
        <v>1004</v>
      </c>
      <c r="F1344" t="str">
        <f>"72"</f>
        <v>72</v>
      </c>
    </row>
    <row r="1345" spans="1:6">
      <c r="A1345" t="str">
        <f>"E1208-161"</f>
        <v>E1208-161</v>
      </c>
      <c r="B1345" t="str">
        <f t="shared" ref="B1345:B1355" si="87">"VIA CAMILLO SBARBARO  1-"</f>
        <v>VIA CAMILLO SBARBARO  1-</v>
      </c>
      <c r="C1345" t="str">
        <f t="shared" si="83"/>
        <v>RIV</v>
      </c>
      <c r="D1345">
        <v>27</v>
      </c>
      <c r="E1345" t="str">
        <f t="shared" ref="E1345:E1376" si="88">"997"</f>
        <v>997</v>
      </c>
      <c r="F1345" t="str">
        <f>"2"</f>
        <v>2</v>
      </c>
    </row>
    <row r="1346" spans="1:6">
      <c r="A1346" t="str">
        <f>"E1208-162"</f>
        <v>E1208-162</v>
      </c>
      <c r="B1346" t="str">
        <f t="shared" si="87"/>
        <v>VIA CAMILLO SBARBARO  1-</v>
      </c>
      <c r="C1346" t="str">
        <f t="shared" si="83"/>
        <v>RIV</v>
      </c>
      <c r="D1346">
        <v>27</v>
      </c>
      <c r="E1346" t="str">
        <f t="shared" si="88"/>
        <v>997</v>
      </c>
      <c r="F1346" t="str">
        <f>"3"</f>
        <v>3</v>
      </c>
    </row>
    <row r="1347" spans="1:6">
      <c r="A1347" t="str">
        <f>"E1208-163"</f>
        <v>E1208-163</v>
      </c>
      <c r="B1347" t="str">
        <f t="shared" si="87"/>
        <v>VIA CAMILLO SBARBARO  1-</v>
      </c>
      <c r="C1347" t="str">
        <f t="shared" si="83"/>
        <v>RIV</v>
      </c>
      <c r="D1347">
        <v>27</v>
      </c>
      <c r="E1347" t="str">
        <f t="shared" si="88"/>
        <v>997</v>
      </c>
      <c r="F1347" t="str">
        <f>"4"</f>
        <v>4</v>
      </c>
    </row>
    <row r="1348" spans="1:6">
      <c r="A1348" t="str">
        <f>"E1208-164"</f>
        <v>E1208-164</v>
      </c>
      <c r="B1348" t="str">
        <f t="shared" si="87"/>
        <v>VIA CAMILLO SBARBARO  1-</v>
      </c>
      <c r="C1348" t="str">
        <f t="shared" si="83"/>
        <v>RIV</v>
      </c>
      <c r="D1348">
        <v>27</v>
      </c>
      <c r="E1348" t="str">
        <f t="shared" si="88"/>
        <v>997</v>
      </c>
      <c r="F1348" t="str">
        <f>"5"</f>
        <v>5</v>
      </c>
    </row>
    <row r="1349" spans="1:6">
      <c r="A1349" t="str">
        <f>"E1208-165"</f>
        <v>E1208-165</v>
      </c>
      <c r="B1349" t="str">
        <f t="shared" si="87"/>
        <v>VIA CAMILLO SBARBARO  1-</v>
      </c>
      <c r="C1349" t="str">
        <f t="shared" si="83"/>
        <v>RIV</v>
      </c>
      <c r="D1349">
        <v>27</v>
      </c>
      <c r="E1349" t="str">
        <f t="shared" si="88"/>
        <v>997</v>
      </c>
      <c r="F1349" t="str">
        <f>"6"</f>
        <v>6</v>
      </c>
    </row>
    <row r="1350" spans="1:6">
      <c r="A1350" t="str">
        <f>"E1208-166"</f>
        <v>E1208-166</v>
      </c>
      <c r="B1350" t="str">
        <f t="shared" si="87"/>
        <v>VIA CAMILLO SBARBARO  1-</v>
      </c>
      <c r="C1350" t="str">
        <f t="shared" si="83"/>
        <v>RIV</v>
      </c>
      <c r="D1350">
        <v>27</v>
      </c>
      <c r="E1350" t="str">
        <f t="shared" si="88"/>
        <v>997</v>
      </c>
      <c r="F1350" t="str">
        <f>"12"</f>
        <v>12</v>
      </c>
    </row>
    <row r="1351" spans="1:6">
      <c r="A1351" t="str">
        <f>"E1208-167"</f>
        <v>E1208-167</v>
      </c>
      <c r="B1351" t="str">
        <f t="shared" si="87"/>
        <v>VIA CAMILLO SBARBARO  1-</v>
      </c>
      <c r="C1351" t="str">
        <f t="shared" ref="C1351:C1414" si="89">"RIV"</f>
        <v>RIV</v>
      </c>
      <c r="D1351">
        <v>27</v>
      </c>
      <c r="E1351" t="str">
        <f t="shared" si="88"/>
        <v>997</v>
      </c>
      <c r="F1351" t="str">
        <f>"11"</f>
        <v>11</v>
      </c>
    </row>
    <row r="1352" spans="1:6">
      <c r="A1352" t="str">
        <f>"E1208-168"</f>
        <v>E1208-168</v>
      </c>
      <c r="B1352" t="str">
        <f t="shared" si="87"/>
        <v>VIA CAMILLO SBARBARO  1-</v>
      </c>
      <c r="C1352" t="str">
        <f t="shared" si="89"/>
        <v>RIV</v>
      </c>
      <c r="D1352">
        <v>27</v>
      </c>
      <c r="E1352" t="str">
        <f t="shared" si="88"/>
        <v>997</v>
      </c>
      <c r="F1352" t="str">
        <f>"10"</f>
        <v>10</v>
      </c>
    </row>
    <row r="1353" spans="1:6">
      <c r="A1353" t="str">
        <f>"E1208-169"</f>
        <v>E1208-169</v>
      </c>
      <c r="B1353" t="str">
        <f t="shared" si="87"/>
        <v>VIA CAMILLO SBARBARO  1-</v>
      </c>
      <c r="C1353" t="str">
        <f t="shared" si="89"/>
        <v>RIV</v>
      </c>
      <c r="D1353">
        <v>27</v>
      </c>
      <c r="E1353" t="str">
        <f t="shared" si="88"/>
        <v>997</v>
      </c>
      <c r="F1353" t="str">
        <f>"9"</f>
        <v>9</v>
      </c>
    </row>
    <row r="1354" spans="1:6">
      <c r="A1354" t="str">
        <f>"E1208-170"</f>
        <v>E1208-170</v>
      </c>
      <c r="B1354" t="str">
        <f t="shared" si="87"/>
        <v>VIA CAMILLO SBARBARO  1-</v>
      </c>
      <c r="C1354" t="str">
        <f t="shared" si="89"/>
        <v>RIV</v>
      </c>
      <c r="D1354">
        <v>27</v>
      </c>
      <c r="E1354" t="str">
        <f t="shared" si="88"/>
        <v>997</v>
      </c>
      <c r="F1354" t="str">
        <f>"8"</f>
        <v>8</v>
      </c>
    </row>
    <row r="1355" spans="1:6">
      <c r="A1355" t="str">
        <f>"E1208-171"</f>
        <v>E1208-171</v>
      </c>
      <c r="B1355" t="str">
        <f t="shared" si="87"/>
        <v>VIA CAMILLO SBARBARO  1-</v>
      </c>
      <c r="C1355" t="str">
        <f t="shared" si="89"/>
        <v>RIV</v>
      </c>
      <c r="D1355">
        <v>27</v>
      </c>
      <c r="E1355" t="str">
        <f t="shared" si="88"/>
        <v>997</v>
      </c>
      <c r="F1355" t="str">
        <f>"7"</f>
        <v>7</v>
      </c>
    </row>
    <row r="1356" spans="1:6">
      <c r="A1356" t="str">
        <f>"E1208-172"</f>
        <v>E1208-172</v>
      </c>
      <c r="B1356" t="str">
        <f t="shared" ref="B1356:B1395" si="90">"VIA CAMILLO SBARBARO  3-"</f>
        <v>VIA CAMILLO SBARBARO  3-</v>
      </c>
      <c r="C1356" t="str">
        <f t="shared" si="89"/>
        <v>RIV</v>
      </c>
      <c r="D1356">
        <v>27</v>
      </c>
      <c r="E1356" t="str">
        <f t="shared" si="88"/>
        <v>997</v>
      </c>
      <c r="F1356" t="str">
        <f>"34"</f>
        <v>34</v>
      </c>
    </row>
    <row r="1357" spans="1:6">
      <c r="A1357" t="str">
        <f>"E1208-173"</f>
        <v>E1208-173</v>
      </c>
      <c r="B1357" t="str">
        <f t="shared" si="90"/>
        <v>VIA CAMILLO SBARBARO  3-</v>
      </c>
      <c r="C1357" t="str">
        <f t="shared" si="89"/>
        <v>RIV</v>
      </c>
      <c r="D1357">
        <v>27</v>
      </c>
      <c r="E1357" t="str">
        <f t="shared" si="88"/>
        <v>997</v>
      </c>
      <c r="F1357" t="str">
        <f>"35"</f>
        <v>35</v>
      </c>
    </row>
    <row r="1358" spans="1:6">
      <c r="A1358" t="str">
        <f>"E1208-174"</f>
        <v>E1208-174</v>
      </c>
      <c r="B1358" t="str">
        <f t="shared" si="90"/>
        <v>VIA CAMILLO SBARBARO  3-</v>
      </c>
      <c r="C1358" t="str">
        <f t="shared" si="89"/>
        <v>RIV</v>
      </c>
      <c r="D1358">
        <v>27</v>
      </c>
      <c r="E1358" t="str">
        <f t="shared" si="88"/>
        <v>997</v>
      </c>
      <c r="F1358" t="str">
        <f>"36"</f>
        <v>36</v>
      </c>
    </row>
    <row r="1359" spans="1:6">
      <c r="A1359" t="str">
        <f>"E1208-175"</f>
        <v>E1208-175</v>
      </c>
      <c r="B1359" t="str">
        <f t="shared" si="90"/>
        <v>VIA CAMILLO SBARBARO  3-</v>
      </c>
      <c r="C1359" t="str">
        <f t="shared" si="89"/>
        <v>RIV</v>
      </c>
      <c r="D1359">
        <v>27</v>
      </c>
      <c r="E1359" t="str">
        <f t="shared" si="88"/>
        <v>997</v>
      </c>
      <c r="F1359" t="str">
        <f>"37"</f>
        <v>37</v>
      </c>
    </row>
    <row r="1360" spans="1:6">
      <c r="A1360" t="str">
        <f>"E1208-176"</f>
        <v>E1208-176</v>
      </c>
      <c r="B1360" t="str">
        <f t="shared" si="90"/>
        <v>VIA CAMILLO SBARBARO  3-</v>
      </c>
      <c r="C1360" t="str">
        <f t="shared" si="89"/>
        <v>RIV</v>
      </c>
      <c r="D1360">
        <v>27</v>
      </c>
      <c r="E1360" t="str">
        <f t="shared" si="88"/>
        <v>997</v>
      </c>
      <c r="F1360" t="str">
        <f>"38"</f>
        <v>38</v>
      </c>
    </row>
    <row r="1361" spans="1:6">
      <c r="A1361" t="str">
        <f>"E1208-177"</f>
        <v>E1208-177</v>
      </c>
      <c r="B1361" t="str">
        <f t="shared" si="90"/>
        <v>VIA CAMILLO SBARBARO  3-</v>
      </c>
      <c r="C1361" t="str">
        <f t="shared" si="89"/>
        <v>RIV</v>
      </c>
      <c r="D1361">
        <v>27</v>
      </c>
      <c r="E1361" t="str">
        <f t="shared" si="88"/>
        <v>997</v>
      </c>
      <c r="F1361" t="str">
        <f>"39"</f>
        <v>39</v>
      </c>
    </row>
    <row r="1362" spans="1:6">
      <c r="A1362" t="str">
        <f>"E1208-178"</f>
        <v>E1208-178</v>
      </c>
      <c r="B1362" t="str">
        <f t="shared" si="90"/>
        <v>VIA CAMILLO SBARBARO  3-</v>
      </c>
      <c r="C1362" t="str">
        <f t="shared" si="89"/>
        <v>RIV</v>
      </c>
      <c r="D1362">
        <v>27</v>
      </c>
      <c r="E1362" t="str">
        <f t="shared" si="88"/>
        <v>997</v>
      </c>
      <c r="F1362" t="str">
        <f>"40"</f>
        <v>40</v>
      </c>
    </row>
    <row r="1363" spans="1:6">
      <c r="A1363" t="str">
        <f>"E1208-179"</f>
        <v>E1208-179</v>
      </c>
      <c r="B1363" t="str">
        <f t="shared" si="90"/>
        <v>VIA CAMILLO SBARBARO  3-</v>
      </c>
      <c r="C1363" t="str">
        <f t="shared" si="89"/>
        <v>RIV</v>
      </c>
      <c r="D1363">
        <v>27</v>
      </c>
      <c r="E1363" t="str">
        <f t="shared" si="88"/>
        <v>997</v>
      </c>
      <c r="F1363" t="str">
        <f>"41"</f>
        <v>41</v>
      </c>
    </row>
    <row r="1364" spans="1:6">
      <c r="A1364" t="str">
        <f>"E1208-180"</f>
        <v>E1208-180</v>
      </c>
      <c r="B1364" t="str">
        <f t="shared" si="90"/>
        <v>VIA CAMILLO SBARBARO  3-</v>
      </c>
      <c r="C1364" t="str">
        <f t="shared" si="89"/>
        <v>RIV</v>
      </c>
      <c r="D1364">
        <v>27</v>
      </c>
      <c r="E1364" t="str">
        <f t="shared" si="88"/>
        <v>997</v>
      </c>
      <c r="F1364" t="str">
        <f>"42"</f>
        <v>42</v>
      </c>
    </row>
    <row r="1365" spans="1:6">
      <c r="A1365" t="str">
        <f>"E1208-181"</f>
        <v>E1208-181</v>
      </c>
      <c r="B1365" t="str">
        <f t="shared" si="90"/>
        <v>VIA CAMILLO SBARBARO  3-</v>
      </c>
      <c r="C1365" t="str">
        <f t="shared" si="89"/>
        <v>RIV</v>
      </c>
      <c r="D1365">
        <v>27</v>
      </c>
      <c r="E1365" t="str">
        <f t="shared" si="88"/>
        <v>997</v>
      </c>
      <c r="F1365" t="str">
        <f>"43"</f>
        <v>43</v>
      </c>
    </row>
    <row r="1366" spans="1:6">
      <c r="A1366" t="str">
        <f>"E1208-182"</f>
        <v>E1208-182</v>
      </c>
      <c r="B1366" t="str">
        <f t="shared" si="90"/>
        <v>VIA CAMILLO SBARBARO  3-</v>
      </c>
      <c r="C1366" t="str">
        <f t="shared" si="89"/>
        <v>RIV</v>
      </c>
      <c r="D1366">
        <v>27</v>
      </c>
      <c r="E1366" t="str">
        <f t="shared" si="88"/>
        <v>997</v>
      </c>
      <c r="F1366" t="str">
        <f>"44"</f>
        <v>44</v>
      </c>
    </row>
    <row r="1367" spans="1:6">
      <c r="A1367" t="str">
        <f>"E1208-183"</f>
        <v>E1208-183</v>
      </c>
      <c r="B1367" t="str">
        <f t="shared" si="90"/>
        <v>VIA CAMILLO SBARBARO  3-</v>
      </c>
      <c r="C1367" t="str">
        <f t="shared" si="89"/>
        <v>RIV</v>
      </c>
      <c r="D1367">
        <v>27</v>
      </c>
      <c r="E1367" t="str">
        <f t="shared" si="88"/>
        <v>997</v>
      </c>
      <c r="F1367" t="str">
        <f>"45"</f>
        <v>45</v>
      </c>
    </row>
    <row r="1368" spans="1:6">
      <c r="A1368" t="str">
        <f>"E1208-184"</f>
        <v>E1208-184</v>
      </c>
      <c r="B1368" t="str">
        <f t="shared" si="90"/>
        <v>VIA CAMILLO SBARBARO  3-</v>
      </c>
      <c r="C1368" t="str">
        <f t="shared" si="89"/>
        <v>RIV</v>
      </c>
      <c r="D1368">
        <v>27</v>
      </c>
      <c r="E1368" t="str">
        <f t="shared" si="88"/>
        <v>997</v>
      </c>
      <c r="F1368" t="str">
        <f>"46"</f>
        <v>46</v>
      </c>
    </row>
    <row r="1369" spans="1:6">
      <c r="A1369" t="str">
        <f>"E1208-185"</f>
        <v>E1208-185</v>
      </c>
      <c r="B1369" t="str">
        <f t="shared" si="90"/>
        <v>VIA CAMILLO SBARBARO  3-</v>
      </c>
      <c r="C1369" t="str">
        <f t="shared" si="89"/>
        <v>RIV</v>
      </c>
      <c r="D1369">
        <v>27</v>
      </c>
      <c r="E1369" t="str">
        <f t="shared" si="88"/>
        <v>997</v>
      </c>
      <c r="F1369" t="str">
        <f>"47"</f>
        <v>47</v>
      </c>
    </row>
    <row r="1370" spans="1:6">
      <c r="A1370" t="str">
        <f>"E1208-186"</f>
        <v>E1208-186</v>
      </c>
      <c r="B1370" t="str">
        <f t="shared" si="90"/>
        <v>VIA CAMILLO SBARBARO  3-</v>
      </c>
      <c r="C1370" t="str">
        <f t="shared" si="89"/>
        <v>RIV</v>
      </c>
      <c r="D1370">
        <v>27</v>
      </c>
      <c r="E1370" t="str">
        <f t="shared" si="88"/>
        <v>997</v>
      </c>
      <c r="F1370" t="str">
        <f>"48"</f>
        <v>48</v>
      </c>
    </row>
    <row r="1371" spans="1:6">
      <c r="A1371" t="str">
        <f>"E1208-187"</f>
        <v>E1208-187</v>
      </c>
      <c r="B1371" t="str">
        <f t="shared" si="90"/>
        <v>VIA CAMILLO SBARBARO  3-</v>
      </c>
      <c r="C1371" t="str">
        <f t="shared" si="89"/>
        <v>RIV</v>
      </c>
      <c r="D1371">
        <v>27</v>
      </c>
      <c r="E1371" t="str">
        <f t="shared" si="88"/>
        <v>997</v>
      </c>
      <c r="F1371" t="str">
        <f>"49"</f>
        <v>49</v>
      </c>
    </row>
    <row r="1372" spans="1:6">
      <c r="A1372" t="str">
        <f>"E1208-188"</f>
        <v>E1208-188</v>
      </c>
      <c r="B1372" t="str">
        <f t="shared" si="90"/>
        <v>VIA CAMILLO SBARBARO  3-</v>
      </c>
      <c r="C1372" t="str">
        <f t="shared" si="89"/>
        <v>RIV</v>
      </c>
      <c r="D1372">
        <v>27</v>
      </c>
      <c r="E1372" t="str">
        <f t="shared" si="88"/>
        <v>997</v>
      </c>
      <c r="F1372" t="str">
        <f>"50"</f>
        <v>50</v>
      </c>
    </row>
    <row r="1373" spans="1:6">
      <c r="A1373" t="str">
        <f>"E1208-189"</f>
        <v>E1208-189</v>
      </c>
      <c r="B1373" t="str">
        <f t="shared" si="90"/>
        <v>VIA CAMILLO SBARBARO  3-</v>
      </c>
      <c r="C1373" t="str">
        <f t="shared" si="89"/>
        <v>RIV</v>
      </c>
      <c r="D1373">
        <v>27</v>
      </c>
      <c r="E1373" t="str">
        <f t="shared" si="88"/>
        <v>997</v>
      </c>
      <c r="F1373" t="str">
        <f>"51"</f>
        <v>51</v>
      </c>
    </row>
    <row r="1374" spans="1:6">
      <c r="A1374" t="str">
        <f>"E1208-190"</f>
        <v>E1208-190</v>
      </c>
      <c r="B1374" t="str">
        <f t="shared" si="90"/>
        <v>VIA CAMILLO SBARBARO  3-</v>
      </c>
      <c r="C1374" t="str">
        <f t="shared" si="89"/>
        <v>RIV</v>
      </c>
      <c r="D1374">
        <v>27</v>
      </c>
      <c r="E1374" t="str">
        <f t="shared" si="88"/>
        <v>997</v>
      </c>
      <c r="F1374" t="str">
        <f>"52"</f>
        <v>52</v>
      </c>
    </row>
    <row r="1375" spans="1:6">
      <c r="A1375" t="str">
        <f>"E1208-191"</f>
        <v>E1208-191</v>
      </c>
      <c r="B1375" t="str">
        <f t="shared" si="90"/>
        <v>VIA CAMILLO SBARBARO  3-</v>
      </c>
      <c r="C1375" t="str">
        <f t="shared" si="89"/>
        <v>RIV</v>
      </c>
      <c r="D1375">
        <v>27</v>
      </c>
      <c r="E1375" t="str">
        <f t="shared" si="88"/>
        <v>997</v>
      </c>
      <c r="F1375" t="str">
        <f>"53"</f>
        <v>53</v>
      </c>
    </row>
    <row r="1376" spans="1:6">
      <c r="A1376" t="str">
        <f>"E1208-192"</f>
        <v>E1208-192</v>
      </c>
      <c r="B1376" t="str">
        <f t="shared" si="90"/>
        <v>VIA CAMILLO SBARBARO  3-</v>
      </c>
      <c r="C1376" t="str">
        <f t="shared" si="89"/>
        <v>RIV</v>
      </c>
      <c r="D1376">
        <v>27</v>
      </c>
      <c r="E1376" t="str">
        <f t="shared" si="88"/>
        <v>997</v>
      </c>
      <c r="F1376" t="str">
        <f>"54"</f>
        <v>54</v>
      </c>
    </row>
    <row r="1377" spans="1:6">
      <c r="A1377" t="str">
        <f>"E1208-193"</f>
        <v>E1208-193</v>
      </c>
      <c r="B1377" t="str">
        <f t="shared" si="90"/>
        <v>VIA CAMILLO SBARBARO  3-</v>
      </c>
      <c r="C1377" t="str">
        <f t="shared" si="89"/>
        <v>RIV</v>
      </c>
      <c r="D1377">
        <v>27</v>
      </c>
      <c r="E1377" t="str">
        <f t="shared" ref="E1377:E1395" si="91">"997"</f>
        <v>997</v>
      </c>
      <c r="F1377" t="str">
        <f>"55"</f>
        <v>55</v>
      </c>
    </row>
    <row r="1378" spans="1:6">
      <c r="A1378" t="str">
        <f>"E1208-194"</f>
        <v>E1208-194</v>
      </c>
      <c r="B1378" t="str">
        <f t="shared" si="90"/>
        <v>VIA CAMILLO SBARBARO  3-</v>
      </c>
      <c r="C1378" t="str">
        <f t="shared" si="89"/>
        <v>RIV</v>
      </c>
      <c r="D1378">
        <v>27</v>
      </c>
      <c r="E1378" t="str">
        <f t="shared" si="91"/>
        <v>997</v>
      </c>
      <c r="F1378" t="str">
        <f>"16"</f>
        <v>16</v>
      </c>
    </row>
    <row r="1379" spans="1:6">
      <c r="A1379" t="str">
        <f>"E1208-195"</f>
        <v>E1208-195</v>
      </c>
      <c r="B1379" t="str">
        <f t="shared" si="90"/>
        <v>VIA CAMILLO SBARBARO  3-</v>
      </c>
      <c r="C1379" t="str">
        <f t="shared" si="89"/>
        <v>RIV</v>
      </c>
      <c r="D1379">
        <v>27</v>
      </c>
      <c r="E1379" t="str">
        <f t="shared" si="91"/>
        <v>997</v>
      </c>
      <c r="F1379" t="str">
        <f>"17"</f>
        <v>17</v>
      </c>
    </row>
    <row r="1380" spans="1:6">
      <c r="A1380" t="str">
        <f>"E1208-196"</f>
        <v>E1208-196</v>
      </c>
      <c r="B1380" t="str">
        <f t="shared" si="90"/>
        <v>VIA CAMILLO SBARBARO  3-</v>
      </c>
      <c r="C1380" t="str">
        <f t="shared" si="89"/>
        <v>RIV</v>
      </c>
      <c r="D1380">
        <v>27</v>
      </c>
      <c r="E1380" t="str">
        <f t="shared" si="91"/>
        <v>997</v>
      </c>
      <c r="F1380" t="str">
        <f>"18"</f>
        <v>18</v>
      </c>
    </row>
    <row r="1381" spans="1:6">
      <c r="A1381" t="str">
        <f>"E1208-197"</f>
        <v>E1208-197</v>
      </c>
      <c r="B1381" t="str">
        <f t="shared" si="90"/>
        <v>VIA CAMILLO SBARBARO  3-</v>
      </c>
      <c r="C1381" t="str">
        <f t="shared" si="89"/>
        <v>RIV</v>
      </c>
      <c r="D1381">
        <v>27</v>
      </c>
      <c r="E1381" t="str">
        <f t="shared" si="91"/>
        <v>997</v>
      </c>
      <c r="F1381" t="str">
        <f>"19"</f>
        <v>19</v>
      </c>
    </row>
    <row r="1382" spans="1:6">
      <c r="A1382" t="str">
        <f>"E1208-198"</f>
        <v>E1208-198</v>
      </c>
      <c r="B1382" t="str">
        <f t="shared" si="90"/>
        <v>VIA CAMILLO SBARBARO  3-</v>
      </c>
      <c r="C1382" t="str">
        <f t="shared" si="89"/>
        <v>RIV</v>
      </c>
      <c r="D1382">
        <v>27</v>
      </c>
      <c r="E1382" t="str">
        <f t="shared" si="91"/>
        <v>997</v>
      </c>
      <c r="F1382" t="str">
        <f>"20"</f>
        <v>20</v>
      </c>
    </row>
    <row r="1383" spans="1:6">
      <c r="A1383" t="str">
        <f>"E1208-199"</f>
        <v>E1208-199</v>
      </c>
      <c r="B1383" t="str">
        <f t="shared" si="90"/>
        <v>VIA CAMILLO SBARBARO  3-</v>
      </c>
      <c r="C1383" t="str">
        <f t="shared" si="89"/>
        <v>RIV</v>
      </c>
      <c r="D1383">
        <v>27</v>
      </c>
      <c r="E1383" t="str">
        <f t="shared" si="91"/>
        <v>997</v>
      </c>
      <c r="F1383" t="str">
        <f>"21"</f>
        <v>21</v>
      </c>
    </row>
    <row r="1384" spans="1:6">
      <c r="A1384" t="str">
        <f>"E1208-200"</f>
        <v>E1208-200</v>
      </c>
      <c r="B1384" t="str">
        <f t="shared" si="90"/>
        <v>VIA CAMILLO SBARBARO  3-</v>
      </c>
      <c r="C1384" t="str">
        <f t="shared" si="89"/>
        <v>RIV</v>
      </c>
      <c r="D1384">
        <v>27</v>
      </c>
      <c r="E1384" t="str">
        <f t="shared" si="91"/>
        <v>997</v>
      </c>
      <c r="F1384" t="str">
        <f>"22"</f>
        <v>22</v>
      </c>
    </row>
    <row r="1385" spans="1:6">
      <c r="A1385" t="str">
        <f>"E1208-201"</f>
        <v>E1208-201</v>
      </c>
      <c r="B1385" t="str">
        <f t="shared" si="90"/>
        <v>VIA CAMILLO SBARBARO  3-</v>
      </c>
      <c r="C1385" t="str">
        <f t="shared" si="89"/>
        <v>RIV</v>
      </c>
      <c r="D1385">
        <v>27</v>
      </c>
      <c r="E1385" t="str">
        <f t="shared" si="91"/>
        <v>997</v>
      </c>
      <c r="F1385" t="str">
        <f>"23"</f>
        <v>23</v>
      </c>
    </row>
    <row r="1386" spans="1:6">
      <c r="A1386" t="str">
        <f>"E1208-202"</f>
        <v>E1208-202</v>
      </c>
      <c r="B1386" t="str">
        <f t="shared" si="90"/>
        <v>VIA CAMILLO SBARBARO  3-</v>
      </c>
      <c r="C1386" t="str">
        <f t="shared" si="89"/>
        <v>RIV</v>
      </c>
      <c r="D1386">
        <v>27</v>
      </c>
      <c r="E1386" t="str">
        <f t="shared" si="91"/>
        <v>997</v>
      </c>
      <c r="F1386" t="str">
        <f>"24"</f>
        <v>24</v>
      </c>
    </row>
    <row r="1387" spans="1:6">
      <c r="A1387" t="str">
        <f>"E1208-203"</f>
        <v>E1208-203</v>
      </c>
      <c r="B1387" t="str">
        <f t="shared" si="90"/>
        <v>VIA CAMILLO SBARBARO  3-</v>
      </c>
      <c r="C1387" t="str">
        <f t="shared" si="89"/>
        <v>RIV</v>
      </c>
      <c r="D1387">
        <v>27</v>
      </c>
      <c r="E1387" t="str">
        <f t="shared" si="91"/>
        <v>997</v>
      </c>
      <c r="F1387" t="str">
        <f>"25"</f>
        <v>25</v>
      </c>
    </row>
    <row r="1388" spans="1:6">
      <c r="A1388" t="str">
        <f>"E1208-204"</f>
        <v>E1208-204</v>
      </c>
      <c r="B1388" t="str">
        <f t="shared" si="90"/>
        <v>VIA CAMILLO SBARBARO  3-</v>
      </c>
      <c r="C1388" t="str">
        <f t="shared" si="89"/>
        <v>RIV</v>
      </c>
      <c r="D1388">
        <v>27</v>
      </c>
      <c r="E1388" t="str">
        <f t="shared" si="91"/>
        <v>997</v>
      </c>
      <c r="F1388" t="str">
        <f>"26"</f>
        <v>26</v>
      </c>
    </row>
    <row r="1389" spans="1:6">
      <c r="A1389" t="str">
        <f>"E1208-205"</f>
        <v>E1208-205</v>
      </c>
      <c r="B1389" t="str">
        <f t="shared" si="90"/>
        <v>VIA CAMILLO SBARBARO  3-</v>
      </c>
      <c r="C1389" t="str">
        <f t="shared" si="89"/>
        <v>RIV</v>
      </c>
      <c r="D1389">
        <v>27</v>
      </c>
      <c r="E1389" t="str">
        <f t="shared" si="91"/>
        <v>997</v>
      </c>
      <c r="F1389" t="str">
        <f>"27"</f>
        <v>27</v>
      </c>
    </row>
    <row r="1390" spans="1:6">
      <c r="A1390" t="str">
        <f>"E1208-206"</f>
        <v>E1208-206</v>
      </c>
      <c r="B1390" t="str">
        <f t="shared" si="90"/>
        <v>VIA CAMILLO SBARBARO  3-</v>
      </c>
      <c r="C1390" t="str">
        <f t="shared" si="89"/>
        <v>RIV</v>
      </c>
      <c r="D1390">
        <v>27</v>
      </c>
      <c r="E1390" t="str">
        <f t="shared" si="91"/>
        <v>997</v>
      </c>
      <c r="F1390" t="str">
        <f>"28"</f>
        <v>28</v>
      </c>
    </row>
    <row r="1391" spans="1:6">
      <c r="A1391" t="str">
        <f>"E1208-207"</f>
        <v>E1208-207</v>
      </c>
      <c r="B1391" t="str">
        <f t="shared" si="90"/>
        <v>VIA CAMILLO SBARBARO  3-</v>
      </c>
      <c r="C1391" t="str">
        <f t="shared" si="89"/>
        <v>RIV</v>
      </c>
      <c r="D1391">
        <v>27</v>
      </c>
      <c r="E1391" t="str">
        <f t="shared" si="91"/>
        <v>997</v>
      </c>
      <c r="F1391" t="str">
        <f>"29"</f>
        <v>29</v>
      </c>
    </row>
    <row r="1392" spans="1:6">
      <c r="A1392" t="str">
        <f>"E1208-208"</f>
        <v>E1208-208</v>
      </c>
      <c r="B1392" t="str">
        <f t="shared" si="90"/>
        <v>VIA CAMILLO SBARBARO  3-</v>
      </c>
      <c r="C1392" t="str">
        <f t="shared" si="89"/>
        <v>RIV</v>
      </c>
      <c r="D1392">
        <v>27</v>
      </c>
      <c r="E1392" t="str">
        <f t="shared" si="91"/>
        <v>997</v>
      </c>
      <c r="F1392" t="str">
        <f>"30"</f>
        <v>30</v>
      </c>
    </row>
    <row r="1393" spans="1:6">
      <c r="A1393" t="str">
        <f>"E1208-209"</f>
        <v>E1208-209</v>
      </c>
      <c r="B1393" t="str">
        <f t="shared" si="90"/>
        <v>VIA CAMILLO SBARBARO  3-</v>
      </c>
      <c r="C1393" t="str">
        <f t="shared" si="89"/>
        <v>RIV</v>
      </c>
      <c r="D1393">
        <v>27</v>
      </c>
      <c r="E1393" t="str">
        <f t="shared" si="91"/>
        <v>997</v>
      </c>
      <c r="F1393" t="str">
        <f>"31"</f>
        <v>31</v>
      </c>
    </row>
    <row r="1394" spans="1:6">
      <c r="A1394" t="str">
        <f>"E1208-210"</f>
        <v>E1208-210</v>
      </c>
      <c r="B1394" t="str">
        <f t="shared" si="90"/>
        <v>VIA CAMILLO SBARBARO  3-</v>
      </c>
      <c r="C1394" t="str">
        <f t="shared" si="89"/>
        <v>RIV</v>
      </c>
      <c r="D1394">
        <v>27</v>
      </c>
      <c r="E1394" t="str">
        <f t="shared" si="91"/>
        <v>997</v>
      </c>
      <c r="F1394" t="str">
        <f>"32"</f>
        <v>32</v>
      </c>
    </row>
    <row r="1395" spans="1:6">
      <c r="A1395" t="str">
        <f>"E1208-211"</f>
        <v>E1208-211</v>
      </c>
      <c r="B1395" t="str">
        <f t="shared" si="90"/>
        <v>VIA CAMILLO SBARBARO  3-</v>
      </c>
      <c r="C1395" t="str">
        <f t="shared" si="89"/>
        <v>RIV</v>
      </c>
      <c r="D1395">
        <v>27</v>
      </c>
      <c r="E1395" t="str">
        <f t="shared" si="91"/>
        <v>997</v>
      </c>
      <c r="F1395" t="str">
        <f>"33"</f>
        <v>33</v>
      </c>
    </row>
    <row r="1396" spans="1:6">
      <c r="A1396" t="str">
        <f>"E1208-212"</f>
        <v>E1208-212</v>
      </c>
      <c r="B1396" t="str">
        <f t="shared" ref="B1396:B1409" si="92">"VIA CAMILLO SBARBARO  1-"</f>
        <v>VIA CAMILLO SBARBARO  1-</v>
      </c>
      <c r="C1396" t="str">
        <f t="shared" si="89"/>
        <v>RIV</v>
      </c>
      <c r="D1396">
        <v>27</v>
      </c>
      <c r="E1396" t="str">
        <f t="shared" ref="E1396:E1427" si="93">"1002"</f>
        <v>1002</v>
      </c>
      <c r="F1396" t="str">
        <f>"28"</f>
        <v>28</v>
      </c>
    </row>
    <row r="1397" spans="1:6">
      <c r="A1397" t="str">
        <f>"E1208-213"</f>
        <v>E1208-213</v>
      </c>
      <c r="B1397" t="str">
        <f t="shared" si="92"/>
        <v>VIA CAMILLO SBARBARO  1-</v>
      </c>
      <c r="C1397" t="str">
        <f t="shared" si="89"/>
        <v>RIV</v>
      </c>
      <c r="D1397">
        <v>27</v>
      </c>
      <c r="E1397" t="str">
        <f t="shared" si="93"/>
        <v>1002</v>
      </c>
      <c r="F1397" t="str">
        <f>"29"</f>
        <v>29</v>
      </c>
    </row>
    <row r="1398" spans="1:6">
      <c r="A1398" t="str">
        <f>"E1208-214"</f>
        <v>E1208-214</v>
      </c>
      <c r="B1398" t="str">
        <f t="shared" si="92"/>
        <v>VIA CAMILLO SBARBARO  1-</v>
      </c>
      <c r="C1398" t="str">
        <f t="shared" si="89"/>
        <v>RIV</v>
      </c>
      <c r="D1398">
        <v>27</v>
      </c>
      <c r="E1398" t="str">
        <f t="shared" si="93"/>
        <v>1002</v>
      </c>
      <c r="F1398" t="str">
        <f>"30"</f>
        <v>30</v>
      </c>
    </row>
    <row r="1399" spans="1:6">
      <c r="A1399" t="str">
        <f>"E1208-215"</f>
        <v>E1208-215</v>
      </c>
      <c r="B1399" t="str">
        <f t="shared" si="92"/>
        <v>VIA CAMILLO SBARBARO  1-</v>
      </c>
      <c r="C1399" t="str">
        <f t="shared" si="89"/>
        <v>RIV</v>
      </c>
      <c r="D1399">
        <v>27</v>
      </c>
      <c r="E1399" t="str">
        <f t="shared" si="93"/>
        <v>1002</v>
      </c>
      <c r="F1399" t="str">
        <f>"31"</f>
        <v>31</v>
      </c>
    </row>
    <row r="1400" spans="1:6">
      <c r="A1400" t="str">
        <f>"E1208-216"</f>
        <v>E1208-216</v>
      </c>
      <c r="B1400" t="str">
        <f t="shared" si="92"/>
        <v>VIA CAMILLO SBARBARO  1-</v>
      </c>
      <c r="C1400" t="str">
        <f t="shared" si="89"/>
        <v>RIV</v>
      </c>
      <c r="D1400">
        <v>27</v>
      </c>
      <c r="E1400" t="str">
        <f t="shared" si="93"/>
        <v>1002</v>
      </c>
      <c r="F1400" t="str">
        <f>"32"</f>
        <v>32</v>
      </c>
    </row>
    <row r="1401" spans="1:6">
      <c r="A1401" t="str">
        <f>"E1208-217"</f>
        <v>E1208-217</v>
      </c>
      <c r="B1401" t="str">
        <f t="shared" si="92"/>
        <v>VIA CAMILLO SBARBARO  1-</v>
      </c>
      <c r="C1401" t="str">
        <f t="shared" si="89"/>
        <v>RIV</v>
      </c>
      <c r="D1401">
        <v>27</v>
      </c>
      <c r="E1401" t="str">
        <f t="shared" si="93"/>
        <v>1002</v>
      </c>
      <c r="F1401" t="str">
        <f>"33"</f>
        <v>33</v>
      </c>
    </row>
    <row r="1402" spans="1:6">
      <c r="A1402" t="str">
        <f>"E1208-218"</f>
        <v>E1208-218</v>
      </c>
      <c r="B1402" t="str">
        <f t="shared" si="92"/>
        <v>VIA CAMILLO SBARBARO  1-</v>
      </c>
      <c r="C1402" t="str">
        <f t="shared" si="89"/>
        <v>RIV</v>
      </c>
      <c r="D1402">
        <v>27</v>
      </c>
      <c r="E1402" t="str">
        <f t="shared" si="93"/>
        <v>1002</v>
      </c>
      <c r="F1402" t="str">
        <f>"34"</f>
        <v>34</v>
      </c>
    </row>
    <row r="1403" spans="1:6">
      <c r="A1403" t="str">
        <f>"E1208-219"</f>
        <v>E1208-219</v>
      </c>
      <c r="B1403" t="str">
        <f t="shared" si="92"/>
        <v>VIA CAMILLO SBARBARO  1-</v>
      </c>
      <c r="C1403" t="str">
        <f t="shared" si="89"/>
        <v>RIV</v>
      </c>
      <c r="D1403">
        <v>27</v>
      </c>
      <c r="E1403" t="str">
        <f t="shared" si="93"/>
        <v>1002</v>
      </c>
      <c r="F1403" t="str">
        <f>"35"</f>
        <v>35</v>
      </c>
    </row>
    <row r="1404" spans="1:6">
      <c r="A1404" t="str">
        <f>"E1208-220"</f>
        <v>E1208-220</v>
      </c>
      <c r="B1404" t="str">
        <f t="shared" si="92"/>
        <v>VIA CAMILLO SBARBARO  1-</v>
      </c>
      <c r="C1404" t="str">
        <f t="shared" si="89"/>
        <v>RIV</v>
      </c>
      <c r="D1404">
        <v>27</v>
      </c>
      <c r="E1404" t="str">
        <f t="shared" si="93"/>
        <v>1002</v>
      </c>
      <c r="F1404" t="str">
        <f>"36"</f>
        <v>36</v>
      </c>
    </row>
    <row r="1405" spans="1:6">
      <c r="A1405" t="str">
        <f>"E1208-221"</f>
        <v>E1208-221</v>
      </c>
      <c r="B1405" t="str">
        <f t="shared" si="92"/>
        <v>VIA CAMILLO SBARBARO  1-</v>
      </c>
      <c r="C1405" t="str">
        <f t="shared" si="89"/>
        <v>RIV</v>
      </c>
      <c r="D1405">
        <v>27</v>
      </c>
      <c r="E1405" t="str">
        <f t="shared" si="93"/>
        <v>1002</v>
      </c>
      <c r="F1405" t="str">
        <f>"37"</f>
        <v>37</v>
      </c>
    </row>
    <row r="1406" spans="1:6">
      <c r="A1406" t="str">
        <f>"E1208-222"</f>
        <v>E1208-222</v>
      </c>
      <c r="B1406" t="str">
        <f t="shared" si="92"/>
        <v>VIA CAMILLO SBARBARO  1-</v>
      </c>
      <c r="C1406" t="str">
        <f t="shared" si="89"/>
        <v>RIV</v>
      </c>
      <c r="D1406">
        <v>27</v>
      </c>
      <c r="E1406" t="str">
        <f t="shared" si="93"/>
        <v>1002</v>
      </c>
      <c r="F1406" t="str">
        <f>"38"</f>
        <v>38</v>
      </c>
    </row>
    <row r="1407" spans="1:6">
      <c r="A1407" t="str">
        <f>"E1208-223"</f>
        <v>E1208-223</v>
      </c>
      <c r="B1407" t="str">
        <f t="shared" si="92"/>
        <v>VIA CAMILLO SBARBARO  1-</v>
      </c>
      <c r="C1407" t="str">
        <f t="shared" si="89"/>
        <v>RIV</v>
      </c>
      <c r="D1407">
        <v>27</v>
      </c>
      <c r="E1407" t="str">
        <f t="shared" si="93"/>
        <v>1002</v>
      </c>
      <c r="F1407" t="str">
        <f>"39"</f>
        <v>39</v>
      </c>
    </row>
    <row r="1408" spans="1:6">
      <c r="A1408" t="str">
        <f>"E1208-224"</f>
        <v>E1208-224</v>
      </c>
      <c r="B1408" t="str">
        <f t="shared" si="92"/>
        <v>VIA CAMILLO SBARBARO  1-</v>
      </c>
      <c r="C1408" t="str">
        <f t="shared" si="89"/>
        <v>RIV</v>
      </c>
      <c r="D1408">
        <v>27</v>
      </c>
      <c r="E1408" t="str">
        <f t="shared" si="93"/>
        <v>1002</v>
      </c>
      <c r="F1408" t="str">
        <f>"40"</f>
        <v>40</v>
      </c>
    </row>
    <row r="1409" spans="1:6">
      <c r="A1409" t="str">
        <f>"E1208-225"</f>
        <v>E1208-225</v>
      </c>
      <c r="B1409" t="str">
        <f t="shared" si="92"/>
        <v>VIA CAMILLO SBARBARO  1-</v>
      </c>
      <c r="C1409" t="str">
        <f t="shared" si="89"/>
        <v>RIV</v>
      </c>
      <c r="D1409">
        <v>27</v>
      </c>
      <c r="E1409" t="str">
        <f t="shared" si="93"/>
        <v>1002</v>
      </c>
      <c r="F1409" t="str">
        <f>"41"</f>
        <v>41</v>
      </c>
    </row>
    <row r="1410" spans="1:6">
      <c r="A1410" t="str">
        <f>"E1208-226"</f>
        <v>E1208-226</v>
      </c>
      <c r="B1410" t="str">
        <f t="shared" ref="B1410:B1455" si="94">"VIA CAMILLO SBARBARO  5-"</f>
        <v>VIA CAMILLO SBARBARO  5-</v>
      </c>
      <c r="C1410" t="str">
        <f t="shared" si="89"/>
        <v>RIV</v>
      </c>
      <c r="D1410">
        <v>27</v>
      </c>
      <c r="E1410" t="str">
        <f t="shared" si="93"/>
        <v>1002</v>
      </c>
      <c r="F1410" t="str">
        <f>"42"</f>
        <v>42</v>
      </c>
    </row>
    <row r="1411" spans="1:6">
      <c r="A1411" t="str">
        <f>"E1208-227"</f>
        <v>E1208-227</v>
      </c>
      <c r="B1411" t="str">
        <f t="shared" si="94"/>
        <v>VIA CAMILLO SBARBARO  5-</v>
      </c>
      <c r="C1411" t="str">
        <f t="shared" si="89"/>
        <v>RIV</v>
      </c>
      <c r="D1411">
        <v>27</v>
      </c>
      <c r="E1411" t="str">
        <f t="shared" si="93"/>
        <v>1002</v>
      </c>
      <c r="F1411" t="str">
        <f>"43"</f>
        <v>43</v>
      </c>
    </row>
    <row r="1412" spans="1:6">
      <c r="A1412" t="str">
        <f>"E1208-228"</f>
        <v>E1208-228</v>
      </c>
      <c r="B1412" t="str">
        <f t="shared" si="94"/>
        <v>VIA CAMILLO SBARBARO  5-</v>
      </c>
      <c r="C1412" t="str">
        <f t="shared" si="89"/>
        <v>RIV</v>
      </c>
      <c r="D1412">
        <v>27</v>
      </c>
      <c r="E1412" t="str">
        <f t="shared" si="93"/>
        <v>1002</v>
      </c>
      <c r="F1412" t="str">
        <f>"44"</f>
        <v>44</v>
      </c>
    </row>
    <row r="1413" spans="1:6">
      <c r="A1413" t="str">
        <f>"E1208-229"</f>
        <v>E1208-229</v>
      </c>
      <c r="B1413" t="str">
        <f t="shared" si="94"/>
        <v>VIA CAMILLO SBARBARO  5-</v>
      </c>
      <c r="C1413" t="str">
        <f t="shared" si="89"/>
        <v>RIV</v>
      </c>
      <c r="D1413">
        <v>27</v>
      </c>
      <c r="E1413" t="str">
        <f t="shared" si="93"/>
        <v>1002</v>
      </c>
      <c r="F1413" t="str">
        <f>"45"</f>
        <v>45</v>
      </c>
    </row>
    <row r="1414" spans="1:6">
      <c r="A1414" t="str">
        <f>"E1208-230"</f>
        <v>E1208-230</v>
      </c>
      <c r="B1414" t="str">
        <f t="shared" si="94"/>
        <v>VIA CAMILLO SBARBARO  5-</v>
      </c>
      <c r="C1414" t="str">
        <f t="shared" si="89"/>
        <v>RIV</v>
      </c>
      <c r="D1414">
        <v>27</v>
      </c>
      <c r="E1414" t="str">
        <f t="shared" si="93"/>
        <v>1002</v>
      </c>
      <c r="F1414" t="str">
        <f>"46"</f>
        <v>46</v>
      </c>
    </row>
    <row r="1415" spans="1:6">
      <c r="A1415" t="str">
        <f>"E1208-231"</f>
        <v>E1208-231</v>
      </c>
      <c r="B1415" t="str">
        <f t="shared" si="94"/>
        <v>VIA CAMILLO SBARBARO  5-</v>
      </c>
      <c r="C1415" t="str">
        <f t="shared" ref="C1415:C1475" si="95">"RIV"</f>
        <v>RIV</v>
      </c>
      <c r="D1415">
        <v>27</v>
      </c>
      <c r="E1415" t="str">
        <f t="shared" si="93"/>
        <v>1002</v>
      </c>
      <c r="F1415" t="str">
        <f>"47"</f>
        <v>47</v>
      </c>
    </row>
    <row r="1416" spans="1:6">
      <c r="A1416" t="str">
        <f>"E1208-232"</f>
        <v>E1208-232</v>
      </c>
      <c r="B1416" t="str">
        <f t="shared" si="94"/>
        <v>VIA CAMILLO SBARBARO  5-</v>
      </c>
      <c r="C1416" t="str">
        <f t="shared" si="95"/>
        <v>RIV</v>
      </c>
      <c r="D1416">
        <v>27</v>
      </c>
      <c r="E1416" t="str">
        <f t="shared" si="93"/>
        <v>1002</v>
      </c>
      <c r="F1416" t="str">
        <f>"48"</f>
        <v>48</v>
      </c>
    </row>
    <row r="1417" spans="1:6">
      <c r="A1417" t="str">
        <f>"E1208-233"</f>
        <v>E1208-233</v>
      </c>
      <c r="B1417" t="str">
        <f t="shared" si="94"/>
        <v>VIA CAMILLO SBARBARO  5-</v>
      </c>
      <c r="C1417" t="str">
        <f t="shared" si="95"/>
        <v>RIV</v>
      </c>
      <c r="D1417">
        <v>27</v>
      </c>
      <c r="E1417" t="str">
        <f t="shared" si="93"/>
        <v>1002</v>
      </c>
      <c r="F1417" t="str">
        <f>"49"</f>
        <v>49</v>
      </c>
    </row>
    <row r="1418" spans="1:6">
      <c r="A1418" t="str">
        <f>"E1208-234"</f>
        <v>E1208-234</v>
      </c>
      <c r="B1418" t="str">
        <f t="shared" si="94"/>
        <v>VIA CAMILLO SBARBARO  5-</v>
      </c>
      <c r="C1418" t="str">
        <f t="shared" si="95"/>
        <v>RIV</v>
      </c>
      <c r="D1418">
        <v>27</v>
      </c>
      <c r="E1418" t="str">
        <f t="shared" si="93"/>
        <v>1002</v>
      </c>
      <c r="F1418" t="str">
        <f>"50"</f>
        <v>50</v>
      </c>
    </row>
    <row r="1419" spans="1:6">
      <c r="A1419" t="str">
        <f>"E1208-235"</f>
        <v>E1208-235</v>
      </c>
      <c r="B1419" t="str">
        <f t="shared" si="94"/>
        <v>VIA CAMILLO SBARBARO  5-</v>
      </c>
      <c r="C1419" t="str">
        <f t="shared" si="95"/>
        <v>RIV</v>
      </c>
      <c r="D1419">
        <v>27</v>
      </c>
      <c r="E1419" t="str">
        <f t="shared" si="93"/>
        <v>1002</v>
      </c>
      <c r="F1419" t="str">
        <f>"51"</f>
        <v>51</v>
      </c>
    </row>
    <row r="1420" spans="1:6">
      <c r="A1420" t="str">
        <f>"E1208-236"</f>
        <v>E1208-236</v>
      </c>
      <c r="B1420" t="str">
        <f t="shared" si="94"/>
        <v>VIA CAMILLO SBARBARO  5-</v>
      </c>
      <c r="C1420" t="str">
        <f t="shared" si="95"/>
        <v>RIV</v>
      </c>
      <c r="D1420">
        <v>27</v>
      </c>
      <c r="E1420" t="str">
        <f t="shared" si="93"/>
        <v>1002</v>
      </c>
      <c r="F1420" t="str">
        <f>"52"</f>
        <v>52</v>
      </c>
    </row>
    <row r="1421" spans="1:6">
      <c r="A1421" t="str">
        <f>"E1208-237"</f>
        <v>E1208-237</v>
      </c>
      <c r="B1421" t="str">
        <f t="shared" si="94"/>
        <v>VIA CAMILLO SBARBARO  5-</v>
      </c>
      <c r="C1421" t="str">
        <f t="shared" si="95"/>
        <v>RIV</v>
      </c>
      <c r="D1421">
        <v>27</v>
      </c>
      <c r="E1421" t="str">
        <f t="shared" si="93"/>
        <v>1002</v>
      </c>
      <c r="F1421" t="str">
        <f>"53"</f>
        <v>53</v>
      </c>
    </row>
    <row r="1422" spans="1:6">
      <c r="A1422" t="str">
        <f>"E1208-238"</f>
        <v>E1208-238</v>
      </c>
      <c r="B1422" t="str">
        <f t="shared" si="94"/>
        <v>VIA CAMILLO SBARBARO  5-</v>
      </c>
      <c r="C1422" t="str">
        <f t="shared" si="95"/>
        <v>RIV</v>
      </c>
      <c r="D1422">
        <v>27</v>
      </c>
      <c r="E1422" t="str">
        <f t="shared" si="93"/>
        <v>1002</v>
      </c>
      <c r="F1422" t="str">
        <f>"54"</f>
        <v>54</v>
      </c>
    </row>
    <row r="1423" spans="1:6">
      <c r="A1423" t="str">
        <f>"E1208-239"</f>
        <v>E1208-239</v>
      </c>
      <c r="B1423" t="str">
        <f t="shared" si="94"/>
        <v>VIA CAMILLO SBARBARO  5-</v>
      </c>
      <c r="C1423" t="str">
        <f t="shared" si="95"/>
        <v>RIV</v>
      </c>
      <c r="D1423">
        <v>27</v>
      </c>
      <c r="E1423" t="str">
        <f t="shared" si="93"/>
        <v>1002</v>
      </c>
      <c r="F1423" t="str">
        <f>"55"</f>
        <v>55</v>
      </c>
    </row>
    <row r="1424" spans="1:6">
      <c r="A1424" t="str">
        <f>"E1208-240"</f>
        <v>E1208-240</v>
      </c>
      <c r="B1424" t="str">
        <f t="shared" si="94"/>
        <v>VIA CAMILLO SBARBARO  5-</v>
      </c>
      <c r="C1424" t="str">
        <f t="shared" si="95"/>
        <v>RIV</v>
      </c>
      <c r="D1424">
        <v>27</v>
      </c>
      <c r="E1424" t="str">
        <f t="shared" si="93"/>
        <v>1002</v>
      </c>
      <c r="F1424" t="str">
        <f>"56"</f>
        <v>56</v>
      </c>
    </row>
    <row r="1425" spans="1:6">
      <c r="A1425" t="str">
        <f>"E1208-241"</f>
        <v>E1208-241</v>
      </c>
      <c r="B1425" t="str">
        <f t="shared" si="94"/>
        <v>VIA CAMILLO SBARBARO  5-</v>
      </c>
      <c r="C1425" t="str">
        <f t="shared" si="95"/>
        <v>RIV</v>
      </c>
      <c r="D1425">
        <v>27</v>
      </c>
      <c r="E1425" t="str">
        <f t="shared" si="93"/>
        <v>1002</v>
      </c>
      <c r="F1425" t="str">
        <f>"57"</f>
        <v>57</v>
      </c>
    </row>
    <row r="1426" spans="1:6">
      <c r="A1426" t="str">
        <f>"E1208-242"</f>
        <v>E1208-242</v>
      </c>
      <c r="B1426" t="str">
        <f t="shared" si="94"/>
        <v>VIA CAMILLO SBARBARO  5-</v>
      </c>
      <c r="C1426" t="str">
        <f t="shared" si="95"/>
        <v>RIV</v>
      </c>
      <c r="D1426">
        <v>27</v>
      </c>
      <c r="E1426" t="str">
        <f t="shared" si="93"/>
        <v>1002</v>
      </c>
      <c r="F1426" t="str">
        <f>"58"</f>
        <v>58</v>
      </c>
    </row>
    <row r="1427" spans="1:6">
      <c r="A1427" t="str">
        <f>"E1208-243"</f>
        <v>E1208-243</v>
      </c>
      <c r="B1427" t="str">
        <f t="shared" si="94"/>
        <v>VIA CAMILLO SBARBARO  5-</v>
      </c>
      <c r="C1427" t="str">
        <f t="shared" si="95"/>
        <v>RIV</v>
      </c>
      <c r="D1427">
        <v>27</v>
      </c>
      <c r="E1427" t="str">
        <f t="shared" si="93"/>
        <v>1002</v>
      </c>
      <c r="F1427" t="str">
        <f>"59"</f>
        <v>59</v>
      </c>
    </row>
    <row r="1428" spans="1:6">
      <c r="A1428" t="str">
        <f>"E1208-244"</f>
        <v>E1208-244</v>
      </c>
      <c r="B1428" t="str">
        <f t="shared" si="94"/>
        <v>VIA CAMILLO SBARBARO  5-</v>
      </c>
      <c r="C1428" t="str">
        <f t="shared" si="95"/>
        <v>RIV</v>
      </c>
      <c r="D1428">
        <v>27</v>
      </c>
      <c r="E1428" t="str">
        <f t="shared" ref="E1428:E1455" si="96">"1002"</f>
        <v>1002</v>
      </c>
      <c r="F1428" t="str">
        <f>"60"</f>
        <v>60</v>
      </c>
    </row>
    <row r="1429" spans="1:6">
      <c r="A1429" t="str">
        <f>"E1208-245"</f>
        <v>E1208-245</v>
      </c>
      <c r="B1429" t="str">
        <f t="shared" si="94"/>
        <v>VIA CAMILLO SBARBARO  5-</v>
      </c>
      <c r="C1429" t="str">
        <f t="shared" si="95"/>
        <v>RIV</v>
      </c>
      <c r="D1429">
        <v>27</v>
      </c>
      <c r="E1429" t="str">
        <f t="shared" si="96"/>
        <v>1002</v>
      </c>
      <c r="F1429" t="str">
        <f>"61"</f>
        <v>61</v>
      </c>
    </row>
    <row r="1430" spans="1:6">
      <c r="A1430" t="str">
        <f>"E1208-246"</f>
        <v>E1208-246</v>
      </c>
      <c r="B1430" t="str">
        <f t="shared" si="94"/>
        <v>VIA CAMILLO SBARBARO  5-</v>
      </c>
      <c r="C1430" t="str">
        <f t="shared" si="95"/>
        <v>RIV</v>
      </c>
      <c r="D1430">
        <v>27</v>
      </c>
      <c r="E1430" t="str">
        <f t="shared" si="96"/>
        <v>1002</v>
      </c>
      <c r="F1430" t="str">
        <f>"62"</f>
        <v>62</v>
      </c>
    </row>
    <row r="1431" spans="1:6">
      <c r="A1431" t="str">
        <f>"E1208-247"</f>
        <v>E1208-247</v>
      </c>
      <c r="B1431" t="str">
        <f t="shared" si="94"/>
        <v>VIA CAMILLO SBARBARO  5-</v>
      </c>
      <c r="C1431" t="str">
        <f t="shared" si="95"/>
        <v>RIV</v>
      </c>
      <c r="D1431">
        <v>27</v>
      </c>
      <c r="E1431" t="str">
        <f t="shared" si="96"/>
        <v>1002</v>
      </c>
      <c r="F1431" t="str">
        <f>"63"</f>
        <v>63</v>
      </c>
    </row>
    <row r="1432" spans="1:6">
      <c r="A1432" t="str">
        <f>"E1208-248"</f>
        <v>E1208-248</v>
      </c>
      <c r="B1432" t="str">
        <f t="shared" si="94"/>
        <v>VIA CAMILLO SBARBARO  5-</v>
      </c>
      <c r="C1432" t="str">
        <f t="shared" si="95"/>
        <v>RIV</v>
      </c>
      <c r="D1432">
        <v>27</v>
      </c>
      <c r="E1432" t="str">
        <f t="shared" si="96"/>
        <v>1002</v>
      </c>
      <c r="F1432" t="str">
        <f>"64"</f>
        <v>64</v>
      </c>
    </row>
    <row r="1433" spans="1:6">
      <c r="A1433" t="str">
        <f>"E1208-249"</f>
        <v>E1208-249</v>
      </c>
      <c r="B1433" t="str">
        <f t="shared" si="94"/>
        <v>VIA CAMILLO SBARBARO  5-</v>
      </c>
      <c r="C1433" t="str">
        <f t="shared" si="95"/>
        <v>RIV</v>
      </c>
      <c r="D1433">
        <v>27</v>
      </c>
      <c r="E1433" t="str">
        <f t="shared" si="96"/>
        <v>1002</v>
      </c>
      <c r="F1433" t="str">
        <f>"2"</f>
        <v>2</v>
      </c>
    </row>
    <row r="1434" spans="1:6">
      <c r="A1434" t="str">
        <f>"E1208-250"</f>
        <v>E1208-250</v>
      </c>
      <c r="B1434" t="str">
        <f t="shared" si="94"/>
        <v>VIA CAMILLO SBARBARO  5-</v>
      </c>
      <c r="C1434" t="str">
        <f t="shared" si="95"/>
        <v>RIV</v>
      </c>
      <c r="D1434">
        <v>27</v>
      </c>
      <c r="E1434" t="str">
        <f t="shared" si="96"/>
        <v>1002</v>
      </c>
      <c r="F1434" t="str">
        <f>"8"</f>
        <v>8</v>
      </c>
    </row>
    <row r="1435" spans="1:6">
      <c r="A1435" t="str">
        <f>"E1208-251"</f>
        <v>E1208-251</v>
      </c>
      <c r="B1435" t="str">
        <f t="shared" si="94"/>
        <v>VIA CAMILLO SBARBARO  5-</v>
      </c>
      <c r="C1435" t="str">
        <f t="shared" si="95"/>
        <v>RIV</v>
      </c>
      <c r="D1435">
        <v>27</v>
      </c>
      <c r="E1435" t="str">
        <f t="shared" si="96"/>
        <v>1002</v>
      </c>
      <c r="F1435" t="str">
        <f>"3"</f>
        <v>3</v>
      </c>
    </row>
    <row r="1436" spans="1:6">
      <c r="A1436" t="str">
        <f>"E1208-252"</f>
        <v>E1208-252</v>
      </c>
      <c r="B1436" t="str">
        <f t="shared" si="94"/>
        <v>VIA CAMILLO SBARBARO  5-</v>
      </c>
      <c r="C1436" t="str">
        <f t="shared" si="95"/>
        <v>RIV</v>
      </c>
      <c r="D1436">
        <v>27</v>
      </c>
      <c r="E1436" t="str">
        <f t="shared" si="96"/>
        <v>1002</v>
      </c>
      <c r="F1436" t="str">
        <f>"9"</f>
        <v>9</v>
      </c>
    </row>
    <row r="1437" spans="1:6">
      <c r="A1437" t="str">
        <f>"E1208-253"</f>
        <v>E1208-253</v>
      </c>
      <c r="B1437" t="str">
        <f t="shared" si="94"/>
        <v>VIA CAMILLO SBARBARO  5-</v>
      </c>
      <c r="C1437" t="str">
        <f t="shared" si="95"/>
        <v>RIV</v>
      </c>
      <c r="D1437">
        <v>27</v>
      </c>
      <c r="E1437" t="str">
        <f t="shared" si="96"/>
        <v>1002</v>
      </c>
      <c r="F1437" t="str">
        <f>"4"</f>
        <v>4</v>
      </c>
    </row>
    <row r="1438" spans="1:6">
      <c r="A1438" t="str">
        <f>"E1208-254"</f>
        <v>E1208-254</v>
      </c>
      <c r="B1438" t="str">
        <f t="shared" si="94"/>
        <v>VIA CAMILLO SBARBARO  5-</v>
      </c>
      <c r="C1438" t="str">
        <f t="shared" si="95"/>
        <v>RIV</v>
      </c>
      <c r="D1438">
        <v>27</v>
      </c>
      <c r="E1438" t="str">
        <f t="shared" si="96"/>
        <v>1002</v>
      </c>
      <c r="F1438" t="str">
        <f>"10"</f>
        <v>10</v>
      </c>
    </row>
    <row r="1439" spans="1:6">
      <c r="A1439" t="str">
        <f>"E1208-255"</f>
        <v>E1208-255</v>
      </c>
      <c r="B1439" t="str">
        <f t="shared" si="94"/>
        <v>VIA CAMILLO SBARBARO  5-</v>
      </c>
      <c r="C1439" t="str">
        <f t="shared" si="95"/>
        <v>RIV</v>
      </c>
      <c r="D1439">
        <v>27</v>
      </c>
      <c r="E1439" t="str">
        <f t="shared" si="96"/>
        <v>1002</v>
      </c>
      <c r="F1439" t="str">
        <f>"5"</f>
        <v>5</v>
      </c>
    </row>
    <row r="1440" spans="1:6">
      <c r="A1440" t="str">
        <f>"E1208-256"</f>
        <v>E1208-256</v>
      </c>
      <c r="B1440" t="str">
        <f t="shared" si="94"/>
        <v>VIA CAMILLO SBARBARO  5-</v>
      </c>
      <c r="C1440" t="str">
        <f t="shared" si="95"/>
        <v>RIV</v>
      </c>
      <c r="D1440">
        <v>27</v>
      </c>
      <c r="E1440" t="str">
        <f t="shared" si="96"/>
        <v>1002</v>
      </c>
      <c r="F1440" t="str">
        <f>"11"</f>
        <v>11</v>
      </c>
    </row>
    <row r="1441" spans="1:6">
      <c r="A1441" t="str">
        <f>"E1208-257"</f>
        <v>E1208-257</v>
      </c>
      <c r="B1441" t="str">
        <f t="shared" si="94"/>
        <v>VIA CAMILLO SBARBARO  5-</v>
      </c>
      <c r="C1441" t="str">
        <f t="shared" si="95"/>
        <v>RIV</v>
      </c>
      <c r="D1441">
        <v>27</v>
      </c>
      <c r="E1441" t="str">
        <f t="shared" si="96"/>
        <v>1002</v>
      </c>
      <c r="F1441" t="str">
        <f>"6"</f>
        <v>6</v>
      </c>
    </row>
    <row r="1442" spans="1:6">
      <c r="A1442" t="str">
        <f>"E1208-258"</f>
        <v>E1208-258</v>
      </c>
      <c r="B1442" t="str">
        <f t="shared" si="94"/>
        <v>VIA CAMILLO SBARBARO  5-</v>
      </c>
      <c r="C1442" t="str">
        <f t="shared" si="95"/>
        <v>RIV</v>
      </c>
      <c r="D1442">
        <v>27</v>
      </c>
      <c r="E1442" t="str">
        <f t="shared" si="96"/>
        <v>1002</v>
      </c>
      <c r="F1442" t="str">
        <f>"12"</f>
        <v>12</v>
      </c>
    </row>
    <row r="1443" spans="1:6">
      <c r="A1443" t="str">
        <f>"E1208-259"</f>
        <v>E1208-259</v>
      </c>
      <c r="B1443" t="str">
        <f t="shared" si="94"/>
        <v>VIA CAMILLO SBARBARO  5-</v>
      </c>
      <c r="C1443" t="str">
        <f t="shared" si="95"/>
        <v>RIV</v>
      </c>
      <c r="D1443">
        <v>27</v>
      </c>
      <c r="E1443" t="str">
        <f t="shared" si="96"/>
        <v>1002</v>
      </c>
      <c r="F1443" t="str">
        <f>"7"</f>
        <v>7</v>
      </c>
    </row>
    <row r="1444" spans="1:6">
      <c r="A1444" t="str">
        <f>"E1208-260"</f>
        <v>E1208-260</v>
      </c>
      <c r="B1444" t="str">
        <f t="shared" si="94"/>
        <v>VIA CAMILLO SBARBARO  5-</v>
      </c>
      <c r="C1444" t="str">
        <f t="shared" si="95"/>
        <v>RIV</v>
      </c>
      <c r="D1444">
        <v>27</v>
      </c>
      <c r="E1444" t="str">
        <f t="shared" si="96"/>
        <v>1002</v>
      </c>
      <c r="F1444" t="str">
        <f>"13"</f>
        <v>13</v>
      </c>
    </row>
    <row r="1445" spans="1:6">
      <c r="A1445" t="str">
        <f>"E1208-261"</f>
        <v>E1208-261</v>
      </c>
      <c r="B1445" t="str">
        <f t="shared" si="94"/>
        <v>VIA CAMILLO SBARBARO  5-</v>
      </c>
      <c r="C1445" t="str">
        <f t="shared" si="95"/>
        <v>RIV</v>
      </c>
      <c r="D1445">
        <v>27</v>
      </c>
      <c r="E1445" t="str">
        <f t="shared" si="96"/>
        <v>1002</v>
      </c>
      <c r="F1445" t="str">
        <f>"21"</f>
        <v>21</v>
      </c>
    </row>
    <row r="1446" spans="1:6">
      <c r="A1446" t="str">
        <f>"E1208-262"</f>
        <v>E1208-262</v>
      </c>
      <c r="B1446" t="str">
        <f t="shared" si="94"/>
        <v>VIA CAMILLO SBARBARO  5-</v>
      </c>
      <c r="C1446" t="str">
        <f t="shared" si="95"/>
        <v>RIV</v>
      </c>
      <c r="D1446">
        <v>27</v>
      </c>
      <c r="E1446" t="str">
        <f t="shared" si="96"/>
        <v>1002</v>
      </c>
      <c r="F1446" t="str">
        <f>"14"</f>
        <v>14</v>
      </c>
    </row>
    <row r="1447" spans="1:6">
      <c r="A1447" t="str">
        <f>"E1208-263"</f>
        <v>E1208-263</v>
      </c>
      <c r="B1447" t="str">
        <f t="shared" si="94"/>
        <v>VIA CAMILLO SBARBARO  5-</v>
      </c>
      <c r="C1447" t="str">
        <f t="shared" si="95"/>
        <v>RIV</v>
      </c>
      <c r="D1447">
        <v>27</v>
      </c>
      <c r="E1447" t="str">
        <f t="shared" si="96"/>
        <v>1002</v>
      </c>
      <c r="F1447" t="str">
        <f>"20"</f>
        <v>20</v>
      </c>
    </row>
    <row r="1448" spans="1:6">
      <c r="A1448" t="str">
        <f>"E1208-264"</f>
        <v>E1208-264</v>
      </c>
      <c r="B1448" t="str">
        <f t="shared" si="94"/>
        <v>VIA CAMILLO SBARBARO  5-</v>
      </c>
      <c r="C1448" t="str">
        <f t="shared" si="95"/>
        <v>RIV</v>
      </c>
      <c r="D1448">
        <v>27</v>
      </c>
      <c r="E1448" t="str">
        <f t="shared" si="96"/>
        <v>1002</v>
      </c>
      <c r="F1448" t="str">
        <f>"15"</f>
        <v>15</v>
      </c>
    </row>
    <row r="1449" spans="1:6">
      <c r="A1449" t="str">
        <f>"E1208-265"</f>
        <v>E1208-265</v>
      </c>
      <c r="B1449" t="str">
        <f t="shared" si="94"/>
        <v>VIA CAMILLO SBARBARO  5-</v>
      </c>
      <c r="C1449" t="str">
        <f t="shared" si="95"/>
        <v>RIV</v>
      </c>
      <c r="D1449">
        <v>27</v>
      </c>
      <c r="E1449" t="str">
        <f t="shared" si="96"/>
        <v>1002</v>
      </c>
      <c r="F1449" t="str">
        <f>"16"</f>
        <v>16</v>
      </c>
    </row>
    <row r="1450" spans="1:6">
      <c r="A1450" t="str">
        <f>"E1208-266"</f>
        <v>E1208-266</v>
      </c>
      <c r="B1450" t="str">
        <f t="shared" si="94"/>
        <v>VIA CAMILLO SBARBARO  5-</v>
      </c>
      <c r="C1450" t="str">
        <f t="shared" si="95"/>
        <v>RIV</v>
      </c>
      <c r="D1450">
        <v>27</v>
      </c>
      <c r="E1450" t="str">
        <f t="shared" si="96"/>
        <v>1002</v>
      </c>
      <c r="F1450" t="str">
        <f>"22"</f>
        <v>22</v>
      </c>
    </row>
    <row r="1451" spans="1:6">
      <c r="A1451" t="str">
        <f>"E1208-267"</f>
        <v>E1208-267</v>
      </c>
      <c r="B1451" t="str">
        <f t="shared" si="94"/>
        <v>VIA CAMILLO SBARBARO  5-</v>
      </c>
      <c r="C1451" t="str">
        <f t="shared" si="95"/>
        <v>RIV</v>
      </c>
      <c r="D1451">
        <v>27</v>
      </c>
      <c r="E1451" t="str">
        <f t="shared" si="96"/>
        <v>1002</v>
      </c>
      <c r="F1451" t="str">
        <f>"17"</f>
        <v>17</v>
      </c>
    </row>
    <row r="1452" spans="1:6">
      <c r="A1452" t="str">
        <f>"E1208-268"</f>
        <v>E1208-268</v>
      </c>
      <c r="B1452" t="str">
        <f t="shared" si="94"/>
        <v>VIA CAMILLO SBARBARO  5-</v>
      </c>
      <c r="C1452" t="str">
        <f t="shared" si="95"/>
        <v>RIV</v>
      </c>
      <c r="D1452">
        <v>27</v>
      </c>
      <c r="E1452" t="str">
        <f t="shared" si="96"/>
        <v>1002</v>
      </c>
      <c r="F1452" t="str">
        <f>"23"</f>
        <v>23</v>
      </c>
    </row>
    <row r="1453" spans="1:6">
      <c r="A1453" t="str">
        <f>"E1208-269"</f>
        <v>E1208-269</v>
      </c>
      <c r="B1453" t="str">
        <f t="shared" si="94"/>
        <v>VIA CAMILLO SBARBARO  5-</v>
      </c>
      <c r="C1453" t="str">
        <f t="shared" si="95"/>
        <v>RIV</v>
      </c>
      <c r="D1453">
        <v>27</v>
      </c>
      <c r="E1453" t="str">
        <f t="shared" si="96"/>
        <v>1002</v>
      </c>
      <c r="F1453" t="str">
        <f>"18"</f>
        <v>18</v>
      </c>
    </row>
    <row r="1454" spans="1:6">
      <c r="A1454" t="str">
        <f>"E1208-270"</f>
        <v>E1208-270</v>
      </c>
      <c r="B1454" t="str">
        <f t="shared" si="94"/>
        <v>VIA CAMILLO SBARBARO  5-</v>
      </c>
      <c r="C1454" t="str">
        <f t="shared" si="95"/>
        <v>RIV</v>
      </c>
      <c r="D1454">
        <v>27</v>
      </c>
      <c r="E1454" t="str">
        <f t="shared" si="96"/>
        <v>1002</v>
      </c>
      <c r="F1454" t="str">
        <f>"24"</f>
        <v>24</v>
      </c>
    </row>
    <row r="1455" spans="1:6">
      <c r="A1455" t="str">
        <f>"E1208-271"</f>
        <v>E1208-271</v>
      </c>
      <c r="B1455" t="str">
        <f t="shared" si="94"/>
        <v>VIA CAMILLO SBARBARO  5-</v>
      </c>
      <c r="C1455" t="str">
        <f t="shared" si="95"/>
        <v>RIV</v>
      </c>
      <c r="D1455">
        <v>27</v>
      </c>
      <c r="E1455" t="str">
        <f t="shared" si="96"/>
        <v>1002</v>
      </c>
      <c r="F1455" t="str">
        <f>"19"</f>
        <v>19</v>
      </c>
    </row>
    <row r="1456" spans="1:6">
      <c r="A1456" t="str">
        <f>"E1210-1"</f>
        <v>E1210-1</v>
      </c>
      <c r="B1456" t="str">
        <f>"VIA REMIGIO VIGLIERO  12-"</f>
        <v>VIA REMIGIO VIGLIERO  12-</v>
      </c>
      <c r="C1456" t="str">
        <f t="shared" si="95"/>
        <v>RIV</v>
      </c>
      <c r="D1456">
        <v>27</v>
      </c>
      <c r="E1456" t="str">
        <f t="shared" ref="E1456:E1475" si="97">"955"</f>
        <v>955</v>
      </c>
      <c r="F1456" t="str">
        <f>"2"</f>
        <v>2</v>
      </c>
    </row>
    <row r="1457" spans="1:6">
      <c r="A1457" t="str">
        <f>"E1210-2"</f>
        <v>E1210-2</v>
      </c>
      <c r="B1457" t="str">
        <f>"VIA REMIGIO VIGLIERO  14-"</f>
        <v>VIA REMIGIO VIGLIERO  14-</v>
      </c>
      <c r="C1457" t="str">
        <f t="shared" si="95"/>
        <v>RIV</v>
      </c>
      <c r="D1457">
        <v>27</v>
      </c>
      <c r="E1457" t="str">
        <f t="shared" si="97"/>
        <v>955</v>
      </c>
      <c r="F1457" t="str">
        <f>"3"</f>
        <v>3</v>
      </c>
    </row>
    <row r="1458" spans="1:6">
      <c r="A1458" t="str">
        <f>"E1210-4"</f>
        <v>E1210-4</v>
      </c>
      <c r="B1458" t="str">
        <f>"VIA REMIGIO VIGLIERO  18-"</f>
        <v>VIA REMIGIO VIGLIERO  18-</v>
      </c>
      <c r="C1458" t="str">
        <f t="shared" si="95"/>
        <v>RIV</v>
      </c>
      <c r="D1458">
        <v>27</v>
      </c>
      <c r="E1458" t="str">
        <f t="shared" si="97"/>
        <v>955</v>
      </c>
      <c r="F1458" t="str">
        <f>"5"</f>
        <v>5</v>
      </c>
    </row>
    <row r="1459" spans="1:6">
      <c r="A1459" t="str">
        <f>"E1210-5"</f>
        <v>E1210-5</v>
      </c>
      <c r="B1459" t="str">
        <f>"VIA REMIGIO VIGLIERO  22-"</f>
        <v>VIA REMIGIO VIGLIERO  22-</v>
      </c>
      <c r="C1459" t="str">
        <f t="shared" si="95"/>
        <v>RIV</v>
      </c>
      <c r="D1459">
        <v>27</v>
      </c>
      <c r="E1459" t="str">
        <f t="shared" si="97"/>
        <v>955</v>
      </c>
      <c r="F1459" t="str">
        <f>"7"</f>
        <v>7</v>
      </c>
    </row>
    <row r="1460" spans="1:6">
      <c r="A1460" t="str">
        <f>"E1210-7"</f>
        <v>E1210-7</v>
      </c>
      <c r="B1460" t="str">
        <f>"VIA REMIGIO VIGLIERO  26-"</f>
        <v>VIA REMIGIO VIGLIERO  26-</v>
      </c>
      <c r="C1460" t="str">
        <f t="shared" si="95"/>
        <v>RIV</v>
      </c>
      <c r="D1460">
        <v>27</v>
      </c>
      <c r="E1460" t="str">
        <f t="shared" si="97"/>
        <v>955</v>
      </c>
      <c r="F1460" t="str">
        <f>"9"</f>
        <v>9</v>
      </c>
    </row>
    <row r="1461" spans="1:6">
      <c r="A1461" t="str">
        <f>"E1210-8"</f>
        <v>E1210-8</v>
      </c>
      <c r="B1461" t="str">
        <f>"VIA REMIGIO VIGLIERO  10-"</f>
        <v>VIA REMIGIO VIGLIERO  10-</v>
      </c>
      <c r="C1461" t="str">
        <f t="shared" si="95"/>
        <v>RIV</v>
      </c>
      <c r="D1461">
        <v>27</v>
      </c>
      <c r="E1461" t="str">
        <f t="shared" si="97"/>
        <v>955</v>
      </c>
      <c r="F1461" t="str">
        <f>"13"</f>
        <v>13</v>
      </c>
    </row>
    <row r="1462" spans="1:6">
      <c r="A1462" t="str">
        <f>"E1210-9"</f>
        <v>E1210-9</v>
      </c>
      <c r="B1462" t="str">
        <f>"VIA REMIGIO VIGLIERO  10-"</f>
        <v>VIA REMIGIO VIGLIERO  10-</v>
      </c>
      <c r="C1462" t="str">
        <f t="shared" si="95"/>
        <v>RIV</v>
      </c>
      <c r="D1462">
        <v>27</v>
      </c>
      <c r="E1462" t="str">
        <f t="shared" si="97"/>
        <v>955</v>
      </c>
      <c r="F1462" t="str">
        <f>"14"</f>
        <v>14</v>
      </c>
    </row>
    <row r="1463" spans="1:6">
      <c r="A1463" t="str">
        <f>"E1210-11"</f>
        <v>E1210-11</v>
      </c>
      <c r="B1463" t="str">
        <f>"VIA REMIGIO VIGLIERO  10-"</f>
        <v>VIA REMIGIO VIGLIERO  10-</v>
      </c>
      <c r="C1463" t="str">
        <f t="shared" si="95"/>
        <v>RIV</v>
      </c>
      <c r="D1463">
        <v>27</v>
      </c>
      <c r="E1463" t="str">
        <f t="shared" si="97"/>
        <v>955</v>
      </c>
      <c r="F1463" t="str">
        <f>"17"</f>
        <v>17</v>
      </c>
    </row>
    <row r="1464" spans="1:6">
      <c r="A1464" t="str">
        <f>"E1210-13"</f>
        <v>E1210-13</v>
      </c>
      <c r="B1464" t="str">
        <f>"VIA REMIGIO VIGLIERO  2-"</f>
        <v>VIA REMIGIO VIGLIERO  2-</v>
      </c>
      <c r="C1464" t="str">
        <f t="shared" si="95"/>
        <v>RIV</v>
      </c>
      <c r="D1464">
        <v>27</v>
      </c>
      <c r="E1464" t="str">
        <f t="shared" si="97"/>
        <v>955</v>
      </c>
      <c r="F1464" t="str">
        <f>"27"</f>
        <v>27</v>
      </c>
    </row>
    <row r="1465" spans="1:6">
      <c r="A1465" t="str">
        <f>"E1210-14"</f>
        <v>E1210-14</v>
      </c>
      <c r="B1465" t="str">
        <f>"VIA REMIGIO VIGLIERO  2-"</f>
        <v>VIA REMIGIO VIGLIERO  2-</v>
      </c>
      <c r="C1465" t="str">
        <f t="shared" si="95"/>
        <v>RIV</v>
      </c>
      <c r="D1465">
        <v>27</v>
      </c>
      <c r="E1465" t="str">
        <f t="shared" si="97"/>
        <v>955</v>
      </c>
      <c r="F1465" t="str">
        <f>"28"</f>
        <v>28</v>
      </c>
    </row>
    <row r="1466" spans="1:6">
      <c r="A1466" t="str">
        <f>"E1210-15"</f>
        <v>E1210-15</v>
      </c>
      <c r="B1466" t="str">
        <f>"VIA REMIGIO VIGLIERO  2-"</f>
        <v>VIA REMIGIO VIGLIERO  2-</v>
      </c>
      <c r="C1466" t="str">
        <f t="shared" si="95"/>
        <v>RIV</v>
      </c>
      <c r="D1466">
        <v>27</v>
      </c>
      <c r="E1466" t="str">
        <f t="shared" si="97"/>
        <v>955</v>
      </c>
      <c r="F1466" t="str">
        <f>"44"</f>
        <v>44</v>
      </c>
    </row>
    <row r="1467" spans="1:6">
      <c r="A1467" t="str">
        <f>"E1210-16"</f>
        <v>E1210-16</v>
      </c>
      <c r="B1467" t="str">
        <f>"VIA REMIGIO VIGLIERO  2-"</f>
        <v>VIA REMIGIO VIGLIERO  2-</v>
      </c>
      <c r="C1467" t="str">
        <f t="shared" si="95"/>
        <v>RIV</v>
      </c>
      <c r="D1467">
        <v>27</v>
      </c>
      <c r="E1467" t="str">
        <f t="shared" si="97"/>
        <v>955</v>
      </c>
      <c r="F1467" t="str">
        <f>"58"</f>
        <v>58</v>
      </c>
    </row>
    <row r="1468" spans="1:6">
      <c r="A1468" t="str">
        <f>"E1210-19"</f>
        <v>E1210-19</v>
      </c>
      <c r="B1468" t="str">
        <f t="shared" ref="B1468:B1475" si="98">"VIA REMIGIO VIGLIERO  4-"</f>
        <v>VIA REMIGIO VIGLIERO  4-</v>
      </c>
      <c r="C1468" t="str">
        <f t="shared" si="95"/>
        <v>RIV</v>
      </c>
      <c r="D1468">
        <v>27</v>
      </c>
      <c r="E1468" t="str">
        <f t="shared" si="97"/>
        <v>955</v>
      </c>
      <c r="F1468" t="str">
        <f>"30"</f>
        <v>30</v>
      </c>
    </row>
    <row r="1469" spans="1:6">
      <c r="A1469" t="str">
        <f>"E1210-20"</f>
        <v>E1210-20</v>
      </c>
      <c r="B1469" t="str">
        <f t="shared" si="98"/>
        <v>VIA REMIGIO VIGLIERO  4-</v>
      </c>
      <c r="C1469" t="str">
        <f t="shared" si="95"/>
        <v>RIV</v>
      </c>
      <c r="D1469">
        <v>27</v>
      </c>
      <c r="E1469" t="str">
        <f t="shared" si="97"/>
        <v>955</v>
      </c>
      <c r="F1469" t="str">
        <f>"43"</f>
        <v>43</v>
      </c>
    </row>
    <row r="1470" spans="1:6">
      <c r="A1470" t="str">
        <f>"E1210-21"</f>
        <v>E1210-21</v>
      </c>
      <c r="B1470" t="str">
        <f t="shared" si="98"/>
        <v>VIA REMIGIO VIGLIERO  4-</v>
      </c>
      <c r="C1470" t="str">
        <f t="shared" si="95"/>
        <v>RIV</v>
      </c>
      <c r="D1470">
        <v>27</v>
      </c>
      <c r="E1470" t="str">
        <f t="shared" si="97"/>
        <v>955</v>
      </c>
      <c r="F1470" t="str">
        <f>"46"</f>
        <v>46</v>
      </c>
    </row>
    <row r="1471" spans="1:6">
      <c r="A1471" t="str">
        <f>"E1210-22"</f>
        <v>E1210-22</v>
      </c>
      <c r="B1471" t="str">
        <f t="shared" si="98"/>
        <v>VIA REMIGIO VIGLIERO  4-</v>
      </c>
      <c r="C1471" t="str">
        <f t="shared" si="95"/>
        <v>RIV</v>
      </c>
      <c r="D1471">
        <v>27</v>
      </c>
      <c r="E1471" t="str">
        <f t="shared" si="97"/>
        <v>955</v>
      </c>
      <c r="F1471" t="str">
        <f>"52"</f>
        <v>52</v>
      </c>
    </row>
    <row r="1472" spans="1:6">
      <c r="A1472" t="str">
        <f>"E1210-23"</f>
        <v>E1210-23</v>
      </c>
      <c r="B1472" t="str">
        <f t="shared" si="98"/>
        <v>VIA REMIGIO VIGLIERO  4-</v>
      </c>
      <c r="C1472" t="str">
        <f t="shared" si="95"/>
        <v>RIV</v>
      </c>
      <c r="D1472">
        <v>27</v>
      </c>
      <c r="E1472" t="str">
        <f t="shared" si="97"/>
        <v>955</v>
      </c>
      <c r="F1472" t="str">
        <f>"55"</f>
        <v>55</v>
      </c>
    </row>
    <row r="1473" spans="1:6">
      <c r="A1473" t="str">
        <f>"E1210-26"</f>
        <v>E1210-26</v>
      </c>
      <c r="B1473" t="str">
        <f t="shared" si="98"/>
        <v>VIA REMIGIO VIGLIERO  4-</v>
      </c>
      <c r="C1473" t="str">
        <f t="shared" si="95"/>
        <v>RIV</v>
      </c>
      <c r="D1473">
        <v>27</v>
      </c>
      <c r="E1473" t="str">
        <f t="shared" si="97"/>
        <v>955</v>
      </c>
      <c r="F1473" t="str">
        <f>"60"</f>
        <v>60</v>
      </c>
    </row>
    <row r="1474" spans="1:6">
      <c r="A1474" t="str">
        <f>"E1210-27"</f>
        <v>E1210-27</v>
      </c>
      <c r="B1474" t="str">
        <f t="shared" si="98"/>
        <v>VIA REMIGIO VIGLIERO  4-</v>
      </c>
      <c r="C1474" t="str">
        <f t="shared" si="95"/>
        <v>RIV</v>
      </c>
      <c r="D1474">
        <v>27</v>
      </c>
      <c r="E1474" t="str">
        <f t="shared" si="97"/>
        <v>955</v>
      </c>
      <c r="F1474" t="str">
        <f>"63"</f>
        <v>63</v>
      </c>
    </row>
    <row r="1475" spans="1:6">
      <c r="A1475" t="str">
        <f>"E1210-28"</f>
        <v>E1210-28</v>
      </c>
      <c r="B1475" t="str">
        <f t="shared" si="98"/>
        <v>VIA REMIGIO VIGLIERO  4-</v>
      </c>
      <c r="C1475" t="str">
        <f t="shared" si="95"/>
        <v>RIV</v>
      </c>
      <c r="D1475">
        <v>27</v>
      </c>
      <c r="E1475" t="str">
        <f t="shared" si="97"/>
        <v>955</v>
      </c>
      <c r="F1475" t="str">
        <f>"64"</f>
        <v>64</v>
      </c>
    </row>
    <row r="1476" spans="1:6">
      <c r="A1476" t="str">
        <f>"E1211-1"</f>
        <v>E1211-1</v>
      </c>
      <c r="B1476" t="str">
        <f>"VIA PASQUALE PASTORINO  8-"</f>
        <v>VIA PASQUALE PASTORINO  8-</v>
      </c>
      <c r="C1476" t="str">
        <f>"4"</f>
        <v>4</v>
      </c>
      <c r="D1476">
        <v>18</v>
      </c>
      <c r="E1476" t="str">
        <f>"10"</f>
        <v>10</v>
      </c>
      <c r="F1476" t="str">
        <f>"0000"</f>
        <v>0000</v>
      </c>
    </row>
    <row r="1477" spans="1:6">
      <c r="C1477" t="str">
        <f>"4"</f>
        <v>4</v>
      </c>
      <c r="D1477">
        <v>18</v>
      </c>
      <c r="E1477" t="str">
        <f>"11"</f>
        <v>11</v>
      </c>
      <c r="F1477" t="str">
        <f>"0000"</f>
        <v>0000</v>
      </c>
    </row>
    <row r="1478" spans="1:6">
      <c r="A1478" t="str">
        <f>"E1212-13"</f>
        <v>E1212-13</v>
      </c>
      <c r="B1478" t="str">
        <f>"VIA MONFENERA  9A-"</f>
        <v>VIA MONFENERA  9A-</v>
      </c>
      <c r="C1478" t="str">
        <f t="shared" ref="C1478:C1484" si="99">"BOL"</f>
        <v>BOL</v>
      </c>
      <c r="D1478">
        <v>16</v>
      </c>
      <c r="E1478" t="str">
        <f t="shared" ref="E1478:E1484" si="100">"451"</f>
        <v>451</v>
      </c>
      <c r="F1478" t="str">
        <f>"15"</f>
        <v>15</v>
      </c>
    </row>
    <row r="1479" spans="1:6">
      <c r="A1479" t="str">
        <f>"E1212-19"</f>
        <v>E1212-19</v>
      </c>
      <c r="B1479" t="str">
        <f>"VIA MONFENERA  9A-"</f>
        <v>VIA MONFENERA  9A-</v>
      </c>
      <c r="C1479" t="str">
        <f t="shared" si="99"/>
        <v>BOL</v>
      </c>
      <c r="D1479">
        <v>16</v>
      </c>
      <c r="E1479" t="str">
        <f t="shared" si="100"/>
        <v>451</v>
      </c>
      <c r="F1479" t="str">
        <f>"40"</f>
        <v>40</v>
      </c>
    </row>
    <row r="1480" spans="1:6">
      <c r="A1480" t="str">
        <f>"E1212-21"</f>
        <v>E1212-21</v>
      </c>
      <c r="B1480" t="str">
        <f>"VIA MONFENERA  9B-"</f>
        <v>VIA MONFENERA  9B-</v>
      </c>
      <c r="C1480" t="str">
        <f t="shared" si="99"/>
        <v>BOL</v>
      </c>
      <c r="D1480">
        <v>16</v>
      </c>
      <c r="E1480" t="str">
        <f t="shared" si="100"/>
        <v>451</v>
      </c>
      <c r="F1480" t="str">
        <f>"38"</f>
        <v>38</v>
      </c>
    </row>
    <row r="1481" spans="1:6">
      <c r="A1481" t="str">
        <f>"E1212-25"</f>
        <v>E1212-25</v>
      </c>
      <c r="B1481" t="str">
        <f>"VIA MONFENERA  9B-"</f>
        <v>VIA MONFENERA  9B-</v>
      </c>
      <c r="C1481" t="str">
        <f t="shared" si="99"/>
        <v>BOL</v>
      </c>
      <c r="D1481">
        <v>16</v>
      </c>
      <c r="E1481" t="str">
        <f t="shared" si="100"/>
        <v>451</v>
      </c>
      <c r="F1481" t="str">
        <f>"25"</f>
        <v>25</v>
      </c>
    </row>
    <row r="1482" spans="1:6">
      <c r="A1482" t="str">
        <f>"E1212-26"</f>
        <v>E1212-26</v>
      </c>
      <c r="B1482" t="str">
        <f>"VIA MONFENERA  9B-"</f>
        <v>VIA MONFENERA  9B-</v>
      </c>
      <c r="C1482" t="str">
        <f t="shared" si="99"/>
        <v>BOL</v>
      </c>
      <c r="D1482">
        <v>16</v>
      </c>
      <c r="E1482" t="str">
        <f t="shared" si="100"/>
        <v>451</v>
      </c>
      <c r="F1482" t="str">
        <f>"26"</f>
        <v>26</v>
      </c>
    </row>
    <row r="1483" spans="1:6">
      <c r="A1483" t="str">
        <f>"E1212-34"</f>
        <v>E1212-34</v>
      </c>
      <c r="B1483" t="str">
        <f>"VIA MONFENERA  9B-"</f>
        <v>VIA MONFENERA  9B-</v>
      </c>
      <c r="C1483" t="str">
        <f t="shared" si="99"/>
        <v>BOL</v>
      </c>
      <c r="D1483">
        <v>16</v>
      </c>
      <c r="E1483" t="str">
        <f t="shared" si="100"/>
        <v>451</v>
      </c>
      <c r="F1483" t="str">
        <f>"36"</f>
        <v>36</v>
      </c>
    </row>
    <row r="1484" spans="1:6">
      <c r="A1484" t="str">
        <f>"E1212-35"</f>
        <v>E1212-35</v>
      </c>
      <c r="B1484" t="str">
        <f>"VIA MONFENERA  9B-"</f>
        <v>VIA MONFENERA  9B-</v>
      </c>
      <c r="C1484" t="str">
        <f t="shared" si="99"/>
        <v>BOL</v>
      </c>
      <c r="D1484">
        <v>16</v>
      </c>
      <c r="E1484" t="str">
        <f t="shared" si="100"/>
        <v>451</v>
      </c>
      <c r="F1484" t="str">
        <f>"47"</f>
        <v>47</v>
      </c>
    </row>
    <row r="1485" spans="1:6">
      <c r="A1485" t="str">
        <f>"E1213-2"</f>
        <v>E1213-2</v>
      </c>
      <c r="B1485" t="str">
        <f>"VIA ALLA COSTA DI BEGATO  2-"</f>
        <v>VIA ALLA COSTA DI BEGATO  2-</v>
      </c>
      <c r="C1485" t="str">
        <f t="shared" ref="C1485:C1511" si="101">"RIV"</f>
        <v>RIV</v>
      </c>
      <c r="D1485">
        <v>27</v>
      </c>
      <c r="E1485" t="str">
        <f t="shared" ref="E1485:E1496" si="102">"945"</f>
        <v>945</v>
      </c>
      <c r="F1485" t="str">
        <f>"25"</f>
        <v>25</v>
      </c>
    </row>
    <row r="1486" spans="1:6">
      <c r="A1486" t="str">
        <f>"E1213-3"</f>
        <v>E1213-3</v>
      </c>
      <c r="B1486" t="str">
        <f>"VIA ALLA COSTA DI BEGATO  2-"</f>
        <v>VIA ALLA COSTA DI BEGATO  2-</v>
      </c>
      <c r="C1486" t="str">
        <f t="shared" si="101"/>
        <v>RIV</v>
      </c>
      <c r="D1486">
        <v>27</v>
      </c>
      <c r="E1486" t="str">
        <f t="shared" si="102"/>
        <v>945</v>
      </c>
      <c r="F1486" t="str">
        <f>"26"</f>
        <v>26</v>
      </c>
    </row>
    <row r="1487" spans="1:6">
      <c r="A1487" t="str">
        <f>"E1213-4"</f>
        <v>E1213-4</v>
      </c>
      <c r="B1487" t="str">
        <f t="shared" ref="B1487:B1493" si="103">"VIA ALLA COSTA DI BEGATO  2A-"</f>
        <v>VIA ALLA COSTA DI BEGATO  2A-</v>
      </c>
      <c r="C1487" t="str">
        <f t="shared" si="101"/>
        <v>RIV</v>
      </c>
      <c r="D1487">
        <v>27</v>
      </c>
      <c r="E1487" t="str">
        <f t="shared" si="102"/>
        <v>945</v>
      </c>
      <c r="F1487" t="str">
        <f>"23"</f>
        <v>23</v>
      </c>
    </row>
    <row r="1488" spans="1:6">
      <c r="A1488" t="str">
        <f>"E1213-5"</f>
        <v>E1213-5</v>
      </c>
      <c r="B1488" t="str">
        <f t="shared" si="103"/>
        <v>VIA ALLA COSTA DI BEGATO  2A-</v>
      </c>
      <c r="C1488" t="str">
        <f t="shared" si="101"/>
        <v>RIV</v>
      </c>
      <c r="D1488">
        <v>27</v>
      </c>
      <c r="E1488" t="str">
        <f t="shared" si="102"/>
        <v>945</v>
      </c>
      <c r="F1488" t="str">
        <f>"24"</f>
        <v>24</v>
      </c>
    </row>
    <row r="1489" spans="1:6">
      <c r="A1489" t="str">
        <f>"E1213-6"</f>
        <v>E1213-6</v>
      </c>
      <c r="B1489" t="str">
        <f t="shared" si="103"/>
        <v>VIA ALLA COSTA DI BEGATO  2A-</v>
      </c>
      <c r="C1489" t="str">
        <f t="shared" si="101"/>
        <v>RIV</v>
      </c>
      <c r="D1489">
        <v>27</v>
      </c>
      <c r="E1489" t="str">
        <f t="shared" si="102"/>
        <v>945</v>
      </c>
      <c r="F1489" t="str">
        <f>"27"</f>
        <v>27</v>
      </c>
    </row>
    <row r="1490" spans="1:6">
      <c r="A1490" t="str">
        <f>"E1213-7"</f>
        <v>E1213-7</v>
      </c>
      <c r="B1490" t="str">
        <f t="shared" si="103"/>
        <v>VIA ALLA COSTA DI BEGATO  2A-</v>
      </c>
      <c r="C1490" t="str">
        <f t="shared" si="101"/>
        <v>RIV</v>
      </c>
      <c r="D1490">
        <v>27</v>
      </c>
      <c r="E1490" t="str">
        <f t="shared" si="102"/>
        <v>945</v>
      </c>
      <c r="F1490" t="str">
        <f>"28"</f>
        <v>28</v>
      </c>
    </row>
    <row r="1491" spans="1:6">
      <c r="A1491" t="str">
        <f>"E1213-8"</f>
        <v>E1213-8</v>
      </c>
      <c r="B1491" t="str">
        <f t="shared" si="103"/>
        <v>VIA ALLA COSTA DI BEGATO  2A-</v>
      </c>
      <c r="C1491" t="str">
        <f t="shared" si="101"/>
        <v>RIV</v>
      </c>
      <c r="D1491">
        <v>27</v>
      </c>
      <c r="E1491" t="str">
        <f t="shared" si="102"/>
        <v>945</v>
      </c>
      <c r="F1491" t="str">
        <f>"29"</f>
        <v>29</v>
      </c>
    </row>
    <row r="1492" spans="1:6">
      <c r="A1492" t="str">
        <f>"E1213-9"</f>
        <v>E1213-9</v>
      </c>
      <c r="B1492" t="str">
        <f t="shared" si="103"/>
        <v>VIA ALLA COSTA DI BEGATO  2A-</v>
      </c>
      <c r="C1492" t="str">
        <f t="shared" si="101"/>
        <v>RIV</v>
      </c>
      <c r="D1492">
        <v>27</v>
      </c>
      <c r="E1492" t="str">
        <f t="shared" si="102"/>
        <v>945</v>
      </c>
      <c r="F1492" t="str">
        <f>"45"</f>
        <v>45</v>
      </c>
    </row>
    <row r="1493" spans="1:6">
      <c r="A1493" t="str">
        <f>"E1213-10"</f>
        <v>E1213-10</v>
      </c>
      <c r="B1493" t="str">
        <f t="shared" si="103"/>
        <v>VIA ALLA COSTA DI BEGATO  2A-</v>
      </c>
      <c r="C1493" t="str">
        <f t="shared" si="101"/>
        <v>RIV</v>
      </c>
      <c r="D1493">
        <v>27</v>
      </c>
      <c r="E1493" t="str">
        <f t="shared" si="102"/>
        <v>945</v>
      </c>
      <c r="F1493" t="str">
        <f>"34"</f>
        <v>34</v>
      </c>
    </row>
    <row r="1494" spans="1:6">
      <c r="A1494" t="str">
        <f>"E1213-17"</f>
        <v>E1213-17</v>
      </c>
      <c r="B1494" t="str">
        <f>"VIA FELICE MARITANO  158-"</f>
        <v>VIA FELICE MARITANO  158-</v>
      </c>
      <c r="C1494" t="str">
        <f t="shared" si="101"/>
        <v>RIV</v>
      </c>
      <c r="D1494">
        <v>27</v>
      </c>
      <c r="E1494" t="str">
        <f t="shared" si="102"/>
        <v>945</v>
      </c>
      <c r="F1494" t="str">
        <f>"12"</f>
        <v>12</v>
      </c>
    </row>
    <row r="1495" spans="1:6">
      <c r="A1495" t="str">
        <f>"E1213-18"</f>
        <v>E1213-18</v>
      </c>
      <c r="B1495" t="str">
        <f>"VIA FELICE MARITANO  158-"</f>
        <v>VIA FELICE MARITANO  158-</v>
      </c>
      <c r="C1495" t="str">
        <f t="shared" si="101"/>
        <v>RIV</v>
      </c>
      <c r="D1495">
        <v>27</v>
      </c>
      <c r="E1495" t="str">
        <f t="shared" si="102"/>
        <v>945</v>
      </c>
      <c r="F1495" t="str">
        <f>"13"</f>
        <v>13</v>
      </c>
    </row>
    <row r="1496" spans="1:6">
      <c r="A1496" t="str">
        <f>"E1213-20"</f>
        <v>E1213-20</v>
      </c>
      <c r="B1496" t="str">
        <f>"VIA FELICE MARITANO  158-"</f>
        <v>VIA FELICE MARITANO  158-</v>
      </c>
      <c r="C1496" t="str">
        <f t="shared" si="101"/>
        <v>RIV</v>
      </c>
      <c r="D1496">
        <v>27</v>
      </c>
      <c r="E1496" t="str">
        <f t="shared" si="102"/>
        <v>945</v>
      </c>
      <c r="F1496" t="str">
        <f>"18"</f>
        <v>18</v>
      </c>
    </row>
    <row r="1497" spans="1:6">
      <c r="A1497" t="str">
        <f>"E1214-1"</f>
        <v>E1214-1</v>
      </c>
      <c r="B1497" t="str">
        <f t="shared" ref="B1497:B1507" si="104">"VIA CESARE PEDRINI  50-"</f>
        <v>VIA CESARE PEDRINI  50-</v>
      </c>
      <c r="C1497" t="str">
        <f t="shared" si="101"/>
        <v>RIV</v>
      </c>
      <c r="D1497">
        <v>27</v>
      </c>
      <c r="E1497" t="str">
        <f t="shared" ref="E1497:E1511" si="105">"555"</f>
        <v>555</v>
      </c>
      <c r="F1497" t="str">
        <f>"71"</f>
        <v>71</v>
      </c>
    </row>
    <row r="1498" spans="1:6">
      <c r="A1498" t="str">
        <f>"E1214-2"</f>
        <v>E1214-2</v>
      </c>
      <c r="B1498" t="str">
        <f t="shared" si="104"/>
        <v>VIA CESARE PEDRINI  50-</v>
      </c>
      <c r="C1498" t="str">
        <f t="shared" si="101"/>
        <v>RIV</v>
      </c>
      <c r="D1498">
        <v>27</v>
      </c>
      <c r="E1498" t="str">
        <f t="shared" si="105"/>
        <v>555</v>
      </c>
      <c r="F1498" t="str">
        <f>"72"</f>
        <v>72</v>
      </c>
    </row>
    <row r="1499" spans="1:6">
      <c r="A1499" t="str">
        <f>"E1214-3"</f>
        <v>E1214-3</v>
      </c>
      <c r="B1499" t="str">
        <f t="shared" si="104"/>
        <v>VIA CESARE PEDRINI  50-</v>
      </c>
      <c r="C1499" t="str">
        <f t="shared" si="101"/>
        <v>RIV</v>
      </c>
      <c r="D1499">
        <v>27</v>
      </c>
      <c r="E1499" t="str">
        <f t="shared" si="105"/>
        <v>555</v>
      </c>
      <c r="F1499" t="str">
        <f>"73"</f>
        <v>73</v>
      </c>
    </row>
    <row r="1500" spans="1:6">
      <c r="A1500" t="str">
        <f>"E1214-4"</f>
        <v>E1214-4</v>
      </c>
      <c r="B1500" t="str">
        <f t="shared" si="104"/>
        <v>VIA CESARE PEDRINI  50-</v>
      </c>
      <c r="C1500" t="str">
        <f t="shared" si="101"/>
        <v>RIV</v>
      </c>
      <c r="D1500">
        <v>27</v>
      </c>
      <c r="E1500" t="str">
        <f t="shared" si="105"/>
        <v>555</v>
      </c>
      <c r="F1500" t="str">
        <f>"74"</f>
        <v>74</v>
      </c>
    </row>
    <row r="1501" spans="1:6">
      <c r="A1501" t="str">
        <f>"E1214-5"</f>
        <v>E1214-5</v>
      </c>
      <c r="B1501" t="str">
        <f t="shared" si="104"/>
        <v>VIA CESARE PEDRINI  50-</v>
      </c>
      <c r="C1501" t="str">
        <f t="shared" si="101"/>
        <v>RIV</v>
      </c>
      <c r="D1501">
        <v>27</v>
      </c>
      <c r="E1501" t="str">
        <f t="shared" si="105"/>
        <v>555</v>
      </c>
      <c r="F1501" t="str">
        <f>"75"</f>
        <v>75</v>
      </c>
    </row>
    <row r="1502" spans="1:6">
      <c r="A1502" t="str">
        <f>"E1214-6"</f>
        <v>E1214-6</v>
      </c>
      <c r="B1502" t="str">
        <f t="shared" si="104"/>
        <v>VIA CESARE PEDRINI  50-</v>
      </c>
      <c r="C1502" t="str">
        <f t="shared" si="101"/>
        <v>RIV</v>
      </c>
      <c r="D1502">
        <v>27</v>
      </c>
      <c r="E1502" t="str">
        <f t="shared" si="105"/>
        <v>555</v>
      </c>
      <c r="F1502" t="str">
        <f>"76"</f>
        <v>76</v>
      </c>
    </row>
    <row r="1503" spans="1:6">
      <c r="A1503" t="str">
        <f>"E1214-7"</f>
        <v>E1214-7</v>
      </c>
      <c r="B1503" t="str">
        <f t="shared" si="104"/>
        <v>VIA CESARE PEDRINI  50-</v>
      </c>
      <c r="C1503" t="str">
        <f t="shared" si="101"/>
        <v>RIV</v>
      </c>
      <c r="D1503">
        <v>27</v>
      </c>
      <c r="E1503" t="str">
        <f t="shared" si="105"/>
        <v>555</v>
      </c>
      <c r="F1503" t="str">
        <f>"77"</f>
        <v>77</v>
      </c>
    </row>
    <row r="1504" spans="1:6">
      <c r="A1504" t="str">
        <f>"E1214-9"</f>
        <v>E1214-9</v>
      </c>
      <c r="B1504" t="str">
        <f t="shared" si="104"/>
        <v>VIA CESARE PEDRINI  50-</v>
      </c>
      <c r="C1504" t="str">
        <f t="shared" si="101"/>
        <v>RIV</v>
      </c>
      <c r="D1504">
        <v>27</v>
      </c>
      <c r="E1504" t="str">
        <f t="shared" si="105"/>
        <v>555</v>
      </c>
      <c r="F1504" t="str">
        <f>"79"</f>
        <v>79</v>
      </c>
    </row>
    <row r="1505" spans="1:6">
      <c r="A1505" t="str">
        <f>"E1214-10"</f>
        <v>E1214-10</v>
      </c>
      <c r="B1505" t="str">
        <f t="shared" si="104"/>
        <v>VIA CESARE PEDRINI  50-</v>
      </c>
      <c r="C1505" t="str">
        <f t="shared" si="101"/>
        <v>RIV</v>
      </c>
      <c r="D1505">
        <v>27</v>
      </c>
      <c r="E1505" t="str">
        <f t="shared" si="105"/>
        <v>555</v>
      </c>
      <c r="F1505" t="str">
        <f>"80"</f>
        <v>80</v>
      </c>
    </row>
    <row r="1506" spans="1:6">
      <c r="A1506" t="str">
        <f>"E1214-11"</f>
        <v>E1214-11</v>
      </c>
      <c r="B1506" t="str">
        <f t="shared" si="104"/>
        <v>VIA CESARE PEDRINI  50-</v>
      </c>
      <c r="C1506" t="str">
        <f t="shared" si="101"/>
        <v>RIV</v>
      </c>
      <c r="D1506">
        <v>27</v>
      </c>
      <c r="E1506" t="str">
        <f t="shared" si="105"/>
        <v>555</v>
      </c>
      <c r="F1506" t="str">
        <f>"81"</f>
        <v>81</v>
      </c>
    </row>
    <row r="1507" spans="1:6">
      <c r="A1507" t="str">
        <f>"E1214-12"</f>
        <v>E1214-12</v>
      </c>
      <c r="B1507" t="str">
        <f t="shared" si="104"/>
        <v>VIA CESARE PEDRINI  50-</v>
      </c>
      <c r="C1507" t="str">
        <f t="shared" si="101"/>
        <v>RIV</v>
      </c>
      <c r="D1507">
        <v>27</v>
      </c>
      <c r="E1507" t="str">
        <f t="shared" si="105"/>
        <v>555</v>
      </c>
      <c r="F1507" t="str">
        <f>"82"</f>
        <v>82</v>
      </c>
    </row>
    <row r="1508" spans="1:6">
      <c r="A1508" t="str">
        <f>"E1214-14"</f>
        <v>E1214-14</v>
      </c>
      <c r="B1508" t="str">
        <f>"VIA CESARE PEDRINI  52-"</f>
        <v>VIA CESARE PEDRINI  52-</v>
      </c>
      <c r="C1508" t="str">
        <f t="shared" si="101"/>
        <v>RIV</v>
      </c>
      <c r="D1508">
        <v>27</v>
      </c>
      <c r="E1508" t="str">
        <f t="shared" si="105"/>
        <v>555</v>
      </c>
      <c r="F1508" t="str">
        <f>"84"</f>
        <v>84</v>
      </c>
    </row>
    <row r="1509" spans="1:6">
      <c r="A1509" t="str">
        <f>"E1214-15"</f>
        <v>E1214-15</v>
      </c>
      <c r="B1509" t="str">
        <f>"VIA CESARE PEDRINI  52-"</f>
        <v>VIA CESARE PEDRINI  52-</v>
      </c>
      <c r="C1509" t="str">
        <f t="shared" si="101"/>
        <v>RIV</v>
      </c>
      <c r="D1509">
        <v>27</v>
      </c>
      <c r="E1509" t="str">
        <f t="shared" si="105"/>
        <v>555</v>
      </c>
      <c r="F1509" t="str">
        <f>"85"</f>
        <v>85</v>
      </c>
    </row>
    <row r="1510" spans="1:6">
      <c r="A1510" t="str">
        <f>"E1214-16"</f>
        <v>E1214-16</v>
      </c>
      <c r="B1510" t="str">
        <f>"VIA CESARE PEDRINI  52-"</f>
        <v>VIA CESARE PEDRINI  52-</v>
      </c>
      <c r="C1510" t="str">
        <f t="shared" si="101"/>
        <v>RIV</v>
      </c>
      <c r="D1510">
        <v>27</v>
      </c>
      <c r="E1510" t="str">
        <f t="shared" si="105"/>
        <v>555</v>
      </c>
      <c r="F1510" t="str">
        <f>"86"</f>
        <v>86</v>
      </c>
    </row>
    <row r="1511" spans="1:6">
      <c r="A1511" t="str">
        <f>"E1214-17"</f>
        <v>E1214-17</v>
      </c>
      <c r="B1511" t="str">
        <f>"VIA CESARE PEDRINI  52-"</f>
        <v>VIA CESARE PEDRINI  52-</v>
      </c>
      <c r="C1511" t="str">
        <f t="shared" si="101"/>
        <v>RIV</v>
      </c>
      <c r="D1511">
        <v>27</v>
      </c>
      <c r="E1511" t="str">
        <f t="shared" si="105"/>
        <v>555</v>
      </c>
      <c r="F1511" t="str">
        <f>"87"</f>
        <v>87</v>
      </c>
    </row>
    <row r="1512" spans="1:6">
      <c r="A1512" t="str">
        <f>"E1215-1"</f>
        <v>E1215-1</v>
      </c>
      <c r="B1512" t="str">
        <f>"GIARDINI FRATELLI VERARDO  2-"</f>
        <v>GIARDINI FRATELLI VERARDO  2-</v>
      </c>
      <c r="C1512" t="str">
        <f>"PON"</f>
        <v>PON</v>
      </c>
      <c r="D1512">
        <v>4</v>
      </c>
      <c r="E1512" t="str">
        <f>"167"</f>
        <v>167</v>
      </c>
      <c r="F1512" t="str">
        <f>"1"</f>
        <v>1</v>
      </c>
    </row>
    <row r="1513" spans="1:6">
      <c r="A1513" t="str">
        <f>"E1215-2"</f>
        <v>E1215-2</v>
      </c>
      <c r="B1513" t="str">
        <f>"VIA BEATA CHIARA  6-"</f>
        <v>VIA BEATA CHIARA  6-</v>
      </c>
      <c r="C1513" t="str">
        <f>"PON"</f>
        <v>PON</v>
      </c>
      <c r="D1513">
        <v>4</v>
      </c>
      <c r="E1513" t="str">
        <f>"167"</f>
        <v>167</v>
      </c>
      <c r="F1513" t="str">
        <f>"2"</f>
        <v>2</v>
      </c>
    </row>
    <row r="1514" spans="1:6">
      <c r="A1514" t="str">
        <f>"E1215-3"</f>
        <v>E1215-3</v>
      </c>
      <c r="B1514" t="str">
        <f>"GIARDINI FRATELLI VERARDO  2-"</f>
        <v>GIARDINI FRATELLI VERARDO  2-</v>
      </c>
      <c r="C1514" t="str">
        <f>"PON"</f>
        <v>PON</v>
      </c>
      <c r="D1514">
        <v>4</v>
      </c>
      <c r="E1514" t="str">
        <f>"167"</f>
        <v>167</v>
      </c>
      <c r="F1514" t="str">
        <f>"3"</f>
        <v>3</v>
      </c>
    </row>
    <row r="1515" spans="1:6">
      <c r="A1515" t="str">
        <f>"E1215-4"</f>
        <v>E1215-4</v>
      </c>
      <c r="B1515" t="str">
        <f>"VIA BEATA CHIARA  6A-"</f>
        <v>VIA BEATA CHIARA  6A-</v>
      </c>
      <c r="C1515" t="str">
        <f>"PON"</f>
        <v>PON</v>
      </c>
      <c r="D1515">
        <v>4</v>
      </c>
      <c r="E1515" t="str">
        <f>"167"</f>
        <v>167</v>
      </c>
      <c r="F1515" t="str">
        <f>"4"</f>
        <v>4</v>
      </c>
    </row>
    <row r="1516" spans="1:6">
      <c r="A1516" t="str">
        <f>"E1215-5"</f>
        <v>E1215-5</v>
      </c>
      <c r="B1516" t="str">
        <f>"VIA BEATA CHIARA  6A-"</f>
        <v>VIA BEATA CHIARA  6A-</v>
      </c>
      <c r="C1516" t="str">
        <f>"PON"</f>
        <v>PON</v>
      </c>
      <c r="D1516">
        <v>4</v>
      </c>
      <c r="E1516" t="str">
        <f>"167"</f>
        <v>167</v>
      </c>
      <c r="F1516" t="str">
        <f>"5"</f>
        <v>5</v>
      </c>
    </row>
    <row r="1517" spans="1:6">
      <c r="A1517" t="str">
        <f>"E1217-2"</f>
        <v>E1217-2</v>
      </c>
      <c r="B1517" t="str">
        <f t="shared" ref="B1517:B1530" si="106">"VIA CESARE PEDRINI  48-"</f>
        <v>VIA CESARE PEDRINI  48-</v>
      </c>
      <c r="C1517" t="str">
        <f t="shared" ref="C1517:C1548" si="107">"RIV"</f>
        <v>RIV</v>
      </c>
      <c r="D1517">
        <v>27</v>
      </c>
      <c r="E1517" t="str">
        <f t="shared" ref="E1517:E1548" si="108">"546"</f>
        <v>546</v>
      </c>
      <c r="F1517" t="str">
        <f>"17"</f>
        <v>17</v>
      </c>
    </row>
    <row r="1518" spans="1:6">
      <c r="A1518" t="str">
        <f>"E1217-3"</f>
        <v>E1217-3</v>
      </c>
      <c r="B1518" t="str">
        <f t="shared" si="106"/>
        <v>VIA CESARE PEDRINI  48-</v>
      </c>
      <c r="C1518" t="str">
        <f t="shared" si="107"/>
        <v>RIV</v>
      </c>
      <c r="D1518">
        <v>27</v>
      </c>
      <c r="E1518" t="str">
        <f t="shared" si="108"/>
        <v>546</v>
      </c>
      <c r="F1518" t="str">
        <f>"16"</f>
        <v>16</v>
      </c>
    </row>
    <row r="1519" spans="1:6">
      <c r="A1519" t="str">
        <f>"E1217-4"</f>
        <v>E1217-4</v>
      </c>
      <c r="B1519" t="str">
        <f t="shared" si="106"/>
        <v>VIA CESARE PEDRINI  48-</v>
      </c>
      <c r="C1519" t="str">
        <f t="shared" si="107"/>
        <v>RIV</v>
      </c>
      <c r="D1519">
        <v>27</v>
      </c>
      <c r="E1519" t="str">
        <f t="shared" si="108"/>
        <v>546</v>
      </c>
      <c r="F1519" t="str">
        <f>"15"</f>
        <v>15</v>
      </c>
    </row>
    <row r="1520" spans="1:6">
      <c r="A1520" t="str">
        <f>"E1217-5"</f>
        <v>E1217-5</v>
      </c>
      <c r="B1520" t="str">
        <f t="shared" si="106"/>
        <v>VIA CESARE PEDRINI  48-</v>
      </c>
      <c r="C1520" t="str">
        <f t="shared" si="107"/>
        <v>RIV</v>
      </c>
      <c r="D1520">
        <v>27</v>
      </c>
      <c r="E1520" t="str">
        <f t="shared" si="108"/>
        <v>546</v>
      </c>
      <c r="F1520" t="str">
        <f>"14"</f>
        <v>14</v>
      </c>
    </row>
    <row r="1521" spans="1:6">
      <c r="A1521" t="str">
        <f>"E1217-6"</f>
        <v>E1217-6</v>
      </c>
      <c r="B1521" t="str">
        <f t="shared" si="106"/>
        <v>VIA CESARE PEDRINI  48-</v>
      </c>
      <c r="C1521" t="str">
        <f t="shared" si="107"/>
        <v>RIV</v>
      </c>
      <c r="D1521">
        <v>27</v>
      </c>
      <c r="E1521" t="str">
        <f t="shared" si="108"/>
        <v>546</v>
      </c>
      <c r="F1521" t="str">
        <f>"13"</f>
        <v>13</v>
      </c>
    </row>
    <row r="1522" spans="1:6">
      <c r="A1522" t="str">
        <f>"E1217-7"</f>
        <v>E1217-7</v>
      </c>
      <c r="B1522" t="str">
        <f t="shared" si="106"/>
        <v>VIA CESARE PEDRINI  48-</v>
      </c>
      <c r="C1522" t="str">
        <f t="shared" si="107"/>
        <v>RIV</v>
      </c>
      <c r="D1522">
        <v>27</v>
      </c>
      <c r="E1522" t="str">
        <f t="shared" si="108"/>
        <v>546</v>
      </c>
      <c r="F1522" t="str">
        <f>"12"</f>
        <v>12</v>
      </c>
    </row>
    <row r="1523" spans="1:6">
      <c r="A1523" t="str">
        <f>"E1217-8"</f>
        <v>E1217-8</v>
      </c>
      <c r="B1523" t="str">
        <f t="shared" si="106"/>
        <v>VIA CESARE PEDRINI  48-</v>
      </c>
      <c r="C1523" t="str">
        <f t="shared" si="107"/>
        <v>RIV</v>
      </c>
      <c r="D1523">
        <v>27</v>
      </c>
      <c r="E1523" t="str">
        <f t="shared" si="108"/>
        <v>546</v>
      </c>
      <c r="F1523" t="str">
        <f>"11"</f>
        <v>11</v>
      </c>
    </row>
    <row r="1524" spans="1:6">
      <c r="A1524" t="str">
        <f>"E1217-9"</f>
        <v>E1217-9</v>
      </c>
      <c r="B1524" t="str">
        <f t="shared" si="106"/>
        <v>VIA CESARE PEDRINI  48-</v>
      </c>
      <c r="C1524" t="str">
        <f t="shared" si="107"/>
        <v>RIV</v>
      </c>
      <c r="D1524">
        <v>27</v>
      </c>
      <c r="E1524" t="str">
        <f t="shared" si="108"/>
        <v>546</v>
      </c>
      <c r="F1524" t="str">
        <f>"10"</f>
        <v>10</v>
      </c>
    </row>
    <row r="1525" spans="1:6">
      <c r="A1525" t="str">
        <f>"E1217-10"</f>
        <v>E1217-10</v>
      </c>
      <c r="B1525" t="str">
        <f t="shared" si="106"/>
        <v>VIA CESARE PEDRINI  48-</v>
      </c>
      <c r="C1525" t="str">
        <f t="shared" si="107"/>
        <v>RIV</v>
      </c>
      <c r="D1525">
        <v>27</v>
      </c>
      <c r="E1525" t="str">
        <f t="shared" si="108"/>
        <v>546</v>
      </c>
      <c r="F1525" t="str">
        <f>"9"</f>
        <v>9</v>
      </c>
    </row>
    <row r="1526" spans="1:6">
      <c r="A1526" t="str">
        <f>"E1217-11"</f>
        <v>E1217-11</v>
      </c>
      <c r="B1526" t="str">
        <f t="shared" si="106"/>
        <v>VIA CESARE PEDRINI  48-</v>
      </c>
      <c r="C1526" t="str">
        <f t="shared" si="107"/>
        <v>RIV</v>
      </c>
      <c r="D1526">
        <v>27</v>
      </c>
      <c r="E1526" t="str">
        <f t="shared" si="108"/>
        <v>546</v>
      </c>
      <c r="F1526" t="str">
        <f>"8"</f>
        <v>8</v>
      </c>
    </row>
    <row r="1527" spans="1:6">
      <c r="A1527" t="str">
        <f>"E1217-12"</f>
        <v>E1217-12</v>
      </c>
      <c r="B1527" t="str">
        <f t="shared" si="106"/>
        <v>VIA CESARE PEDRINI  48-</v>
      </c>
      <c r="C1527" t="str">
        <f t="shared" si="107"/>
        <v>RIV</v>
      </c>
      <c r="D1527">
        <v>27</v>
      </c>
      <c r="E1527" t="str">
        <f t="shared" si="108"/>
        <v>546</v>
      </c>
      <c r="F1527" t="str">
        <f>"7"</f>
        <v>7</v>
      </c>
    </row>
    <row r="1528" spans="1:6">
      <c r="A1528" t="str">
        <f>"E1217-13"</f>
        <v>E1217-13</v>
      </c>
      <c r="B1528" t="str">
        <f t="shared" si="106"/>
        <v>VIA CESARE PEDRINI  48-</v>
      </c>
      <c r="C1528" t="str">
        <f t="shared" si="107"/>
        <v>RIV</v>
      </c>
      <c r="D1528">
        <v>27</v>
      </c>
      <c r="E1528" t="str">
        <f t="shared" si="108"/>
        <v>546</v>
      </c>
      <c r="F1528" t="str">
        <f>"6"</f>
        <v>6</v>
      </c>
    </row>
    <row r="1529" spans="1:6">
      <c r="A1529" t="str">
        <f>"E1217-14"</f>
        <v>E1217-14</v>
      </c>
      <c r="B1529" t="str">
        <f t="shared" si="106"/>
        <v>VIA CESARE PEDRINI  48-</v>
      </c>
      <c r="C1529" t="str">
        <f t="shared" si="107"/>
        <v>RIV</v>
      </c>
      <c r="D1529">
        <v>27</v>
      </c>
      <c r="E1529" t="str">
        <f t="shared" si="108"/>
        <v>546</v>
      </c>
      <c r="F1529" t="str">
        <f>"4"</f>
        <v>4</v>
      </c>
    </row>
    <row r="1530" spans="1:6">
      <c r="A1530" t="str">
        <f>"E1217-15"</f>
        <v>E1217-15</v>
      </c>
      <c r="B1530" t="str">
        <f t="shared" si="106"/>
        <v>VIA CESARE PEDRINI  48-</v>
      </c>
      <c r="C1530" t="str">
        <f t="shared" si="107"/>
        <v>RIV</v>
      </c>
      <c r="D1530">
        <v>27</v>
      </c>
      <c r="E1530" t="str">
        <f t="shared" si="108"/>
        <v>546</v>
      </c>
      <c r="F1530" t="str">
        <f>"3"</f>
        <v>3</v>
      </c>
    </row>
    <row r="1531" spans="1:6">
      <c r="A1531" t="str">
        <f>"E1217-16"</f>
        <v>E1217-16</v>
      </c>
      <c r="B1531" t="str">
        <f>"VIA CESARE PEDRINI  32-"</f>
        <v>VIA CESARE PEDRINI  32-</v>
      </c>
      <c r="C1531" t="str">
        <f t="shared" si="107"/>
        <v>RIV</v>
      </c>
      <c r="D1531">
        <v>27</v>
      </c>
      <c r="E1531" t="str">
        <f t="shared" si="108"/>
        <v>546</v>
      </c>
      <c r="F1531" t="str">
        <f>"24"</f>
        <v>24</v>
      </c>
    </row>
    <row r="1532" spans="1:6">
      <c r="A1532" t="str">
        <f>"E1217-17"</f>
        <v>E1217-17</v>
      </c>
      <c r="B1532" t="str">
        <f>"VIA CESARE PEDRINI  34-"</f>
        <v>VIA CESARE PEDRINI  34-</v>
      </c>
      <c r="C1532" t="str">
        <f t="shared" si="107"/>
        <v>RIV</v>
      </c>
      <c r="D1532">
        <v>27</v>
      </c>
      <c r="E1532" t="str">
        <f t="shared" si="108"/>
        <v>546</v>
      </c>
      <c r="F1532" t="str">
        <f>"23"</f>
        <v>23</v>
      </c>
    </row>
    <row r="1533" spans="1:6">
      <c r="A1533" t="str">
        <f>"E1217-18"</f>
        <v>E1217-18</v>
      </c>
      <c r="B1533" t="str">
        <f>"VIA CESARE PEDRINI  36-"</f>
        <v>VIA CESARE PEDRINI  36-</v>
      </c>
      <c r="C1533" t="str">
        <f t="shared" si="107"/>
        <v>RIV</v>
      </c>
      <c r="D1533">
        <v>27</v>
      </c>
      <c r="E1533" t="str">
        <f t="shared" si="108"/>
        <v>546</v>
      </c>
      <c r="F1533" t="str">
        <f>"22"</f>
        <v>22</v>
      </c>
    </row>
    <row r="1534" spans="1:6">
      <c r="A1534" t="str">
        <f>"E1217-19"</f>
        <v>E1217-19</v>
      </c>
      <c r="B1534" t="str">
        <f>"VIA CESARE PEDRINI  38-"</f>
        <v>VIA CESARE PEDRINI  38-</v>
      </c>
      <c r="C1534" t="str">
        <f t="shared" si="107"/>
        <v>RIV</v>
      </c>
      <c r="D1534">
        <v>27</v>
      </c>
      <c r="E1534" t="str">
        <f t="shared" si="108"/>
        <v>546</v>
      </c>
      <c r="F1534" t="str">
        <f>"21"</f>
        <v>21</v>
      </c>
    </row>
    <row r="1535" spans="1:6">
      <c r="A1535" t="str">
        <f>"E1217-20"</f>
        <v>E1217-20</v>
      </c>
      <c r="B1535" t="str">
        <f>"VIA CESARE PEDRINI  40-"</f>
        <v>VIA CESARE PEDRINI  40-</v>
      </c>
      <c r="C1535" t="str">
        <f t="shared" si="107"/>
        <v>RIV</v>
      </c>
      <c r="D1535">
        <v>27</v>
      </c>
      <c r="E1535" t="str">
        <f t="shared" si="108"/>
        <v>546</v>
      </c>
      <c r="F1535" t="str">
        <f>"20"</f>
        <v>20</v>
      </c>
    </row>
    <row r="1536" spans="1:6">
      <c r="A1536" t="str">
        <f>"E1217-21"</f>
        <v>E1217-21</v>
      </c>
      <c r="B1536" t="str">
        <f t="shared" ref="B1536:B1566" si="109">"VIA CESARE PEDRINI  28-"</f>
        <v>VIA CESARE PEDRINI  28-</v>
      </c>
      <c r="C1536" t="str">
        <f t="shared" si="107"/>
        <v>RIV</v>
      </c>
      <c r="D1536">
        <v>27</v>
      </c>
      <c r="E1536" t="str">
        <f t="shared" si="108"/>
        <v>546</v>
      </c>
      <c r="F1536" t="str">
        <f>"27"</f>
        <v>27</v>
      </c>
    </row>
    <row r="1537" spans="1:6">
      <c r="A1537" t="str">
        <f>"E1217-22"</f>
        <v>E1217-22</v>
      </c>
      <c r="B1537" t="str">
        <f t="shared" si="109"/>
        <v>VIA CESARE PEDRINI  28-</v>
      </c>
      <c r="C1537" t="str">
        <f t="shared" si="107"/>
        <v>RIV</v>
      </c>
      <c r="D1537">
        <v>27</v>
      </c>
      <c r="E1537" t="str">
        <f t="shared" si="108"/>
        <v>546</v>
      </c>
      <c r="F1537" t="str">
        <f>"28"</f>
        <v>28</v>
      </c>
    </row>
    <row r="1538" spans="1:6">
      <c r="A1538" t="str">
        <f>"E1217-23"</f>
        <v>E1217-23</v>
      </c>
      <c r="B1538" t="str">
        <f t="shared" si="109"/>
        <v>VIA CESARE PEDRINI  28-</v>
      </c>
      <c r="C1538" t="str">
        <f t="shared" si="107"/>
        <v>RIV</v>
      </c>
      <c r="D1538">
        <v>27</v>
      </c>
      <c r="E1538" t="str">
        <f t="shared" si="108"/>
        <v>546</v>
      </c>
      <c r="F1538" t="str">
        <f>"29"</f>
        <v>29</v>
      </c>
    </row>
    <row r="1539" spans="1:6">
      <c r="A1539" t="str">
        <f>"E1217-24"</f>
        <v>E1217-24</v>
      </c>
      <c r="B1539" t="str">
        <f t="shared" si="109"/>
        <v>VIA CESARE PEDRINI  28-</v>
      </c>
      <c r="C1539" t="str">
        <f t="shared" si="107"/>
        <v>RIV</v>
      </c>
      <c r="D1539">
        <v>27</v>
      </c>
      <c r="E1539" t="str">
        <f t="shared" si="108"/>
        <v>546</v>
      </c>
      <c r="F1539" t="str">
        <f>"30"</f>
        <v>30</v>
      </c>
    </row>
    <row r="1540" spans="1:6">
      <c r="A1540" t="str">
        <f>"E1217-25"</f>
        <v>E1217-25</v>
      </c>
      <c r="B1540" t="str">
        <f t="shared" si="109"/>
        <v>VIA CESARE PEDRINI  28-</v>
      </c>
      <c r="C1540" t="str">
        <f t="shared" si="107"/>
        <v>RIV</v>
      </c>
      <c r="D1540">
        <v>27</v>
      </c>
      <c r="E1540" t="str">
        <f t="shared" si="108"/>
        <v>546</v>
      </c>
      <c r="F1540" t="str">
        <f>"31"</f>
        <v>31</v>
      </c>
    </row>
    <row r="1541" spans="1:6">
      <c r="A1541" t="str">
        <f>"E1217-26"</f>
        <v>E1217-26</v>
      </c>
      <c r="B1541" t="str">
        <f t="shared" si="109"/>
        <v>VIA CESARE PEDRINI  28-</v>
      </c>
      <c r="C1541" t="str">
        <f t="shared" si="107"/>
        <v>RIV</v>
      </c>
      <c r="D1541">
        <v>27</v>
      </c>
      <c r="E1541" t="str">
        <f t="shared" si="108"/>
        <v>546</v>
      </c>
      <c r="F1541" t="str">
        <f>"32"</f>
        <v>32</v>
      </c>
    </row>
    <row r="1542" spans="1:6">
      <c r="A1542" t="str">
        <f>"E1217-27"</f>
        <v>E1217-27</v>
      </c>
      <c r="B1542" t="str">
        <f t="shared" si="109"/>
        <v>VIA CESARE PEDRINI  28-</v>
      </c>
      <c r="C1542" t="str">
        <f t="shared" si="107"/>
        <v>RIV</v>
      </c>
      <c r="D1542">
        <v>27</v>
      </c>
      <c r="E1542" t="str">
        <f t="shared" si="108"/>
        <v>546</v>
      </c>
      <c r="F1542" t="str">
        <f>"33"</f>
        <v>33</v>
      </c>
    </row>
    <row r="1543" spans="1:6">
      <c r="A1543" t="str">
        <f>"E1217-28"</f>
        <v>E1217-28</v>
      </c>
      <c r="B1543" t="str">
        <f t="shared" si="109"/>
        <v>VIA CESARE PEDRINI  28-</v>
      </c>
      <c r="C1543" t="str">
        <f t="shared" si="107"/>
        <v>RIV</v>
      </c>
      <c r="D1543">
        <v>27</v>
      </c>
      <c r="E1543" t="str">
        <f t="shared" si="108"/>
        <v>546</v>
      </c>
      <c r="F1543" t="str">
        <f>"34"</f>
        <v>34</v>
      </c>
    </row>
    <row r="1544" spans="1:6">
      <c r="A1544" t="str">
        <f>"E1217-29"</f>
        <v>E1217-29</v>
      </c>
      <c r="B1544" t="str">
        <f t="shared" si="109"/>
        <v>VIA CESARE PEDRINI  28-</v>
      </c>
      <c r="C1544" t="str">
        <f t="shared" si="107"/>
        <v>RIV</v>
      </c>
      <c r="D1544">
        <v>27</v>
      </c>
      <c r="E1544" t="str">
        <f t="shared" si="108"/>
        <v>546</v>
      </c>
      <c r="F1544" t="str">
        <f>"35"</f>
        <v>35</v>
      </c>
    </row>
    <row r="1545" spans="1:6">
      <c r="A1545" t="str">
        <f>"E1217-30"</f>
        <v>E1217-30</v>
      </c>
      <c r="B1545" t="str">
        <f t="shared" si="109"/>
        <v>VIA CESARE PEDRINI  28-</v>
      </c>
      <c r="C1545" t="str">
        <f t="shared" si="107"/>
        <v>RIV</v>
      </c>
      <c r="D1545">
        <v>27</v>
      </c>
      <c r="E1545" t="str">
        <f t="shared" si="108"/>
        <v>546</v>
      </c>
      <c r="F1545" t="str">
        <f>"36"</f>
        <v>36</v>
      </c>
    </row>
    <row r="1546" spans="1:6">
      <c r="A1546" t="str">
        <f>"E1217-31"</f>
        <v>E1217-31</v>
      </c>
      <c r="B1546" t="str">
        <f t="shared" si="109"/>
        <v>VIA CESARE PEDRINI  28-</v>
      </c>
      <c r="C1546" t="str">
        <f t="shared" si="107"/>
        <v>RIV</v>
      </c>
      <c r="D1546">
        <v>27</v>
      </c>
      <c r="E1546" t="str">
        <f t="shared" si="108"/>
        <v>546</v>
      </c>
      <c r="F1546" t="str">
        <f>"5"</f>
        <v>5</v>
      </c>
    </row>
    <row r="1547" spans="1:6">
      <c r="A1547" t="str">
        <f>"E1217-32"</f>
        <v>E1217-32</v>
      </c>
      <c r="B1547" t="str">
        <f t="shared" si="109"/>
        <v>VIA CESARE PEDRINI  28-</v>
      </c>
      <c r="C1547" t="str">
        <f t="shared" si="107"/>
        <v>RIV</v>
      </c>
      <c r="D1547">
        <v>27</v>
      </c>
      <c r="E1547" t="str">
        <f t="shared" si="108"/>
        <v>546</v>
      </c>
      <c r="F1547" t="str">
        <f>"41"</f>
        <v>41</v>
      </c>
    </row>
    <row r="1548" spans="1:6">
      <c r="A1548" t="str">
        <f>"E1217-33"</f>
        <v>E1217-33</v>
      </c>
      <c r="B1548" t="str">
        <f t="shared" si="109"/>
        <v>VIA CESARE PEDRINI  28-</v>
      </c>
      <c r="C1548" t="str">
        <f t="shared" si="107"/>
        <v>RIV</v>
      </c>
      <c r="D1548">
        <v>27</v>
      </c>
      <c r="E1548" t="str">
        <f t="shared" si="108"/>
        <v>546</v>
      </c>
      <c r="F1548" t="str">
        <f>"40"</f>
        <v>40</v>
      </c>
    </row>
    <row r="1549" spans="1:6">
      <c r="A1549" t="str">
        <f>"E1217-34"</f>
        <v>E1217-34</v>
      </c>
      <c r="B1549" t="str">
        <f t="shared" si="109"/>
        <v>VIA CESARE PEDRINI  28-</v>
      </c>
      <c r="C1549" t="str">
        <f t="shared" ref="C1549:C1580" si="110">"RIV"</f>
        <v>RIV</v>
      </c>
      <c r="D1549">
        <v>27</v>
      </c>
      <c r="E1549" t="str">
        <f t="shared" ref="E1549:E1566" si="111">"546"</f>
        <v>546</v>
      </c>
      <c r="F1549" t="str">
        <f>"39"</f>
        <v>39</v>
      </c>
    </row>
    <row r="1550" spans="1:6">
      <c r="A1550" t="str">
        <f>"E1217-35"</f>
        <v>E1217-35</v>
      </c>
      <c r="B1550" t="str">
        <f t="shared" si="109"/>
        <v>VIA CESARE PEDRINI  28-</v>
      </c>
      <c r="C1550" t="str">
        <f t="shared" si="110"/>
        <v>RIV</v>
      </c>
      <c r="D1550">
        <v>27</v>
      </c>
      <c r="E1550" t="str">
        <f t="shared" si="111"/>
        <v>546</v>
      </c>
      <c r="F1550" t="str">
        <f>"38"</f>
        <v>38</v>
      </c>
    </row>
    <row r="1551" spans="1:6">
      <c r="A1551" t="str">
        <f>"E1217-36"</f>
        <v>E1217-36</v>
      </c>
      <c r="B1551" t="str">
        <f t="shared" si="109"/>
        <v>VIA CESARE PEDRINI  28-</v>
      </c>
      <c r="C1551" t="str">
        <f t="shared" si="110"/>
        <v>RIV</v>
      </c>
      <c r="D1551">
        <v>27</v>
      </c>
      <c r="E1551" t="str">
        <f t="shared" si="111"/>
        <v>546</v>
      </c>
      <c r="F1551" t="str">
        <f>"45"</f>
        <v>45</v>
      </c>
    </row>
    <row r="1552" spans="1:6">
      <c r="A1552" t="str">
        <f>"E1217-37"</f>
        <v>E1217-37</v>
      </c>
      <c r="B1552" t="str">
        <f t="shared" si="109"/>
        <v>VIA CESARE PEDRINI  28-</v>
      </c>
      <c r="C1552" t="str">
        <f t="shared" si="110"/>
        <v>RIV</v>
      </c>
      <c r="D1552">
        <v>27</v>
      </c>
      <c r="E1552" t="str">
        <f t="shared" si="111"/>
        <v>546</v>
      </c>
      <c r="F1552" t="str">
        <f>"44"</f>
        <v>44</v>
      </c>
    </row>
    <row r="1553" spans="1:6">
      <c r="A1553" t="str">
        <f>"E1217-38"</f>
        <v>E1217-38</v>
      </c>
      <c r="B1553" t="str">
        <f t="shared" si="109"/>
        <v>VIA CESARE PEDRINI  28-</v>
      </c>
      <c r="C1553" t="str">
        <f t="shared" si="110"/>
        <v>RIV</v>
      </c>
      <c r="D1553">
        <v>27</v>
      </c>
      <c r="E1553" t="str">
        <f t="shared" si="111"/>
        <v>546</v>
      </c>
      <c r="F1553" t="str">
        <f>"43"</f>
        <v>43</v>
      </c>
    </row>
    <row r="1554" spans="1:6">
      <c r="A1554" t="str">
        <f>"E1217-39"</f>
        <v>E1217-39</v>
      </c>
      <c r="B1554" t="str">
        <f t="shared" si="109"/>
        <v>VIA CESARE PEDRINI  28-</v>
      </c>
      <c r="C1554" t="str">
        <f t="shared" si="110"/>
        <v>RIV</v>
      </c>
      <c r="D1554">
        <v>27</v>
      </c>
      <c r="E1554" t="str">
        <f t="shared" si="111"/>
        <v>546</v>
      </c>
      <c r="F1554" t="str">
        <f>"42"</f>
        <v>42</v>
      </c>
    </row>
    <row r="1555" spans="1:6">
      <c r="A1555" t="str">
        <f>"E1217-40"</f>
        <v>E1217-40</v>
      </c>
      <c r="B1555" t="str">
        <f t="shared" si="109"/>
        <v>VIA CESARE PEDRINI  28-</v>
      </c>
      <c r="C1555" t="str">
        <f t="shared" si="110"/>
        <v>RIV</v>
      </c>
      <c r="D1555">
        <v>27</v>
      </c>
      <c r="E1555" t="str">
        <f t="shared" si="111"/>
        <v>546</v>
      </c>
      <c r="F1555" t="str">
        <f>"49"</f>
        <v>49</v>
      </c>
    </row>
    <row r="1556" spans="1:6">
      <c r="A1556" t="str">
        <f>"E1217-41"</f>
        <v>E1217-41</v>
      </c>
      <c r="B1556" t="str">
        <f t="shared" si="109"/>
        <v>VIA CESARE PEDRINI  28-</v>
      </c>
      <c r="C1556" t="str">
        <f t="shared" si="110"/>
        <v>RIV</v>
      </c>
      <c r="D1556">
        <v>27</v>
      </c>
      <c r="E1556" t="str">
        <f t="shared" si="111"/>
        <v>546</v>
      </c>
      <c r="F1556" t="str">
        <f>"48"</f>
        <v>48</v>
      </c>
    </row>
    <row r="1557" spans="1:6">
      <c r="A1557" t="str">
        <f>"E1217-42"</f>
        <v>E1217-42</v>
      </c>
      <c r="B1557" t="str">
        <f t="shared" si="109"/>
        <v>VIA CESARE PEDRINI  28-</v>
      </c>
      <c r="C1557" t="str">
        <f t="shared" si="110"/>
        <v>RIV</v>
      </c>
      <c r="D1557">
        <v>27</v>
      </c>
      <c r="E1557" t="str">
        <f t="shared" si="111"/>
        <v>546</v>
      </c>
      <c r="F1557" t="str">
        <f>"47"</f>
        <v>47</v>
      </c>
    </row>
    <row r="1558" spans="1:6">
      <c r="A1558" t="str">
        <f>"E1217-43"</f>
        <v>E1217-43</v>
      </c>
      <c r="B1558" t="str">
        <f t="shared" si="109"/>
        <v>VIA CESARE PEDRINI  28-</v>
      </c>
      <c r="C1558" t="str">
        <f t="shared" si="110"/>
        <v>RIV</v>
      </c>
      <c r="D1558">
        <v>27</v>
      </c>
      <c r="E1558" t="str">
        <f t="shared" si="111"/>
        <v>546</v>
      </c>
      <c r="F1558" t="str">
        <f>"46"</f>
        <v>46</v>
      </c>
    </row>
    <row r="1559" spans="1:6">
      <c r="A1559" t="str">
        <f>"E1217-44"</f>
        <v>E1217-44</v>
      </c>
      <c r="B1559" t="str">
        <f t="shared" si="109"/>
        <v>VIA CESARE PEDRINI  28-</v>
      </c>
      <c r="C1559" t="str">
        <f t="shared" si="110"/>
        <v>RIV</v>
      </c>
      <c r="D1559">
        <v>27</v>
      </c>
      <c r="E1559" t="str">
        <f t="shared" si="111"/>
        <v>546</v>
      </c>
      <c r="F1559" t="str">
        <f>"53"</f>
        <v>53</v>
      </c>
    </row>
    <row r="1560" spans="1:6">
      <c r="A1560" t="str">
        <f>"E1217-45"</f>
        <v>E1217-45</v>
      </c>
      <c r="B1560" t="str">
        <f t="shared" si="109"/>
        <v>VIA CESARE PEDRINI  28-</v>
      </c>
      <c r="C1560" t="str">
        <f t="shared" si="110"/>
        <v>RIV</v>
      </c>
      <c r="D1560">
        <v>27</v>
      </c>
      <c r="E1560" t="str">
        <f t="shared" si="111"/>
        <v>546</v>
      </c>
      <c r="F1560" t="str">
        <f>"52"</f>
        <v>52</v>
      </c>
    </row>
    <row r="1561" spans="1:6">
      <c r="A1561" t="str">
        <f>"E1217-46"</f>
        <v>E1217-46</v>
      </c>
      <c r="B1561" t="str">
        <f t="shared" si="109"/>
        <v>VIA CESARE PEDRINI  28-</v>
      </c>
      <c r="C1561" t="str">
        <f t="shared" si="110"/>
        <v>RIV</v>
      </c>
      <c r="D1561">
        <v>27</v>
      </c>
      <c r="E1561" t="str">
        <f t="shared" si="111"/>
        <v>546</v>
      </c>
      <c r="F1561" t="str">
        <f>"51"</f>
        <v>51</v>
      </c>
    </row>
    <row r="1562" spans="1:6">
      <c r="A1562" t="str">
        <f>"E1217-47"</f>
        <v>E1217-47</v>
      </c>
      <c r="B1562" t="str">
        <f t="shared" si="109"/>
        <v>VIA CESARE PEDRINI  28-</v>
      </c>
      <c r="C1562" t="str">
        <f t="shared" si="110"/>
        <v>RIV</v>
      </c>
      <c r="D1562">
        <v>27</v>
      </c>
      <c r="E1562" t="str">
        <f t="shared" si="111"/>
        <v>546</v>
      </c>
      <c r="F1562" t="str">
        <f>"50"</f>
        <v>50</v>
      </c>
    </row>
    <row r="1563" spans="1:6">
      <c r="A1563" t="str">
        <f>"E1217-48"</f>
        <v>E1217-48</v>
      </c>
      <c r="B1563" t="str">
        <f t="shared" si="109"/>
        <v>VIA CESARE PEDRINI  28-</v>
      </c>
      <c r="C1563" t="str">
        <f t="shared" si="110"/>
        <v>RIV</v>
      </c>
      <c r="D1563">
        <v>27</v>
      </c>
      <c r="E1563" t="str">
        <f t="shared" si="111"/>
        <v>546</v>
      </c>
      <c r="F1563" t="str">
        <f>"57"</f>
        <v>57</v>
      </c>
    </row>
    <row r="1564" spans="1:6">
      <c r="A1564" t="str">
        <f>"E1217-49"</f>
        <v>E1217-49</v>
      </c>
      <c r="B1564" t="str">
        <f t="shared" si="109"/>
        <v>VIA CESARE PEDRINI  28-</v>
      </c>
      <c r="C1564" t="str">
        <f t="shared" si="110"/>
        <v>RIV</v>
      </c>
      <c r="D1564">
        <v>27</v>
      </c>
      <c r="E1564" t="str">
        <f t="shared" si="111"/>
        <v>546</v>
      </c>
      <c r="F1564" t="str">
        <f>"56"</f>
        <v>56</v>
      </c>
    </row>
    <row r="1565" spans="1:6">
      <c r="A1565" t="str">
        <f>"E1217-50"</f>
        <v>E1217-50</v>
      </c>
      <c r="B1565" t="str">
        <f t="shared" si="109"/>
        <v>VIA CESARE PEDRINI  28-</v>
      </c>
      <c r="C1565" t="str">
        <f t="shared" si="110"/>
        <v>RIV</v>
      </c>
      <c r="D1565">
        <v>27</v>
      </c>
      <c r="E1565" t="str">
        <f t="shared" si="111"/>
        <v>546</v>
      </c>
      <c r="F1565" t="str">
        <f>"55"</f>
        <v>55</v>
      </c>
    </row>
    <row r="1566" spans="1:6">
      <c r="A1566" t="str">
        <f>"E1217-51"</f>
        <v>E1217-51</v>
      </c>
      <c r="B1566" t="str">
        <f t="shared" si="109"/>
        <v>VIA CESARE PEDRINI  28-</v>
      </c>
      <c r="C1566" t="str">
        <f t="shared" si="110"/>
        <v>RIV</v>
      </c>
      <c r="D1566">
        <v>27</v>
      </c>
      <c r="E1566" t="str">
        <f t="shared" si="111"/>
        <v>546</v>
      </c>
      <c r="F1566" t="str">
        <f>"54"</f>
        <v>54</v>
      </c>
    </row>
    <row r="1567" spans="1:6">
      <c r="A1567" t="str">
        <f>"E1217-52"</f>
        <v>E1217-52</v>
      </c>
      <c r="B1567" t="str">
        <f>"VIA CESARE PEDRINI  30A-"</f>
        <v>VIA CESARE PEDRINI  30A-</v>
      </c>
      <c r="C1567" t="str">
        <f t="shared" si="110"/>
        <v>RIV</v>
      </c>
      <c r="D1567">
        <v>27</v>
      </c>
      <c r="E1567" t="str">
        <f t="shared" ref="E1567:E1598" si="112">"549"</f>
        <v>549</v>
      </c>
      <c r="F1567" t="str">
        <f>"4"</f>
        <v>4</v>
      </c>
    </row>
    <row r="1568" spans="1:6">
      <c r="A1568" t="str">
        <f>"E1217-53"</f>
        <v>E1217-53</v>
      </c>
      <c r="B1568" t="str">
        <f>"VIA CESARE PEDRINI  30A-"</f>
        <v>VIA CESARE PEDRINI  30A-</v>
      </c>
      <c r="C1568" t="str">
        <f t="shared" si="110"/>
        <v>RIV</v>
      </c>
      <c r="D1568">
        <v>27</v>
      </c>
      <c r="E1568" t="str">
        <f t="shared" si="112"/>
        <v>549</v>
      </c>
      <c r="F1568" t="str">
        <f>"5"</f>
        <v>5</v>
      </c>
    </row>
    <row r="1569" spans="1:6">
      <c r="A1569" t="str">
        <f>"E1217-54"</f>
        <v>E1217-54</v>
      </c>
      <c r="B1569" t="str">
        <f>"VIA CESARE PEDRINI  30A-"</f>
        <v>VIA CESARE PEDRINI  30A-</v>
      </c>
      <c r="C1569" t="str">
        <f t="shared" si="110"/>
        <v>RIV</v>
      </c>
      <c r="D1569">
        <v>27</v>
      </c>
      <c r="E1569" t="str">
        <f t="shared" si="112"/>
        <v>549</v>
      </c>
      <c r="F1569" t="str">
        <f>"7"</f>
        <v>7</v>
      </c>
    </row>
    <row r="1570" spans="1:6">
      <c r="A1570" t="str">
        <f>"E1217-55"</f>
        <v>E1217-55</v>
      </c>
      <c r="B1570" t="str">
        <f t="shared" ref="B1570:B1576" si="113">"VIA CESARE PEDRINI  48-"</f>
        <v>VIA CESARE PEDRINI  48-</v>
      </c>
      <c r="C1570" t="str">
        <f t="shared" si="110"/>
        <v>RIV</v>
      </c>
      <c r="D1570">
        <v>27</v>
      </c>
      <c r="E1570" t="str">
        <f t="shared" si="112"/>
        <v>549</v>
      </c>
      <c r="F1570" t="str">
        <f>"8"</f>
        <v>8</v>
      </c>
    </row>
    <row r="1571" spans="1:6">
      <c r="A1571" t="str">
        <f>"E1217-56"</f>
        <v>E1217-56</v>
      </c>
      <c r="B1571" t="str">
        <f t="shared" si="113"/>
        <v>VIA CESARE PEDRINI  48-</v>
      </c>
      <c r="C1571" t="str">
        <f t="shared" si="110"/>
        <v>RIV</v>
      </c>
      <c r="D1571">
        <v>27</v>
      </c>
      <c r="E1571" t="str">
        <f t="shared" si="112"/>
        <v>549</v>
      </c>
      <c r="F1571" t="str">
        <f>"9"</f>
        <v>9</v>
      </c>
    </row>
    <row r="1572" spans="1:6">
      <c r="A1572" t="str">
        <f>"E1217-57"</f>
        <v>E1217-57</v>
      </c>
      <c r="B1572" t="str">
        <f t="shared" si="113"/>
        <v>VIA CESARE PEDRINI  48-</v>
      </c>
      <c r="C1572" t="str">
        <f t="shared" si="110"/>
        <v>RIV</v>
      </c>
      <c r="D1572">
        <v>27</v>
      </c>
      <c r="E1572" t="str">
        <f t="shared" si="112"/>
        <v>549</v>
      </c>
      <c r="F1572" t="str">
        <f>"10"</f>
        <v>10</v>
      </c>
    </row>
    <row r="1573" spans="1:6">
      <c r="A1573" t="str">
        <f>"E1217-58"</f>
        <v>E1217-58</v>
      </c>
      <c r="B1573" t="str">
        <f t="shared" si="113"/>
        <v>VIA CESARE PEDRINI  48-</v>
      </c>
      <c r="C1573" t="str">
        <f t="shared" si="110"/>
        <v>RIV</v>
      </c>
      <c r="D1573">
        <v>27</v>
      </c>
      <c r="E1573" t="str">
        <f t="shared" si="112"/>
        <v>549</v>
      </c>
      <c r="F1573" t="str">
        <f>"11"</f>
        <v>11</v>
      </c>
    </row>
    <row r="1574" spans="1:6">
      <c r="A1574" t="str">
        <f>"E1217-59"</f>
        <v>E1217-59</v>
      </c>
      <c r="B1574" t="str">
        <f t="shared" si="113"/>
        <v>VIA CESARE PEDRINI  48-</v>
      </c>
      <c r="C1574" t="str">
        <f t="shared" si="110"/>
        <v>RIV</v>
      </c>
      <c r="D1574">
        <v>27</v>
      </c>
      <c r="E1574" t="str">
        <f t="shared" si="112"/>
        <v>549</v>
      </c>
      <c r="F1574" t="str">
        <f>"12"</f>
        <v>12</v>
      </c>
    </row>
    <row r="1575" spans="1:6">
      <c r="A1575" t="str">
        <f>"E1217-60"</f>
        <v>E1217-60</v>
      </c>
      <c r="B1575" t="str">
        <f t="shared" si="113"/>
        <v>VIA CESARE PEDRINI  48-</v>
      </c>
      <c r="C1575" t="str">
        <f t="shared" si="110"/>
        <v>RIV</v>
      </c>
      <c r="D1575">
        <v>27</v>
      </c>
      <c r="E1575" t="str">
        <f t="shared" si="112"/>
        <v>549</v>
      </c>
      <c r="F1575" t="str">
        <f>"13"</f>
        <v>13</v>
      </c>
    </row>
    <row r="1576" spans="1:6">
      <c r="A1576" t="str">
        <f>"E1217-61"</f>
        <v>E1217-61</v>
      </c>
      <c r="B1576" t="str">
        <f t="shared" si="113"/>
        <v>VIA CESARE PEDRINI  48-</v>
      </c>
      <c r="C1576" t="str">
        <f t="shared" si="110"/>
        <v>RIV</v>
      </c>
      <c r="D1576">
        <v>27</v>
      </c>
      <c r="E1576" t="str">
        <f t="shared" si="112"/>
        <v>549</v>
      </c>
      <c r="F1576" t="str">
        <f>"14"</f>
        <v>14</v>
      </c>
    </row>
    <row r="1577" spans="1:6">
      <c r="A1577" t="str">
        <f>"E1217-62"</f>
        <v>E1217-62</v>
      </c>
      <c r="B1577" t="str">
        <f>"VIA CESARE PEDRINI  30A-"</f>
        <v>VIA CESARE PEDRINI  30A-</v>
      </c>
      <c r="C1577" t="str">
        <f t="shared" si="110"/>
        <v>RIV</v>
      </c>
      <c r="D1577">
        <v>27</v>
      </c>
      <c r="E1577" t="str">
        <f t="shared" si="112"/>
        <v>549</v>
      </c>
      <c r="F1577" t="str">
        <f>"15"</f>
        <v>15</v>
      </c>
    </row>
    <row r="1578" spans="1:6">
      <c r="A1578" t="str">
        <f>"E1217-63"</f>
        <v>E1217-63</v>
      </c>
      <c r="B1578" t="str">
        <f>"VIA CESARE PEDRINI  30A-"</f>
        <v>VIA CESARE PEDRINI  30A-</v>
      </c>
      <c r="C1578" t="str">
        <f t="shared" si="110"/>
        <v>RIV</v>
      </c>
      <c r="D1578">
        <v>27</v>
      </c>
      <c r="E1578" t="str">
        <f t="shared" si="112"/>
        <v>549</v>
      </c>
      <c r="F1578" t="str">
        <f>"16"</f>
        <v>16</v>
      </c>
    </row>
    <row r="1579" spans="1:6">
      <c r="A1579" t="str">
        <f>"E1217-64"</f>
        <v>E1217-64</v>
      </c>
      <c r="B1579" t="str">
        <f>"VIA CESARE PEDRINI  30A-"</f>
        <v>VIA CESARE PEDRINI  30A-</v>
      </c>
      <c r="C1579" t="str">
        <f t="shared" si="110"/>
        <v>RIV</v>
      </c>
      <c r="D1579">
        <v>27</v>
      </c>
      <c r="E1579" t="str">
        <f t="shared" si="112"/>
        <v>549</v>
      </c>
      <c r="F1579" t="str">
        <f>"17"</f>
        <v>17</v>
      </c>
    </row>
    <row r="1580" spans="1:6">
      <c r="A1580" t="str">
        <f>"E1217-65"</f>
        <v>E1217-65</v>
      </c>
      <c r="B1580" t="str">
        <f>"VIA CESARE PEDRINI  42-"</f>
        <v>VIA CESARE PEDRINI  42-</v>
      </c>
      <c r="C1580" t="str">
        <f t="shared" si="110"/>
        <v>RIV</v>
      </c>
      <c r="D1580">
        <v>27</v>
      </c>
      <c r="E1580" t="str">
        <f t="shared" si="112"/>
        <v>549</v>
      </c>
      <c r="F1580" t="str">
        <f>"19"</f>
        <v>19</v>
      </c>
    </row>
    <row r="1581" spans="1:6">
      <c r="A1581" t="str">
        <f>"E1217-66"</f>
        <v>E1217-66</v>
      </c>
      <c r="B1581" t="str">
        <f>"VIA CESARE PEDRINI  44-"</f>
        <v>VIA CESARE PEDRINI  44-</v>
      </c>
      <c r="C1581" t="str">
        <f t="shared" ref="C1581:C1612" si="114">"RIV"</f>
        <v>RIV</v>
      </c>
      <c r="D1581">
        <v>27</v>
      </c>
      <c r="E1581" t="str">
        <f t="shared" si="112"/>
        <v>549</v>
      </c>
      <c r="F1581" t="str">
        <f>"20"</f>
        <v>20</v>
      </c>
    </row>
    <row r="1582" spans="1:6">
      <c r="A1582" t="str">
        <f>"E1217-67"</f>
        <v>E1217-67</v>
      </c>
      <c r="B1582" t="str">
        <f>"VIA CESARE PEDRINI  46-"</f>
        <v>VIA CESARE PEDRINI  46-</v>
      </c>
      <c r="C1582" t="str">
        <f t="shared" si="114"/>
        <v>RIV</v>
      </c>
      <c r="D1582">
        <v>27</v>
      </c>
      <c r="E1582" t="str">
        <f t="shared" si="112"/>
        <v>549</v>
      </c>
      <c r="F1582" t="str">
        <f>"21"</f>
        <v>21</v>
      </c>
    </row>
    <row r="1583" spans="1:6">
      <c r="A1583" t="str">
        <f>"E1217-68"</f>
        <v>E1217-68</v>
      </c>
      <c r="B1583" t="str">
        <f t="shared" ref="B1583:B1627" si="115">"VIA CESARE PEDRINI  30-"</f>
        <v>VIA CESARE PEDRINI  30-</v>
      </c>
      <c r="C1583" t="str">
        <f t="shared" si="114"/>
        <v>RIV</v>
      </c>
      <c r="D1583">
        <v>27</v>
      </c>
      <c r="E1583" t="str">
        <f t="shared" si="112"/>
        <v>549</v>
      </c>
      <c r="F1583" t="str">
        <f>"43"</f>
        <v>43</v>
      </c>
    </row>
    <row r="1584" spans="1:6">
      <c r="A1584" t="str">
        <f>"E1217-69"</f>
        <v>E1217-69</v>
      </c>
      <c r="B1584" t="str">
        <f t="shared" si="115"/>
        <v>VIA CESARE PEDRINI  30-</v>
      </c>
      <c r="C1584" t="str">
        <f t="shared" si="114"/>
        <v>RIV</v>
      </c>
      <c r="D1584">
        <v>27</v>
      </c>
      <c r="E1584" t="str">
        <f t="shared" si="112"/>
        <v>549</v>
      </c>
      <c r="F1584" t="str">
        <f>"42"</f>
        <v>42</v>
      </c>
    </row>
    <row r="1585" spans="1:6">
      <c r="A1585" t="str">
        <f>"E1217-70"</f>
        <v>E1217-70</v>
      </c>
      <c r="B1585" t="str">
        <f t="shared" si="115"/>
        <v>VIA CESARE PEDRINI  30-</v>
      </c>
      <c r="C1585" t="str">
        <f t="shared" si="114"/>
        <v>RIV</v>
      </c>
      <c r="D1585">
        <v>27</v>
      </c>
      <c r="E1585" t="str">
        <f t="shared" si="112"/>
        <v>549</v>
      </c>
      <c r="F1585" t="str">
        <f>"41"</f>
        <v>41</v>
      </c>
    </row>
    <row r="1586" spans="1:6">
      <c r="A1586" t="str">
        <f>"E1217-71"</f>
        <v>E1217-71</v>
      </c>
      <c r="B1586" t="str">
        <f t="shared" si="115"/>
        <v>VIA CESARE PEDRINI  30-</v>
      </c>
      <c r="C1586" t="str">
        <f t="shared" si="114"/>
        <v>RIV</v>
      </c>
      <c r="D1586">
        <v>27</v>
      </c>
      <c r="E1586" t="str">
        <f t="shared" si="112"/>
        <v>549</v>
      </c>
      <c r="F1586" t="str">
        <f>"40"</f>
        <v>40</v>
      </c>
    </row>
    <row r="1587" spans="1:6">
      <c r="A1587" t="str">
        <f>"E1217-72"</f>
        <v>E1217-72</v>
      </c>
      <c r="B1587" t="str">
        <f t="shared" si="115"/>
        <v>VIA CESARE PEDRINI  30-</v>
      </c>
      <c r="C1587" t="str">
        <f t="shared" si="114"/>
        <v>RIV</v>
      </c>
      <c r="D1587">
        <v>27</v>
      </c>
      <c r="E1587" t="str">
        <f t="shared" si="112"/>
        <v>549</v>
      </c>
      <c r="F1587" t="str">
        <f>"39"</f>
        <v>39</v>
      </c>
    </row>
    <row r="1588" spans="1:6">
      <c r="A1588" t="str">
        <f>"E1217-73"</f>
        <v>E1217-73</v>
      </c>
      <c r="B1588" t="str">
        <f t="shared" si="115"/>
        <v>VIA CESARE PEDRINI  30-</v>
      </c>
      <c r="C1588" t="str">
        <f t="shared" si="114"/>
        <v>RIV</v>
      </c>
      <c r="D1588">
        <v>27</v>
      </c>
      <c r="E1588" t="str">
        <f t="shared" si="112"/>
        <v>549</v>
      </c>
      <c r="F1588" t="str">
        <f>"38"</f>
        <v>38</v>
      </c>
    </row>
    <row r="1589" spans="1:6">
      <c r="A1589" t="str">
        <f>"E1217-74"</f>
        <v>E1217-74</v>
      </c>
      <c r="B1589" t="str">
        <f t="shared" si="115"/>
        <v>VIA CESARE PEDRINI  30-</v>
      </c>
      <c r="C1589" t="str">
        <f t="shared" si="114"/>
        <v>RIV</v>
      </c>
      <c r="D1589">
        <v>27</v>
      </c>
      <c r="E1589" t="str">
        <f t="shared" si="112"/>
        <v>549</v>
      </c>
      <c r="F1589" t="str">
        <f>"37"</f>
        <v>37</v>
      </c>
    </row>
    <row r="1590" spans="1:6">
      <c r="A1590" t="str">
        <f>"E1217-75"</f>
        <v>E1217-75</v>
      </c>
      <c r="B1590" t="str">
        <f t="shared" si="115"/>
        <v>VIA CESARE PEDRINI  30-</v>
      </c>
      <c r="C1590" t="str">
        <f t="shared" si="114"/>
        <v>RIV</v>
      </c>
      <c r="D1590">
        <v>27</v>
      </c>
      <c r="E1590" t="str">
        <f t="shared" si="112"/>
        <v>549</v>
      </c>
      <c r="F1590" t="str">
        <f>"36"</f>
        <v>36</v>
      </c>
    </row>
    <row r="1591" spans="1:6">
      <c r="A1591" t="str">
        <f>"E1217-76"</f>
        <v>E1217-76</v>
      </c>
      <c r="B1591" t="str">
        <f t="shared" si="115"/>
        <v>VIA CESARE PEDRINI  30-</v>
      </c>
      <c r="C1591" t="str">
        <f t="shared" si="114"/>
        <v>RIV</v>
      </c>
      <c r="D1591">
        <v>27</v>
      </c>
      <c r="E1591" t="str">
        <f t="shared" si="112"/>
        <v>549</v>
      </c>
      <c r="F1591" t="str">
        <f>"35"</f>
        <v>35</v>
      </c>
    </row>
    <row r="1592" spans="1:6">
      <c r="A1592" t="str">
        <f>"E1217-77"</f>
        <v>E1217-77</v>
      </c>
      <c r="B1592" t="str">
        <f t="shared" si="115"/>
        <v>VIA CESARE PEDRINI  30-</v>
      </c>
      <c r="C1592" t="str">
        <f t="shared" si="114"/>
        <v>RIV</v>
      </c>
      <c r="D1592">
        <v>27</v>
      </c>
      <c r="E1592" t="str">
        <f t="shared" si="112"/>
        <v>549</v>
      </c>
      <c r="F1592" t="str">
        <f>"34"</f>
        <v>34</v>
      </c>
    </row>
    <row r="1593" spans="1:6">
      <c r="A1593" t="str">
        <f>"E1217-78"</f>
        <v>E1217-78</v>
      </c>
      <c r="B1593" t="str">
        <f t="shared" si="115"/>
        <v>VIA CESARE PEDRINI  30-</v>
      </c>
      <c r="C1593" t="str">
        <f t="shared" si="114"/>
        <v>RIV</v>
      </c>
      <c r="D1593">
        <v>27</v>
      </c>
      <c r="E1593" t="str">
        <f t="shared" si="112"/>
        <v>549</v>
      </c>
      <c r="F1593" t="str">
        <f>"33"</f>
        <v>33</v>
      </c>
    </row>
    <row r="1594" spans="1:6">
      <c r="A1594" t="str">
        <f>"E1217-79"</f>
        <v>E1217-79</v>
      </c>
      <c r="B1594" t="str">
        <f t="shared" si="115"/>
        <v>VIA CESARE PEDRINI  30-</v>
      </c>
      <c r="C1594" t="str">
        <f t="shared" si="114"/>
        <v>RIV</v>
      </c>
      <c r="D1594">
        <v>27</v>
      </c>
      <c r="E1594" t="str">
        <f t="shared" si="112"/>
        <v>549</v>
      </c>
      <c r="F1594" t="str">
        <f>"32"</f>
        <v>32</v>
      </c>
    </row>
    <row r="1595" spans="1:6">
      <c r="A1595" t="str">
        <f>"E1217-80"</f>
        <v>E1217-80</v>
      </c>
      <c r="B1595" t="str">
        <f t="shared" si="115"/>
        <v>VIA CESARE PEDRINI  30-</v>
      </c>
      <c r="C1595" t="str">
        <f t="shared" si="114"/>
        <v>RIV</v>
      </c>
      <c r="D1595">
        <v>27</v>
      </c>
      <c r="E1595" t="str">
        <f t="shared" si="112"/>
        <v>549</v>
      </c>
      <c r="F1595" t="str">
        <f>"31"</f>
        <v>31</v>
      </c>
    </row>
    <row r="1596" spans="1:6">
      <c r="A1596" t="str">
        <f>"E1217-81"</f>
        <v>E1217-81</v>
      </c>
      <c r="B1596" t="str">
        <f t="shared" si="115"/>
        <v>VIA CESARE PEDRINI  30-</v>
      </c>
      <c r="C1596" t="str">
        <f t="shared" si="114"/>
        <v>RIV</v>
      </c>
      <c r="D1596">
        <v>27</v>
      </c>
      <c r="E1596" t="str">
        <f t="shared" si="112"/>
        <v>549</v>
      </c>
      <c r="F1596" t="str">
        <f>"30"</f>
        <v>30</v>
      </c>
    </row>
    <row r="1597" spans="1:6">
      <c r="A1597" t="str">
        <f>"E1217-82"</f>
        <v>E1217-82</v>
      </c>
      <c r="B1597" t="str">
        <f t="shared" si="115"/>
        <v>VIA CESARE PEDRINI  30-</v>
      </c>
      <c r="C1597" t="str">
        <f t="shared" si="114"/>
        <v>RIV</v>
      </c>
      <c r="D1597">
        <v>27</v>
      </c>
      <c r="E1597" t="str">
        <f t="shared" si="112"/>
        <v>549</v>
      </c>
      <c r="F1597" t="str">
        <f>"29"</f>
        <v>29</v>
      </c>
    </row>
    <row r="1598" spans="1:6">
      <c r="A1598" t="str">
        <f>"E1217-83"</f>
        <v>E1217-83</v>
      </c>
      <c r="B1598" t="str">
        <f t="shared" si="115"/>
        <v>VIA CESARE PEDRINI  30-</v>
      </c>
      <c r="C1598" t="str">
        <f t="shared" si="114"/>
        <v>RIV</v>
      </c>
      <c r="D1598">
        <v>27</v>
      </c>
      <c r="E1598" t="str">
        <f t="shared" si="112"/>
        <v>549</v>
      </c>
      <c r="F1598" t="str">
        <f>"28"</f>
        <v>28</v>
      </c>
    </row>
    <row r="1599" spans="1:6">
      <c r="A1599" t="str">
        <f>"E1217-84"</f>
        <v>E1217-84</v>
      </c>
      <c r="B1599" t="str">
        <f t="shared" si="115"/>
        <v>VIA CESARE PEDRINI  30-</v>
      </c>
      <c r="C1599" t="str">
        <f t="shared" si="114"/>
        <v>RIV</v>
      </c>
      <c r="D1599">
        <v>27</v>
      </c>
      <c r="E1599" t="str">
        <f t="shared" ref="E1599:E1627" si="116">"549"</f>
        <v>549</v>
      </c>
      <c r="F1599" t="str">
        <f>"27"</f>
        <v>27</v>
      </c>
    </row>
    <row r="1600" spans="1:6">
      <c r="A1600" t="str">
        <f>"E1217-85"</f>
        <v>E1217-85</v>
      </c>
      <c r="B1600" t="str">
        <f t="shared" si="115"/>
        <v>VIA CESARE PEDRINI  30-</v>
      </c>
      <c r="C1600" t="str">
        <f t="shared" si="114"/>
        <v>RIV</v>
      </c>
      <c r="D1600">
        <v>27</v>
      </c>
      <c r="E1600" t="str">
        <f t="shared" si="116"/>
        <v>549</v>
      </c>
      <c r="F1600" t="str">
        <f>"26"</f>
        <v>26</v>
      </c>
    </row>
    <row r="1601" spans="1:6">
      <c r="A1601" t="str">
        <f>"E1217-86"</f>
        <v>E1217-86</v>
      </c>
      <c r="B1601" t="str">
        <f t="shared" si="115"/>
        <v>VIA CESARE PEDRINI  30-</v>
      </c>
      <c r="C1601" t="str">
        <f t="shared" si="114"/>
        <v>RIV</v>
      </c>
      <c r="D1601">
        <v>27</v>
      </c>
      <c r="E1601" t="str">
        <f t="shared" si="116"/>
        <v>549</v>
      </c>
      <c r="F1601" t="str">
        <f>"25"</f>
        <v>25</v>
      </c>
    </row>
    <row r="1602" spans="1:6">
      <c r="A1602" t="str">
        <f>"E1217-87"</f>
        <v>E1217-87</v>
      </c>
      <c r="B1602" t="str">
        <f t="shared" si="115"/>
        <v>VIA CESARE PEDRINI  30-</v>
      </c>
      <c r="C1602" t="str">
        <f t="shared" si="114"/>
        <v>RIV</v>
      </c>
      <c r="D1602">
        <v>27</v>
      </c>
      <c r="E1602" t="str">
        <f t="shared" si="116"/>
        <v>549</v>
      </c>
      <c r="F1602" t="str">
        <f>"24"</f>
        <v>24</v>
      </c>
    </row>
    <row r="1603" spans="1:6">
      <c r="A1603" t="str">
        <f>"E1217-88"</f>
        <v>E1217-88</v>
      </c>
      <c r="B1603" t="str">
        <f t="shared" si="115"/>
        <v>VIA CESARE PEDRINI  30-</v>
      </c>
      <c r="C1603" t="str">
        <f t="shared" si="114"/>
        <v>RIV</v>
      </c>
      <c r="D1603">
        <v>27</v>
      </c>
      <c r="E1603" t="str">
        <f t="shared" si="116"/>
        <v>549</v>
      </c>
      <c r="F1603" t="str">
        <f>"44"</f>
        <v>44</v>
      </c>
    </row>
    <row r="1604" spans="1:6">
      <c r="A1604" t="str">
        <f>"E1217-89"</f>
        <v>E1217-89</v>
      </c>
      <c r="B1604" t="str">
        <f t="shared" si="115"/>
        <v>VIA CESARE PEDRINI  30-</v>
      </c>
      <c r="C1604" t="str">
        <f t="shared" si="114"/>
        <v>RIV</v>
      </c>
      <c r="D1604">
        <v>27</v>
      </c>
      <c r="E1604" t="str">
        <f t="shared" si="116"/>
        <v>549</v>
      </c>
      <c r="F1604" t="str">
        <f>"45"</f>
        <v>45</v>
      </c>
    </row>
    <row r="1605" spans="1:6">
      <c r="A1605" t="str">
        <f>"E1217-90"</f>
        <v>E1217-90</v>
      </c>
      <c r="B1605" t="str">
        <f t="shared" si="115"/>
        <v>VIA CESARE PEDRINI  30-</v>
      </c>
      <c r="C1605" t="str">
        <f t="shared" si="114"/>
        <v>RIV</v>
      </c>
      <c r="D1605">
        <v>27</v>
      </c>
      <c r="E1605" t="str">
        <f t="shared" si="116"/>
        <v>549</v>
      </c>
      <c r="F1605" t="str">
        <f>"46"</f>
        <v>46</v>
      </c>
    </row>
    <row r="1606" spans="1:6">
      <c r="A1606" t="str">
        <f>"E1217-91"</f>
        <v>E1217-91</v>
      </c>
      <c r="B1606" t="str">
        <f t="shared" si="115"/>
        <v>VIA CESARE PEDRINI  30-</v>
      </c>
      <c r="C1606" t="str">
        <f t="shared" si="114"/>
        <v>RIV</v>
      </c>
      <c r="D1606">
        <v>27</v>
      </c>
      <c r="E1606" t="str">
        <f t="shared" si="116"/>
        <v>549</v>
      </c>
      <c r="F1606" t="str">
        <f>"47"</f>
        <v>47</v>
      </c>
    </row>
    <row r="1607" spans="1:6">
      <c r="A1607" t="str">
        <f>"E1217-92"</f>
        <v>E1217-92</v>
      </c>
      <c r="B1607" t="str">
        <f t="shared" si="115"/>
        <v>VIA CESARE PEDRINI  30-</v>
      </c>
      <c r="C1607" t="str">
        <f t="shared" si="114"/>
        <v>RIV</v>
      </c>
      <c r="D1607">
        <v>27</v>
      </c>
      <c r="E1607" t="str">
        <f t="shared" si="116"/>
        <v>549</v>
      </c>
      <c r="F1607" t="str">
        <f>"6"</f>
        <v>6</v>
      </c>
    </row>
    <row r="1608" spans="1:6">
      <c r="A1608" t="str">
        <f>"E1217-93"</f>
        <v>E1217-93</v>
      </c>
      <c r="B1608" t="str">
        <f t="shared" si="115"/>
        <v>VIA CESARE PEDRINI  30-</v>
      </c>
      <c r="C1608" t="str">
        <f t="shared" si="114"/>
        <v>RIV</v>
      </c>
      <c r="D1608">
        <v>27</v>
      </c>
      <c r="E1608" t="str">
        <f t="shared" si="116"/>
        <v>549</v>
      </c>
      <c r="F1608" t="str">
        <f>"52"</f>
        <v>52</v>
      </c>
    </row>
    <row r="1609" spans="1:6">
      <c r="A1609" t="str">
        <f>"E1217-94"</f>
        <v>E1217-94</v>
      </c>
      <c r="B1609" t="str">
        <f t="shared" si="115"/>
        <v>VIA CESARE PEDRINI  30-</v>
      </c>
      <c r="C1609" t="str">
        <f t="shared" si="114"/>
        <v>RIV</v>
      </c>
      <c r="D1609">
        <v>27</v>
      </c>
      <c r="E1609" t="str">
        <f t="shared" si="116"/>
        <v>549</v>
      </c>
      <c r="F1609" t="str">
        <f>"51"</f>
        <v>51</v>
      </c>
    </row>
    <row r="1610" spans="1:6">
      <c r="A1610" t="str">
        <f>"E1217-95"</f>
        <v>E1217-95</v>
      </c>
      <c r="B1610" t="str">
        <f t="shared" si="115"/>
        <v>VIA CESARE PEDRINI  30-</v>
      </c>
      <c r="C1610" t="str">
        <f t="shared" si="114"/>
        <v>RIV</v>
      </c>
      <c r="D1610">
        <v>27</v>
      </c>
      <c r="E1610" t="str">
        <f t="shared" si="116"/>
        <v>549</v>
      </c>
      <c r="F1610" t="str">
        <f>"50"</f>
        <v>50</v>
      </c>
    </row>
    <row r="1611" spans="1:6">
      <c r="A1611" t="str">
        <f>"E1217-96"</f>
        <v>E1217-96</v>
      </c>
      <c r="B1611" t="str">
        <f t="shared" si="115"/>
        <v>VIA CESARE PEDRINI  30-</v>
      </c>
      <c r="C1611" t="str">
        <f t="shared" si="114"/>
        <v>RIV</v>
      </c>
      <c r="D1611">
        <v>27</v>
      </c>
      <c r="E1611" t="str">
        <f t="shared" si="116"/>
        <v>549</v>
      </c>
      <c r="F1611" t="str">
        <f>"49"</f>
        <v>49</v>
      </c>
    </row>
    <row r="1612" spans="1:6">
      <c r="A1612" t="str">
        <f>"E1217-97"</f>
        <v>E1217-97</v>
      </c>
      <c r="B1612" t="str">
        <f t="shared" si="115"/>
        <v>VIA CESARE PEDRINI  30-</v>
      </c>
      <c r="C1612" t="str">
        <f t="shared" si="114"/>
        <v>RIV</v>
      </c>
      <c r="D1612">
        <v>27</v>
      </c>
      <c r="E1612" t="str">
        <f t="shared" si="116"/>
        <v>549</v>
      </c>
      <c r="F1612" t="str">
        <f>"56"</f>
        <v>56</v>
      </c>
    </row>
    <row r="1613" spans="1:6">
      <c r="A1613" t="str">
        <f>"E1217-98"</f>
        <v>E1217-98</v>
      </c>
      <c r="B1613" t="str">
        <f t="shared" si="115"/>
        <v>VIA CESARE PEDRINI  30-</v>
      </c>
      <c r="C1613" t="str">
        <f t="shared" ref="C1613:C1627" si="117">"RIV"</f>
        <v>RIV</v>
      </c>
      <c r="D1613">
        <v>27</v>
      </c>
      <c r="E1613" t="str">
        <f t="shared" si="116"/>
        <v>549</v>
      </c>
      <c r="F1613" t="str">
        <f>"55"</f>
        <v>55</v>
      </c>
    </row>
    <row r="1614" spans="1:6">
      <c r="A1614" t="str">
        <f>"E1217-99"</f>
        <v>E1217-99</v>
      </c>
      <c r="B1614" t="str">
        <f t="shared" si="115"/>
        <v>VIA CESARE PEDRINI  30-</v>
      </c>
      <c r="C1614" t="str">
        <f t="shared" si="117"/>
        <v>RIV</v>
      </c>
      <c r="D1614">
        <v>27</v>
      </c>
      <c r="E1614" t="str">
        <f t="shared" si="116"/>
        <v>549</v>
      </c>
      <c r="F1614" t="str">
        <f>"54"</f>
        <v>54</v>
      </c>
    </row>
    <row r="1615" spans="1:6">
      <c r="A1615" t="str">
        <f>"E1217-100"</f>
        <v>E1217-100</v>
      </c>
      <c r="B1615" t="str">
        <f t="shared" si="115"/>
        <v>VIA CESARE PEDRINI  30-</v>
      </c>
      <c r="C1615" t="str">
        <f t="shared" si="117"/>
        <v>RIV</v>
      </c>
      <c r="D1615">
        <v>27</v>
      </c>
      <c r="E1615" t="str">
        <f t="shared" si="116"/>
        <v>549</v>
      </c>
      <c r="F1615" t="str">
        <f>"53"</f>
        <v>53</v>
      </c>
    </row>
    <row r="1616" spans="1:6">
      <c r="A1616" t="str">
        <f>"E1217-101"</f>
        <v>E1217-101</v>
      </c>
      <c r="B1616" t="str">
        <f t="shared" si="115"/>
        <v>VIA CESARE PEDRINI  30-</v>
      </c>
      <c r="C1616" t="str">
        <f t="shared" si="117"/>
        <v>RIV</v>
      </c>
      <c r="D1616">
        <v>27</v>
      </c>
      <c r="E1616" t="str">
        <f t="shared" si="116"/>
        <v>549</v>
      </c>
      <c r="F1616" t="str">
        <f>"60"</f>
        <v>60</v>
      </c>
    </row>
    <row r="1617" spans="1:6">
      <c r="A1617" t="str">
        <f>"E1217-102"</f>
        <v>E1217-102</v>
      </c>
      <c r="B1617" t="str">
        <f t="shared" si="115"/>
        <v>VIA CESARE PEDRINI  30-</v>
      </c>
      <c r="C1617" t="str">
        <f t="shared" si="117"/>
        <v>RIV</v>
      </c>
      <c r="D1617">
        <v>27</v>
      </c>
      <c r="E1617" t="str">
        <f t="shared" si="116"/>
        <v>549</v>
      </c>
      <c r="F1617" t="str">
        <f>"59"</f>
        <v>59</v>
      </c>
    </row>
    <row r="1618" spans="1:6">
      <c r="A1618" t="str">
        <f>"E1217-103"</f>
        <v>E1217-103</v>
      </c>
      <c r="B1618" t="str">
        <f t="shared" si="115"/>
        <v>VIA CESARE PEDRINI  30-</v>
      </c>
      <c r="C1618" t="str">
        <f t="shared" si="117"/>
        <v>RIV</v>
      </c>
      <c r="D1618">
        <v>27</v>
      </c>
      <c r="E1618" t="str">
        <f t="shared" si="116"/>
        <v>549</v>
      </c>
      <c r="F1618" t="str">
        <f>"58"</f>
        <v>58</v>
      </c>
    </row>
    <row r="1619" spans="1:6">
      <c r="A1619" t="str">
        <f>"E1217-104"</f>
        <v>E1217-104</v>
      </c>
      <c r="B1619" t="str">
        <f t="shared" si="115"/>
        <v>VIA CESARE PEDRINI  30-</v>
      </c>
      <c r="C1619" t="str">
        <f t="shared" si="117"/>
        <v>RIV</v>
      </c>
      <c r="D1619">
        <v>27</v>
      </c>
      <c r="E1619" t="str">
        <f t="shared" si="116"/>
        <v>549</v>
      </c>
      <c r="F1619" t="str">
        <f>"57"</f>
        <v>57</v>
      </c>
    </row>
    <row r="1620" spans="1:6">
      <c r="A1620" t="str">
        <f>"E1217-105"</f>
        <v>E1217-105</v>
      </c>
      <c r="B1620" t="str">
        <f t="shared" si="115"/>
        <v>VIA CESARE PEDRINI  30-</v>
      </c>
      <c r="C1620" t="str">
        <f t="shared" si="117"/>
        <v>RIV</v>
      </c>
      <c r="D1620">
        <v>27</v>
      </c>
      <c r="E1620" t="str">
        <f t="shared" si="116"/>
        <v>549</v>
      </c>
      <c r="F1620" t="str">
        <f>"64"</f>
        <v>64</v>
      </c>
    </row>
    <row r="1621" spans="1:6">
      <c r="A1621" t="str">
        <f>"E1217-106"</f>
        <v>E1217-106</v>
      </c>
      <c r="B1621" t="str">
        <f t="shared" si="115"/>
        <v>VIA CESARE PEDRINI  30-</v>
      </c>
      <c r="C1621" t="str">
        <f t="shared" si="117"/>
        <v>RIV</v>
      </c>
      <c r="D1621">
        <v>27</v>
      </c>
      <c r="E1621" t="str">
        <f t="shared" si="116"/>
        <v>549</v>
      </c>
      <c r="F1621" t="str">
        <f>"63"</f>
        <v>63</v>
      </c>
    </row>
    <row r="1622" spans="1:6">
      <c r="A1622" t="str">
        <f>"E1217-107"</f>
        <v>E1217-107</v>
      </c>
      <c r="B1622" t="str">
        <f t="shared" si="115"/>
        <v>VIA CESARE PEDRINI  30-</v>
      </c>
      <c r="C1622" t="str">
        <f t="shared" si="117"/>
        <v>RIV</v>
      </c>
      <c r="D1622">
        <v>27</v>
      </c>
      <c r="E1622" t="str">
        <f t="shared" si="116"/>
        <v>549</v>
      </c>
      <c r="F1622" t="str">
        <f>"62"</f>
        <v>62</v>
      </c>
    </row>
    <row r="1623" spans="1:6">
      <c r="A1623" t="str">
        <f>"E1217-108"</f>
        <v>E1217-108</v>
      </c>
      <c r="B1623" t="str">
        <f t="shared" si="115"/>
        <v>VIA CESARE PEDRINI  30-</v>
      </c>
      <c r="C1623" t="str">
        <f t="shared" si="117"/>
        <v>RIV</v>
      </c>
      <c r="D1623">
        <v>27</v>
      </c>
      <c r="E1623" t="str">
        <f t="shared" si="116"/>
        <v>549</v>
      </c>
      <c r="F1623" t="str">
        <f>"61"</f>
        <v>61</v>
      </c>
    </row>
    <row r="1624" spans="1:6">
      <c r="A1624" t="str">
        <f>"E1217-109"</f>
        <v>E1217-109</v>
      </c>
      <c r="B1624" t="str">
        <f t="shared" si="115"/>
        <v>VIA CESARE PEDRINI  30-</v>
      </c>
      <c r="C1624" t="str">
        <f t="shared" si="117"/>
        <v>RIV</v>
      </c>
      <c r="D1624">
        <v>27</v>
      </c>
      <c r="E1624" t="str">
        <f t="shared" si="116"/>
        <v>549</v>
      </c>
      <c r="F1624" t="str">
        <f>"68"</f>
        <v>68</v>
      </c>
    </row>
    <row r="1625" spans="1:6">
      <c r="A1625" t="str">
        <f>"E1217-110"</f>
        <v>E1217-110</v>
      </c>
      <c r="B1625" t="str">
        <f t="shared" si="115"/>
        <v>VIA CESARE PEDRINI  30-</v>
      </c>
      <c r="C1625" t="str">
        <f t="shared" si="117"/>
        <v>RIV</v>
      </c>
      <c r="D1625">
        <v>27</v>
      </c>
      <c r="E1625" t="str">
        <f t="shared" si="116"/>
        <v>549</v>
      </c>
      <c r="F1625" t="str">
        <f>"67"</f>
        <v>67</v>
      </c>
    </row>
    <row r="1626" spans="1:6">
      <c r="A1626" t="str">
        <f>"E1217-111"</f>
        <v>E1217-111</v>
      </c>
      <c r="B1626" t="str">
        <f t="shared" si="115"/>
        <v>VIA CESARE PEDRINI  30-</v>
      </c>
      <c r="C1626" t="str">
        <f t="shared" si="117"/>
        <v>RIV</v>
      </c>
      <c r="D1626">
        <v>27</v>
      </c>
      <c r="E1626" t="str">
        <f t="shared" si="116"/>
        <v>549</v>
      </c>
      <c r="F1626" t="str">
        <f>"66"</f>
        <v>66</v>
      </c>
    </row>
    <row r="1627" spans="1:6">
      <c r="A1627" t="str">
        <f>"E1217-112"</f>
        <v>E1217-112</v>
      </c>
      <c r="B1627" t="str">
        <f t="shared" si="115"/>
        <v>VIA CESARE PEDRINI  30-</v>
      </c>
      <c r="C1627" t="str">
        <f t="shared" si="117"/>
        <v>RIV</v>
      </c>
      <c r="D1627">
        <v>27</v>
      </c>
      <c r="E1627" t="str">
        <f t="shared" si="116"/>
        <v>549</v>
      </c>
      <c r="F1627" t="str">
        <f>"65"</f>
        <v>65</v>
      </c>
    </row>
    <row r="1628" spans="1:6">
      <c r="A1628" t="str">
        <f>"E1218-1"</f>
        <v>E1218-1</v>
      </c>
      <c r="B1628" t="str">
        <f>"VIA BEATA CHIARA VICINO AL 11-"</f>
        <v>VIA BEATA CHIARA VICINO AL 11-</v>
      </c>
      <c r="C1628" t="str">
        <f>"PON"</f>
        <v>PON</v>
      </c>
      <c r="D1628">
        <v>4</v>
      </c>
      <c r="E1628" t="str">
        <f>"156"</f>
        <v>156</v>
      </c>
      <c r="F1628" t="str">
        <f>"5"</f>
        <v>5</v>
      </c>
    </row>
    <row r="1629" spans="1:6">
      <c r="A1629" t="str">
        <f>"E1219-1"</f>
        <v>E1219-1</v>
      </c>
      <c r="B1629" t="str">
        <f>"VIA CESARE PEDRINI  26-"</f>
        <v>VIA CESARE PEDRINI  26-</v>
      </c>
      <c r="C1629" t="str">
        <f t="shared" ref="C1629:C1660" si="118">"RIV"</f>
        <v>RIV</v>
      </c>
      <c r="D1629">
        <v>27</v>
      </c>
      <c r="E1629" t="str">
        <f t="shared" ref="E1629:E1660" si="119">"935"</f>
        <v>935</v>
      </c>
      <c r="F1629" t="str">
        <f>"2"</f>
        <v>2</v>
      </c>
    </row>
    <row r="1630" spans="1:6">
      <c r="A1630" t="str">
        <f>"E1219-2"</f>
        <v>E1219-2</v>
      </c>
      <c r="B1630" t="str">
        <f>"VIA CESARE PEDRINI  4-"</f>
        <v>VIA CESARE PEDRINI  4-</v>
      </c>
      <c r="C1630" t="str">
        <f t="shared" si="118"/>
        <v>RIV</v>
      </c>
      <c r="D1630">
        <v>27</v>
      </c>
      <c r="E1630" t="str">
        <f t="shared" si="119"/>
        <v>935</v>
      </c>
      <c r="F1630" t="str">
        <f>"3"</f>
        <v>3</v>
      </c>
    </row>
    <row r="1631" spans="1:6">
      <c r="A1631" t="str">
        <f>"E1219-3"</f>
        <v>E1219-3</v>
      </c>
      <c r="B1631" t="str">
        <f>"VIA CESARE PEDRINI  6-"</f>
        <v>VIA CESARE PEDRINI  6-</v>
      </c>
      <c r="C1631" t="str">
        <f t="shared" si="118"/>
        <v>RIV</v>
      </c>
      <c r="D1631">
        <v>27</v>
      </c>
      <c r="E1631" t="str">
        <f t="shared" si="119"/>
        <v>935</v>
      </c>
      <c r="F1631" t="str">
        <f>"4"</f>
        <v>4</v>
      </c>
    </row>
    <row r="1632" spans="1:6">
      <c r="A1632" t="str">
        <f>"E1219-4"</f>
        <v>E1219-4</v>
      </c>
      <c r="B1632" t="str">
        <f>"VIA CESARE PEDRINI  8-"</f>
        <v>VIA CESARE PEDRINI  8-</v>
      </c>
      <c r="C1632" t="str">
        <f t="shared" si="118"/>
        <v>RIV</v>
      </c>
      <c r="D1632">
        <v>27</v>
      </c>
      <c r="E1632" t="str">
        <f t="shared" si="119"/>
        <v>935</v>
      </c>
      <c r="F1632" t="str">
        <f>"5"</f>
        <v>5</v>
      </c>
    </row>
    <row r="1633" spans="1:6">
      <c r="A1633" t="str">
        <f>"E1219-5"</f>
        <v>E1219-5</v>
      </c>
      <c r="B1633" t="str">
        <f>"VIA CESARE PEDRINI  10-"</f>
        <v>VIA CESARE PEDRINI  10-</v>
      </c>
      <c r="C1633" t="str">
        <f t="shared" si="118"/>
        <v>RIV</v>
      </c>
      <c r="D1633">
        <v>27</v>
      </c>
      <c r="E1633" t="str">
        <f t="shared" si="119"/>
        <v>935</v>
      </c>
      <c r="F1633" t="str">
        <f>"6"</f>
        <v>6</v>
      </c>
    </row>
    <row r="1634" spans="1:6">
      <c r="A1634" t="str">
        <f>"E1219-6"</f>
        <v>E1219-6</v>
      </c>
      <c r="B1634" t="str">
        <f>"VIA CESARE PEDRINI  12-"</f>
        <v>VIA CESARE PEDRINI  12-</v>
      </c>
      <c r="C1634" t="str">
        <f t="shared" si="118"/>
        <v>RIV</v>
      </c>
      <c r="D1634">
        <v>27</v>
      </c>
      <c r="E1634" t="str">
        <f t="shared" si="119"/>
        <v>935</v>
      </c>
      <c r="F1634" t="str">
        <f>"7"</f>
        <v>7</v>
      </c>
    </row>
    <row r="1635" spans="1:6">
      <c r="A1635" t="str">
        <f>"E1219-7"</f>
        <v>E1219-7</v>
      </c>
      <c r="B1635" t="str">
        <f>"VIA CESARE PEDRINI  14-"</f>
        <v>VIA CESARE PEDRINI  14-</v>
      </c>
      <c r="C1635" t="str">
        <f t="shared" si="118"/>
        <v>RIV</v>
      </c>
      <c r="D1635">
        <v>27</v>
      </c>
      <c r="E1635" t="str">
        <f t="shared" si="119"/>
        <v>935</v>
      </c>
      <c r="F1635" t="str">
        <f>"8"</f>
        <v>8</v>
      </c>
    </row>
    <row r="1636" spans="1:6">
      <c r="A1636" t="str">
        <f>"E1219-8"</f>
        <v>E1219-8</v>
      </c>
      <c r="B1636" t="str">
        <f>"VIA CESARE PEDRINI  16-"</f>
        <v>VIA CESARE PEDRINI  16-</v>
      </c>
      <c r="C1636" t="str">
        <f t="shared" si="118"/>
        <v>RIV</v>
      </c>
      <c r="D1636">
        <v>27</v>
      </c>
      <c r="E1636" t="str">
        <f t="shared" si="119"/>
        <v>935</v>
      </c>
      <c r="F1636" t="str">
        <f>"9"</f>
        <v>9</v>
      </c>
    </row>
    <row r="1637" spans="1:6">
      <c r="A1637" t="str">
        <f>"E1219-9"</f>
        <v>E1219-9</v>
      </c>
      <c r="B1637" t="str">
        <f>"VIA CESARE PEDRINI  18-"</f>
        <v>VIA CESARE PEDRINI  18-</v>
      </c>
      <c r="C1637" t="str">
        <f t="shared" si="118"/>
        <v>RIV</v>
      </c>
      <c r="D1637">
        <v>27</v>
      </c>
      <c r="E1637" t="str">
        <f t="shared" si="119"/>
        <v>935</v>
      </c>
      <c r="F1637" t="str">
        <f>"10"</f>
        <v>10</v>
      </c>
    </row>
    <row r="1638" spans="1:6">
      <c r="A1638" t="str">
        <f>"E1219-10"</f>
        <v>E1219-10</v>
      </c>
      <c r="B1638" t="str">
        <f>"VIA CESARE PEDRINI  20-"</f>
        <v>VIA CESARE PEDRINI  20-</v>
      </c>
      <c r="C1638" t="str">
        <f t="shared" si="118"/>
        <v>RIV</v>
      </c>
      <c r="D1638">
        <v>27</v>
      </c>
      <c r="E1638" t="str">
        <f t="shared" si="119"/>
        <v>935</v>
      </c>
      <c r="F1638" t="str">
        <f>"11"</f>
        <v>11</v>
      </c>
    </row>
    <row r="1639" spans="1:6">
      <c r="A1639" t="str">
        <f>"E1219-11"</f>
        <v>E1219-11</v>
      </c>
      <c r="B1639" t="str">
        <f>"VIA CESARE PEDRINI  22-"</f>
        <v>VIA CESARE PEDRINI  22-</v>
      </c>
      <c r="C1639" t="str">
        <f t="shared" si="118"/>
        <v>RIV</v>
      </c>
      <c r="D1639">
        <v>27</v>
      </c>
      <c r="E1639" t="str">
        <f t="shared" si="119"/>
        <v>935</v>
      </c>
      <c r="F1639" t="str">
        <f>"12"</f>
        <v>12</v>
      </c>
    </row>
    <row r="1640" spans="1:6">
      <c r="A1640" t="str">
        <f>"E1219-12"</f>
        <v>E1219-12</v>
      </c>
      <c r="B1640" t="str">
        <f t="shared" ref="B1640:B1645" si="120">"VIA VIRGILIO BROCCHI  12-"</f>
        <v>VIA VIRGILIO BROCCHI  12-</v>
      </c>
      <c r="C1640" t="str">
        <f t="shared" si="118"/>
        <v>RIV</v>
      </c>
      <c r="D1640">
        <v>27</v>
      </c>
      <c r="E1640" t="str">
        <f t="shared" si="119"/>
        <v>935</v>
      </c>
      <c r="F1640" t="str">
        <f>"14"</f>
        <v>14</v>
      </c>
    </row>
    <row r="1641" spans="1:6">
      <c r="A1641" t="str">
        <f>"E1219-13"</f>
        <v>E1219-13</v>
      </c>
      <c r="B1641" t="str">
        <f t="shared" si="120"/>
        <v>VIA VIRGILIO BROCCHI  12-</v>
      </c>
      <c r="C1641" t="str">
        <f t="shared" si="118"/>
        <v>RIV</v>
      </c>
      <c r="D1641">
        <v>27</v>
      </c>
      <c r="E1641" t="str">
        <f t="shared" si="119"/>
        <v>935</v>
      </c>
      <c r="F1641" t="str">
        <f>"15"</f>
        <v>15</v>
      </c>
    </row>
    <row r="1642" spans="1:6">
      <c r="A1642" t="str">
        <f>"E1219-14"</f>
        <v>E1219-14</v>
      </c>
      <c r="B1642" t="str">
        <f t="shared" si="120"/>
        <v>VIA VIRGILIO BROCCHI  12-</v>
      </c>
      <c r="C1642" t="str">
        <f t="shared" si="118"/>
        <v>RIV</v>
      </c>
      <c r="D1642">
        <v>27</v>
      </c>
      <c r="E1642" t="str">
        <f t="shared" si="119"/>
        <v>935</v>
      </c>
      <c r="F1642" t="str">
        <f>"16"</f>
        <v>16</v>
      </c>
    </row>
    <row r="1643" spans="1:6">
      <c r="A1643" t="str">
        <f>"E1219-15"</f>
        <v>E1219-15</v>
      </c>
      <c r="B1643" t="str">
        <f t="shared" si="120"/>
        <v>VIA VIRGILIO BROCCHI  12-</v>
      </c>
      <c r="C1643" t="str">
        <f t="shared" si="118"/>
        <v>RIV</v>
      </c>
      <c r="D1643">
        <v>27</v>
      </c>
      <c r="E1643" t="str">
        <f t="shared" si="119"/>
        <v>935</v>
      </c>
      <c r="F1643" t="str">
        <f>"17"</f>
        <v>17</v>
      </c>
    </row>
    <row r="1644" spans="1:6">
      <c r="A1644" t="str">
        <f>"E1219-16"</f>
        <v>E1219-16</v>
      </c>
      <c r="B1644" t="str">
        <f t="shared" si="120"/>
        <v>VIA VIRGILIO BROCCHI  12-</v>
      </c>
      <c r="C1644" t="str">
        <f t="shared" si="118"/>
        <v>RIV</v>
      </c>
      <c r="D1644">
        <v>27</v>
      </c>
      <c r="E1644" t="str">
        <f t="shared" si="119"/>
        <v>935</v>
      </c>
      <c r="F1644" t="str">
        <f>"18"</f>
        <v>18</v>
      </c>
    </row>
    <row r="1645" spans="1:6">
      <c r="A1645" t="str">
        <f>"E1219-17"</f>
        <v>E1219-17</v>
      </c>
      <c r="B1645" t="str">
        <f t="shared" si="120"/>
        <v>VIA VIRGILIO BROCCHI  12-</v>
      </c>
      <c r="C1645" t="str">
        <f t="shared" si="118"/>
        <v>RIV</v>
      </c>
      <c r="D1645">
        <v>27</v>
      </c>
      <c r="E1645" t="str">
        <f t="shared" si="119"/>
        <v>935</v>
      </c>
      <c r="F1645" t="str">
        <f>"19"</f>
        <v>19</v>
      </c>
    </row>
    <row r="1646" spans="1:6">
      <c r="A1646" t="str">
        <f>"E1219-18"</f>
        <v>E1219-18</v>
      </c>
      <c r="B1646" t="str">
        <f t="shared" ref="B1646:B1673" si="121">"VIA CESARE PEDRINI  24-"</f>
        <v>VIA CESARE PEDRINI  24-</v>
      </c>
      <c r="C1646" t="str">
        <f t="shared" si="118"/>
        <v>RIV</v>
      </c>
      <c r="D1646">
        <v>27</v>
      </c>
      <c r="E1646" t="str">
        <f t="shared" si="119"/>
        <v>935</v>
      </c>
      <c r="F1646" t="str">
        <f>"20"</f>
        <v>20</v>
      </c>
    </row>
    <row r="1647" spans="1:6">
      <c r="A1647" t="str">
        <f>"E1219-19"</f>
        <v>E1219-19</v>
      </c>
      <c r="B1647" t="str">
        <f t="shared" si="121"/>
        <v>VIA CESARE PEDRINI  24-</v>
      </c>
      <c r="C1647" t="str">
        <f t="shared" si="118"/>
        <v>RIV</v>
      </c>
      <c r="D1647">
        <v>27</v>
      </c>
      <c r="E1647" t="str">
        <f t="shared" si="119"/>
        <v>935</v>
      </c>
      <c r="F1647" t="str">
        <f>"21"</f>
        <v>21</v>
      </c>
    </row>
    <row r="1648" spans="1:6">
      <c r="A1648" t="str">
        <f>"E1219-20"</f>
        <v>E1219-20</v>
      </c>
      <c r="B1648" t="str">
        <f t="shared" si="121"/>
        <v>VIA CESARE PEDRINI  24-</v>
      </c>
      <c r="C1648" t="str">
        <f t="shared" si="118"/>
        <v>RIV</v>
      </c>
      <c r="D1648">
        <v>27</v>
      </c>
      <c r="E1648" t="str">
        <f t="shared" si="119"/>
        <v>935</v>
      </c>
      <c r="F1648" t="str">
        <f>"22"</f>
        <v>22</v>
      </c>
    </row>
    <row r="1649" spans="1:6">
      <c r="A1649" t="str">
        <f>"E1219-21"</f>
        <v>E1219-21</v>
      </c>
      <c r="B1649" t="str">
        <f t="shared" si="121"/>
        <v>VIA CESARE PEDRINI  24-</v>
      </c>
      <c r="C1649" t="str">
        <f t="shared" si="118"/>
        <v>RIV</v>
      </c>
      <c r="D1649">
        <v>27</v>
      </c>
      <c r="E1649" t="str">
        <f t="shared" si="119"/>
        <v>935</v>
      </c>
      <c r="F1649" t="str">
        <f>"23"</f>
        <v>23</v>
      </c>
    </row>
    <row r="1650" spans="1:6">
      <c r="A1650" t="str">
        <f>"E1219-22"</f>
        <v>E1219-22</v>
      </c>
      <c r="B1650" t="str">
        <f t="shared" si="121"/>
        <v>VIA CESARE PEDRINI  24-</v>
      </c>
      <c r="C1650" t="str">
        <f t="shared" si="118"/>
        <v>RIV</v>
      </c>
      <c r="D1650">
        <v>27</v>
      </c>
      <c r="E1650" t="str">
        <f t="shared" si="119"/>
        <v>935</v>
      </c>
      <c r="F1650" t="str">
        <f>"24"</f>
        <v>24</v>
      </c>
    </row>
    <row r="1651" spans="1:6">
      <c r="A1651" t="str">
        <f>"E1219-23"</f>
        <v>E1219-23</v>
      </c>
      <c r="B1651" t="str">
        <f t="shared" si="121"/>
        <v>VIA CESARE PEDRINI  24-</v>
      </c>
      <c r="C1651" t="str">
        <f t="shared" si="118"/>
        <v>RIV</v>
      </c>
      <c r="D1651">
        <v>27</v>
      </c>
      <c r="E1651" t="str">
        <f t="shared" si="119"/>
        <v>935</v>
      </c>
      <c r="F1651" t="str">
        <f>"25"</f>
        <v>25</v>
      </c>
    </row>
    <row r="1652" spans="1:6">
      <c r="A1652" t="str">
        <f>"E1219-24"</f>
        <v>E1219-24</v>
      </c>
      <c r="B1652" t="str">
        <f t="shared" si="121"/>
        <v>VIA CESARE PEDRINI  24-</v>
      </c>
      <c r="C1652" t="str">
        <f t="shared" si="118"/>
        <v>RIV</v>
      </c>
      <c r="D1652">
        <v>27</v>
      </c>
      <c r="E1652" t="str">
        <f t="shared" si="119"/>
        <v>935</v>
      </c>
      <c r="F1652" t="str">
        <f>"26"</f>
        <v>26</v>
      </c>
    </row>
    <row r="1653" spans="1:6">
      <c r="A1653" t="str">
        <f>"E1219-25"</f>
        <v>E1219-25</v>
      </c>
      <c r="B1653" t="str">
        <f t="shared" si="121"/>
        <v>VIA CESARE PEDRINI  24-</v>
      </c>
      <c r="C1653" t="str">
        <f t="shared" si="118"/>
        <v>RIV</v>
      </c>
      <c r="D1653">
        <v>27</v>
      </c>
      <c r="E1653" t="str">
        <f t="shared" si="119"/>
        <v>935</v>
      </c>
      <c r="F1653" t="str">
        <f>"27"</f>
        <v>27</v>
      </c>
    </row>
    <row r="1654" spans="1:6">
      <c r="A1654" t="str">
        <f>"E1219-26"</f>
        <v>E1219-26</v>
      </c>
      <c r="B1654" t="str">
        <f t="shared" si="121"/>
        <v>VIA CESARE PEDRINI  24-</v>
      </c>
      <c r="C1654" t="str">
        <f t="shared" si="118"/>
        <v>RIV</v>
      </c>
      <c r="D1654">
        <v>27</v>
      </c>
      <c r="E1654" t="str">
        <f t="shared" si="119"/>
        <v>935</v>
      </c>
      <c r="F1654" t="str">
        <f>"28"</f>
        <v>28</v>
      </c>
    </row>
    <row r="1655" spans="1:6">
      <c r="A1655" t="str">
        <f>"E1219-27"</f>
        <v>E1219-27</v>
      </c>
      <c r="B1655" t="str">
        <f t="shared" si="121"/>
        <v>VIA CESARE PEDRINI  24-</v>
      </c>
      <c r="C1655" t="str">
        <f t="shared" si="118"/>
        <v>RIV</v>
      </c>
      <c r="D1655">
        <v>27</v>
      </c>
      <c r="E1655" t="str">
        <f t="shared" si="119"/>
        <v>935</v>
      </c>
      <c r="F1655" t="str">
        <f>"29"</f>
        <v>29</v>
      </c>
    </row>
    <row r="1656" spans="1:6">
      <c r="A1656" t="str">
        <f>"E1219-28"</f>
        <v>E1219-28</v>
      </c>
      <c r="B1656" t="str">
        <f t="shared" si="121"/>
        <v>VIA CESARE PEDRINI  24-</v>
      </c>
      <c r="C1656" t="str">
        <f t="shared" si="118"/>
        <v>RIV</v>
      </c>
      <c r="D1656">
        <v>27</v>
      </c>
      <c r="E1656" t="str">
        <f t="shared" si="119"/>
        <v>935</v>
      </c>
      <c r="F1656" t="str">
        <f>"30"</f>
        <v>30</v>
      </c>
    </row>
    <row r="1657" spans="1:6">
      <c r="A1657" t="str">
        <f>"E1219-29"</f>
        <v>E1219-29</v>
      </c>
      <c r="B1657" t="str">
        <f t="shared" si="121"/>
        <v>VIA CESARE PEDRINI  24-</v>
      </c>
      <c r="C1657" t="str">
        <f t="shared" si="118"/>
        <v>RIV</v>
      </c>
      <c r="D1657">
        <v>27</v>
      </c>
      <c r="E1657" t="str">
        <f t="shared" si="119"/>
        <v>935</v>
      </c>
      <c r="F1657" t="str">
        <f>"31"</f>
        <v>31</v>
      </c>
    </row>
    <row r="1658" spans="1:6">
      <c r="A1658" t="str">
        <f>"E1219-30"</f>
        <v>E1219-30</v>
      </c>
      <c r="B1658" t="str">
        <f t="shared" si="121"/>
        <v>VIA CESARE PEDRINI  24-</v>
      </c>
      <c r="C1658" t="str">
        <f t="shared" si="118"/>
        <v>RIV</v>
      </c>
      <c r="D1658">
        <v>27</v>
      </c>
      <c r="E1658" t="str">
        <f t="shared" si="119"/>
        <v>935</v>
      </c>
      <c r="F1658" t="str">
        <f>"32"</f>
        <v>32</v>
      </c>
    </row>
    <row r="1659" spans="1:6">
      <c r="A1659" t="str">
        <f>"E1219-31"</f>
        <v>E1219-31</v>
      </c>
      <c r="B1659" t="str">
        <f t="shared" si="121"/>
        <v>VIA CESARE PEDRINI  24-</v>
      </c>
      <c r="C1659" t="str">
        <f t="shared" si="118"/>
        <v>RIV</v>
      </c>
      <c r="D1659">
        <v>27</v>
      </c>
      <c r="E1659" t="str">
        <f t="shared" si="119"/>
        <v>935</v>
      </c>
      <c r="F1659" t="str">
        <f>"33"</f>
        <v>33</v>
      </c>
    </row>
    <row r="1660" spans="1:6">
      <c r="A1660" t="str">
        <f>"E1219-32"</f>
        <v>E1219-32</v>
      </c>
      <c r="B1660" t="str">
        <f t="shared" si="121"/>
        <v>VIA CESARE PEDRINI  24-</v>
      </c>
      <c r="C1660" t="str">
        <f t="shared" si="118"/>
        <v>RIV</v>
      </c>
      <c r="D1660">
        <v>27</v>
      </c>
      <c r="E1660" t="str">
        <f t="shared" si="119"/>
        <v>935</v>
      </c>
      <c r="F1660" t="str">
        <f>"35"</f>
        <v>35</v>
      </c>
    </row>
    <row r="1661" spans="1:6">
      <c r="A1661" t="str">
        <f>"E1219-33"</f>
        <v>E1219-33</v>
      </c>
      <c r="B1661" t="str">
        <f t="shared" si="121"/>
        <v>VIA CESARE PEDRINI  24-</v>
      </c>
      <c r="C1661" t="str">
        <f t="shared" ref="C1661:C1692" si="122">"RIV"</f>
        <v>RIV</v>
      </c>
      <c r="D1661">
        <v>27</v>
      </c>
      <c r="E1661" t="str">
        <f t="shared" ref="E1661:E1692" si="123">"935"</f>
        <v>935</v>
      </c>
      <c r="F1661" t="str">
        <f>"36"</f>
        <v>36</v>
      </c>
    </row>
    <row r="1662" spans="1:6">
      <c r="A1662" t="str">
        <f>"E1219-34"</f>
        <v>E1219-34</v>
      </c>
      <c r="B1662" t="str">
        <f t="shared" si="121"/>
        <v>VIA CESARE PEDRINI  24-</v>
      </c>
      <c r="C1662" t="str">
        <f t="shared" si="122"/>
        <v>RIV</v>
      </c>
      <c r="D1662">
        <v>27</v>
      </c>
      <c r="E1662" t="str">
        <f t="shared" si="123"/>
        <v>935</v>
      </c>
      <c r="F1662" t="str">
        <f>"37"</f>
        <v>37</v>
      </c>
    </row>
    <row r="1663" spans="1:6">
      <c r="A1663" t="str">
        <f>"E1219-35"</f>
        <v>E1219-35</v>
      </c>
      <c r="B1663" t="str">
        <f t="shared" si="121"/>
        <v>VIA CESARE PEDRINI  24-</v>
      </c>
      <c r="C1663" t="str">
        <f t="shared" si="122"/>
        <v>RIV</v>
      </c>
      <c r="D1663">
        <v>27</v>
      </c>
      <c r="E1663" t="str">
        <f t="shared" si="123"/>
        <v>935</v>
      </c>
      <c r="F1663" t="str">
        <f>"38"</f>
        <v>38</v>
      </c>
    </row>
    <row r="1664" spans="1:6">
      <c r="A1664" t="str">
        <f>"E1219-36"</f>
        <v>E1219-36</v>
      </c>
      <c r="B1664" t="str">
        <f t="shared" si="121"/>
        <v>VIA CESARE PEDRINI  24-</v>
      </c>
      <c r="C1664" t="str">
        <f t="shared" si="122"/>
        <v>RIV</v>
      </c>
      <c r="D1664">
        <v>27</v>
      </c>
      <c r="E1664" t="str">
        <f t="shared" si="123"/>
        <v>935</v>
      </c>
      <c r="F1664" t="str">
        <f>"39"</f>
        <v>39</v>
      </c>
    </row>
    <row r="1665" spans="1:6">
      <c r="A1665" t="str">
        <f>"E1219-37"</f>
        <v>E1219-37</v>
      </c>
      <c r="B1665" t="str">
        <f t="shared" si="121"/>
        <v>VIA CESARE PEDRINI  24-</v>
      </c>
      <c r="C1665" t="str">
        <f t="shared" si="122"/>
        <v>RIV</v>
      </c>
      <c r="D1665">
        <v>27</v>
      </c>
      <c r="E1665" t="str">
        <f t="shared" si="123"/>
        <v>935</v>
      </c>
      <c r="F1665" t="str">
        <f>"41"</f>
        <v>41</v>
      </c>
    </row>
    <row r="1666" spans="1:6">
      <c r="A1666" t="str">
        <f>"E1219-38"</f>
        <v>E1219-38</v>
      </c>
      <c r="B1666" t="str">
        <f t="shared" si="121"/>
        <v>VIA CESARE PEDRINI  24-</v>
      </c>
      <c r="C1666" t="str">
        <f t="shared" si="122"/>
        <v>RIV</v>
      </c>
      <c r="D1666">
        <v>27</v>
      </c>
      <c r="E1666" t="str">
        <f t="shared" si="123"/>
        <v>935</v>
      </c>
      <c r="F1666" t="str">
        <f>"42"</f>
        <v>42</v>
      </c>
    </row>
    <row r="1667" spans="1:6">
      <c r="A1667" t="str">
        <f>"E1219-39"</f>
        <v>E1219-39</v>
      </c>
      <c r="B1667" t="str">
        <f t="shared" si="121"/>
        <v>VIA CESARE PEDRINI  24-</v>
      </c>
      <c r="C1667" t="str">
        <f t="shared" si="122"/>
        <v>RIV</v>
      </c>
      <c r="D1667">
        <v>27</v>
      </c>
      <c r="E1667" t="str">
        <f t="shared" si="123"/>
        <v>935</v>
      </c>
      <c r="F1667" t="str">
        <f>"43"</f>
        <v>43</v>
      </c>
    </row>
    <row r="1668" spans="1:6">
      <c r="A1668" t="str">
        <f>"E1219-40"</f>
        <v>E1219-40</v>
      </c>
      <c r="B1668" t="str">
        <f t="shared" si="121"/>
        <v>VIA CESARE PEDRINI  24-</v>
      </c>
      <c r="C1668" t="str">
        <f t="shared" si="122"/>
        <v>RIV</v>
      </c>
      <c r="D1668">
        <v>27</v>
      </c>
      <c r="E1668" t="str">
        <f t="shared" si="123"/>
        <v>935</v>
      </c>
      <c r="F1668" t="str">
        <f>"44"</f>
        <v>44</v>
      </c>
    </row>
    <row r="1669" spans="1:6">
      <c r="A1669" t="str">
        <f>"E1219-41"</f>
        <v>E1219-41</v>
      </c>
      <c r="B1669" t="str">
        <f t="shared" si="121"/>
        <v>VIA CESARE PEDRINI  24-</v>
      </c>
      <c r="C1669" t="str">
        <f t="shared" si="122"/>
        <v>RIV</v>
      </c>
      <c r="D1669">
        <v>27</v>
      </c>
      <c r="E1669" t="str">
        <f t="shared" si="123"/>
        <v>935</v>
      </c>
      <c r="F1669" t="str">
        <f>"45"</f>
        <v>45</v>
      </c>
    </row>
    <row r="1670" spans="1:6">
      <c r="A1670" t="str">
        <f>"E1219-42"</f>
        <v>E1219-42</v>
      </c>
      <c r="B1670" t="str">
        <f t="shared" si="121"/>
        <v>VIA CESARE PEDRINI  24-</v>
      </c>
      <c r="C1670" t="str">
        <f t="shared" si="122"/>
        <v>RIV</v>
      </c>
      <c r="D1670">
        <v>27</v>
      </c>
      <c r="E1670" t="str">
        <f t="shared" si="123"/>
        <v>935</v>
      </c>
      <c r="F1670" t="str">
        <f>"46"</f>
        <v>46</v>
      </c>
    </row>
    <row r="1671" spans="1:6">
      <c r="A1671" t="str">
        <f>"E1219-43"</f>
        <v>E1219-43</v>
      </c>
      <c r="B1671" t="str">
        <f t="shared" si="121"/>
        <v>VIA CESARE PEDRINI  24-</v>
      </c>
      <c r="C1671" t="str">
        <f t="shared" si="122"/>
        <v>RIV</v>
      </c>
      <c r="D1671">
        <v>27</v>
      </c>
      <c r="E1671" t="str">
        <f t="shared" si="123"/>
        <v>935</v>
      </c>
      <c r="F1671" t="str">
        <f>"48"</f>
        <v>48</v>
      </c>
    </row>
    <row r="1672" spans="1:6">
      <c r="A1672" t="str">
        <f>"E1219-44"</f>
        <v>E1219-44</v>
      </c>
      <c r="B1672" t="str">
        <f t="shared" si="121"/>
        <v>VIA CESARE PEDRINI  24-</v>
      </c>
      <c r="C1672" t="str">
        <f t="shared" si="122"/>
        <v>RIV</v>
      </c>
      <c r="D1672">
        <v>27</v>
      </c>
      <c r="E1672" t="str">
        <f t="shared" si="123"/>
        <v>935</v>
      </c>
      <c r="F1672" t="str">
        <f>"49"</f>
        <v>49</v>
      </c>
    </row>
    <row r="1673" spans="1:6">
      <c r="A1673" t="str">
        <f>"E1219-45"</f>
        <v>E1219-45</v>
      </c>
      <c r="B1673" t="str">
        <f t="shared" si="121"/>
        <v>VIA CESARE PEDRINI  24-</v>
      </c>
      <c r="C1673" t="str">
        <f t="shared" si="122"/>
        <v>RIV</v>
      </c>
      <c r="D1673">
        <v>27</v>
      </c>
      <c r="E1673" t="str">
        <f t="shared" si="123"/>
        <v>935</v>
      </c>
      <c r="F1673" t="str">
        <f>"50"</f>
        <v>50</v>
      </c>
    </row>
    <row r="1674" spans="1:6">
      <c r="A1674" t="str">
        <f>"E1219-46"</f>
        <v>E1219-46</v>
      </c>
      <c r="B1674" t="str">
        <f t="shared" ref="B1674:B1697" si="124">"VIA VIRGILIO BROCCHI  12-"</f>
        <v>VIA VIRGILIO BROCCHI  12-</v>
      </c>
      <c r="C1674" t="str">
        <f t="shared" si="122"/>
        <v>RIV</v>
      </c>
      <c r="D1674">
        <v>27</v>
      </c>
      <c r="E1674" t="str">
        <f t="shared" si="123"/>
        <v>935</v>
      </c>
      <c r="F1674" t="str">
        <f>"51"</f>
        <v>51</v>
      </c>
    </row>
    <row r="1675" spans="1:6">
      <c r="A1675" t="str">
        <f>"E1219-47"</f>
        <v>E1219-47</v>
      </c>
      <c r="B1675" t="str">
        <f t="shared" si="124"/>
        <v>VIA VIRGILIO BROCCHI  12-</v>
      </c>
      <c r="C1675" t="str">
        <f t="shared" si="122"/>
        <v>RIV</v>
      </c>
      <c r="D1675">
        <v>27</v>
      </c>
      <c r="E1675" t="str">
        <f t="shared" si="123"/>
        <v>935</v>
      </c>
      <c r="F1675" t="str">
        <f>"52"</f>
        <v>52</v>
      </c>
    </row>
    <row r="1676" spans="1:6">
      <c r="A1676" t="str">
        <f>"E1219-48"</f>
        <v>E1219-48</v>
      </c>
      <c r="B1676" t="str">
        <f t="shared" si="124"/>
        <v>VIA VIRGILIO BROCCHI  12-</v>
      </c>
      <c r="C1676" t="str">
        <f t="shared" si="122"/>
        <v>RIV</v>
      </c>
      <c r="D1676">
        <v>27</v>
      </c>
      <c r="E1676" t="str">
        <f t="shared" si="123"/>
        <v>935</v>
      </c>
      <c r="F1676" t="str">
        <f>"53"</f>
        <v>53</v>
      </c>
    </row>
    <row r="1677" spans="1:6">
      <c r="A1677" t="str">
        <f>"E1219-49"</f>
        <v>E1219-49</v>
      </c>
      <c r="B1677" t="str">
        <f t="shared" si="124"/>
        <v>VIA VIRGILIO BROCCHI  12-</v>
      </c>
      <c r="C1677" t="str">
        <f t="shared" si="122"/>
        <v>RIV</v>
      </c>
      <c r="D1677">
        <v>27</v>
      </c>
      <c r="E1677" t="str">
        <f t="shared" si="123"/>
        <v>935</v>
      </c>
      <c r="F1677" t="str">
        <f>"54"</f>
        <v>54</v>
      </c>
    </row>
    <row r="1678" spans="1:6">
      <c r="A1678" t="str">
        <f>"E1219-50"</f>
        <v>E1219-50</v>
      </c>
      <c r="B1678" t="str">
        <f t="shared" si="124"/>
        <v>VIA VIRGILIO BROCCHI  12-</v>
      </c>
      <c r="C1678" t="str">
        <f t="shared" si="122"/>
        <v>RIV</v>
      </c>
      <c r="D1678">
        <v>27</v>
      </c>
      <c r="E1678" t="str">
        <f t="shared" si="123"/>
        <v>935</v>
      </c>
      <c r="F1678" t="str">
        <f>"55"</f>
        <v>55</v>
      </c>
    </row>
    <row r="1679" spans="1:6">
      <c r="A1679" t="str">
        <f>"E1219-51"</f>
        <v>E1219-51</v>
      </c>
      <c r="B1679" t="str">
        <f t="shared" si="124"/>
        <v>VIA VIRGILIO BROCCHI  12-</v>
      </c>
      <c r="C1679" t="str">
        <f t="shared" si="122"/>
        <v>RIV</v>
      </c>
      <c r="D1679">
        <v>27</v>
      </c>
      <c r="E1679" t="str">
        <f t="shared" si="123"/>
        <v>935</v>
      </c>
      <c r="F1679" t="str">
        <f>"56"</f>
        <v>56</v>
      </c>
    </row>
    <row r="1680" spans="1:6">
      <c r="A1680" t="str">
        <f>"E1219-52"</f>
        <v>E1219-52</v>
      </c>
      <c r="B1680" t="str">
        <f t="shared" si="124"/>
        <v>VIA VIRGILIO BROCCHI  12-</v>
      </c>
      <c r="C1680" t="str">
        <f t="shared" si="122"/>
        <v>RIV</v>
      </c>
      <c r="D1680">
        <v>27</v>
      </c>
      <c r="E1680" t="str">
        <f t="shared" si="123"/>
        <v>935</v>
      </c>
      <c r="F1680" t="str">
        <f>"57"</f>
        <v>57</v>
      </c>
    </row>
    <row r="1681" spans="1:6">
      <c r="A1681" t="str">
        <f>"E1219-53"</f>
        <v>E1219-53</v>
      </c>
      <c r="B1681" t="str">
        <f t="shared" si="124"/>
        <v>VIA VIRGILIO BROCCHI  12-</v>
      </c>
      <c r="C1681" t="str">
        <f t="shared" si="122"/>
        <v>RIV</v>
      </c>
      <c r="D1681">
        <v>27</v>
      </c>
      <c r="E1681" t="str">
        <f t="shared" si="123"/>
        <v>935</v>
      </c>
      <c r="F1681" t="str">
        <f>"58"</f>
        <v>58</v>
      </c>
    </row>
    <row r="1682" spans="1:6">
      <c r="A1682" t="str">
        <f>"E1219-54"</f>
        <v>E1219-54</v>
      </c>
      <c r="B1682" t="str">
        <f t="shared" si="124"/>
        <v>VIA VIRGILIO BROCCHI  12-</v>
      </c>
      <c r="C1682" t="str">
        <f t="shared" si="122"/>
        <v>RIV</v>
      </c>
      <c r="D1682">
        <v>27</v>
      </c>
      <c r="E1682" t="str">
        <f t="shared" si="123"/>
        <v>935</v>
      </c>
      <c r="F1682" t="str">
        <f>"59"</f>
        <v>59</v>
      </c>
    </row>
    <row r="1683" spans="1:6">
      <c r="A1683" t="str">
        <f>"E1219-55"</f>
        <v>E1219-55</v>
      </c>
      <c r="B1683" t="str">
        <f t="shared" si="124"/>
        <v>VIA VIRGILIO BROCCHI  12-</v>
      </c>
      <c r="C1683" t="str">
        <f t="shared" si="122"/>
        <v>RIV</v>
      </c>
      <c r="D1683">
        <v>27</v>
      </c>
      <c r="E1683" t="str">
        <f t="shared" si="123"/>
        <v>935</v>
      </c>
      <c r="F1683" t="str">
        <f>"60"</f>
        <v>60</v>
      </c>
    </row>
    <row r="1684" spans="1:6">
      <c r="A1684" t="str">
        <f>"E1219-56"</f>
        <v>E1219-56</v>
      </c>
      <c r="B1684" t="str">
        <f t="shared" si="124"/>
        <v>VIA VIRGILIO BROCCHI  12-</v>
      </c>
      <c r="C1684" t="str">
        <f t="shared" si="122"/>
        <v>RIV</v>
      </c>
      <c r="D1684">
        <v>27</v>
      </c>
      <c r="E1684" t="str">
        <f t="shared" si="123"/>
        <v>935</v>
      </c>
      <c r="F1684" t="str">
        <f>"61"</f>
        <v>61</v>
      </c>
    </row>
    <row r="1685" spans="1:6">
      <c r="A1685" t="str">
        <f>"E1219-57"</f>
        <v>E1219-57</v>
      </c>
      <c r="B1685" t="str">
        <f t="shared" si="124"/>
        <v>VIA VIRGILIO BROCCHI  12-</v>
      </c>
      <c r="C1685" t="str">
        <f t="shared" si="122"/>
        <v>RIV</v>
      </c>
      <c r="D1685">
        <v>27</v>
      </c>
      <c r="E1685" t="str">
        <f t="shared" si="123"/>
        <v>935</v>
      </c>
      <c r="F1685" t="str">
        <f>"62"</f>
        <v>62</v>
      </c>
    </row>
    <row r="1686" spans="1:6">
      <c r="A1686" t="str">
        <f>"E1219-58"</f>
        <v>E1219-58</v>
      </c>
      <c r="B1686" t="str">
        <f t="shared" si="124"/>
        <v>VIA VIRGILIO BROCCHI  12-</v>
      </c>
      <c r="C1686" t="str">
        <f t="shared" si="122"/>
        <v>RIV</v>
      </c>
      <c r="D1686">
        <v>27</v>
      </c>
      <c r="E1686" t="str">
        <f t="shared" si="123"/>
        <v>935</v>
      </c>
      <c r="F1686" t="str">
        <f>"63"</f>
        <v>63</v>
      </c>
    </row>
    <row r="1687" spans="1:6">
      <c r="A1687" t="str">
        <f>"E1219-59"</f>
        <v>E1219-59</v>
      </c>
      <c r="B1687" t="str">
        <f t="shared" si="124"/>
        <v>VIA VIRGILIO BROCCHI  12-</v>
      </c>
      <c r="C1687" t="str">
        <f t="shared" si="122"/>
        <v>RIV</v>
      </c>
      <c r="D1687">
        <v>27</v>
      </c>
      <c r="E1687" t="str">
        <f t="shared" si="123"/>
        <v>935</v>
      </c>
      <c r="F1687" t="str">
        <f>"64"</f>
        <v>64</v>
      </c>
    </row>
    <row r="1688" spans="1:6">
      <c r="A1688" t="str">
        <f>"E1219-60"</f>
        <v>E1219-60</v>
      </c>
      <c r="B1688" t="str">
        <f t="shared" si="124"/>
        <v>VIA VIRGILIO BROCCHI  12-</v>
      </c>
      <c r="C1688" t="str">
        <f t="shared" si="122"/>
        <v>RIV</v>
      </c>
      <c r="D1688">
        <v>27</v>
      </c>
      <c r="E1688" t="str">
        <f t="shared" si="123"/>
        <v>935</v>
      </c>
      <c r="F1688" t="str">
        <f>"65"</f>
        <v>65</v>
      </c>
    </row>
    <row r="1689" spans="1:6">
      <c r="A1689" t="str">
        <f>"E1219-61"</f>
        <v>E1219-61</v>
      </c>
      <c r="B1689" t="str">
        <f t="shared" si="124"/>
        <v>VIA VIRGILIO BROCCHI  12-</v>
      </c>
      <c r="C1689" t="str">
        <f t="shared" si="122"/>
        <v>RIV</v>
      </c>
      <c r="D1689">
        <v>27</v>
      </c>
      <c r="E1689" t="str">
        <f t="shared" si="123"/>
        <v>935</v>
      </c>
      <c r="F1689" t="str">
        <f>"66"</f>
        <v>66</v>
      </c>
    </row>
    <row r="1690" spans="1:6">
      <c r="A1690" t="str">
        <f>"E1219-62"</f>
        <v>E1219-62</v>
      </c>
      <c r="B1690" t="str">
        <f t="shared" si="124"/>
        <v>VIA VIRGILIO BROCCHI  12-</v>
      </c>
      <c r="C1690" t="str">
        <f t="shared" si="122"/>
        <v>RIV</v>
      </c>
      <c r="D1690">
        <v>27</v>
      </c>
      <c r="E1690" t="str">
        <f t="shared" si="123"/>
        <v>935</v>
      </c>
      <c r="F1690" t="str">
        <f>"67"</f>
        <v>67</v>
      </c>
    </row>
    <row r="1691" spans="1:6">
      <c r="A1691" t="str">
        <f>"E1219-63"</f>
        <v>E1219-63</v>
      </c>
      <c r="B1691" t="str">
        <f t="shared" si="124"/>
        <v>VIA VIRGILIO BROCCHI  12-</v>
      </c>
      <c r="C1691" t="str">
        <f t="shared" si="122"/>
        <v>RIV</v>
      </c>
      <c r="D1691">
        <v>27</v>
      </c>
      <c r="E1691" t="str">
        <f t="shared" si="123"/>
        <v>935</v>
      </c>
      <c r="F1691" t="str">
        <f>"68"</f>
        <v>68</v>
      </c>
    </row>
    <row r="1692" spans="1:6">
      <c r="A1692" t="str">
        <f>"E1219-64"</f>
        <v>E1219-64</v>
      </c>
      <c r="B1692" t="str">
        <f t="shared" si="124"/>
        <v>VIA VIRGILIO BROCCHI  12-</v>
      </c>
      <c r="C1692" t="str">
        <f t="shared" si="122"/>
        <v>RIV</v>
      </c>
      <c r="D1692">
        <v>27</v>
      </c>
      <c r="E1692" t="str">
        <f t="shared" si="123"/>
        <v>935</v>
      </c>
      <c r="F1692" t="str">
        <f>"69"</f>
        <v>69</v>
      </c>
    </row>
    <row r="1693" spans="1:6">
      <c r="A1693" t="str">
        <f>"E1219-65"</f>
        <v>E1219-65</v>
      </c>
      <c r="B1693" t="str">
        <f t="shared" si="124"/>
        <v>VIA VIRGILIO BROCCHI  12-</v>
      </c>
      <c r="C1693" t="str">
        <f t="shared" ref="C1693:C1724" si="125">"RIV"</f>
        <v>RIV</v>
      </c>
      <c r="D1693">
        <v>27</v>
      </c>
      <c r="E1693" t="str">
        <f t="shared" ref="E1693:E1724" si="126">"935"</f>
        <v>935</v>
      </c>
      <c r="F1693" t="str">
        <f>"70"</f>
        <v>70</v>
      </c>
    </row>
    <row r="1694" spans="1:6">
      <c r="A1694" t="str">
        <f>"E1219-66"</f>
        <v>E1219-66</v>
      </c>
      <c r="B1694" t="str">
        <f t="shared" si="124"/>
        <v>VIA VIRGILIO BROCCHI  12-</v>
      </c>
      <c r="C1694" t="str">
        <f t="shared" si="125"/>
        <v>RIV</v>
      </c>
      <c r="D1694">
        <v>27</v>
      </c>
      <c r="E1694" t="str">
        <f t="shared" si="126"/>
        <v>935</v>
      </c>
      <c r="F1694" t="str">
        <f>"71"</f>
        <v>71</v>
      </c>
    </row>
    <row r="1695" spans="1:6">
      <c r="A1695" t="str">
        <f>"E1219-67"</f>
        <v>E1219-67</v>
      </c>
      <c r="B1695" t="str">
        <f t="shared" si="124"/>
        <v>VIA VIRGILIO BROCCHI  12-</v>
      </c>
      <c r="C1695" t="str">
        <f t="shared" si="125"/>
        <v>RIV</v>
      </c>
      <c r="D1695">
        <v>27</v>
      </c>
      <c r="E1695" t="str">
        <f t="shared" si="126"/>
        <v>935</v>
      </c>
      <c r="F1695" t="str">
        <f>"72"</f>
        <v>72</v>
      </c>
    </row>
    <row r="1696" spans="1:6">
      <c r="A1696" t="str">
        <f>"E1219-68"</f>
        <v>E1219-68</v>
      </c>
      <c r="B1696" t="str">
        <f t="shared" si="124"/>
        <v>VIA VIRGILIO BROCCHI  12-</v>
      </c>
      <c r="C1696" t="str">
        <f t="shared" si="125"/>
        <v>RIV</v>
      </c>
      <c r="D1696">
        <v>27</v>
      </c>
      <c r="E1696" t="str">
        <f t="shared" si="126"/>
        <v>935</v>
      </c>
      <c r="F1696" t="str">
        <f>"73"</f>
        <v>73</v>
      </c>
    </row>
    <row r="1697" spans="1:6">
      <c r="A1697" t="str">
        <f>"E1219-69"</f>
        <v>E1219-69</v>
      </c>
      <c r="B1697" t="str">
        <f t="shared" si="124"/>
        <v>VIA VIRGILIO BROCCHI  12-</v>
      </c>
      <c r="C1697" t="str">
        <f t="shared" si="125"/>
        <v>RIV</v>
      </c>
      <c r="D1697">
        <v>27</v>
      </c>
      <c r="E1697" t="str">
        <f t="shared" si="126"/>
        <v>935</v>
      </c>
      <c r="F1697" t="str">
        <f>"74"</f>
        <v>74</v>
      </c>
    </row>
    <row r="1698" spans="1:6">
      <c r="A1698" t="str">
        <f>"E1219-70"</f>
        <v>E1219-70</v>
      </c>
      <c r="B1698" t="str">
        <f>"VIA CESARE PEDRINI  26-"</f>
        <v>VIA CESARE PEDRINI  26-</v>
      </c>
      <c r="C1698" t="str">
        <f t="shared" si="125"/>
        <v>RIV</v>
      </c>
      <c r="D1698">
        <v>27</v>
      </c>
      <c r="E1698" t="str">
        <f t="shared" si="126"/>
        <v>935</v>
      </c>
      <c r="F1698" t="str">
        <f>"76"</f>
        <v>76</v>
      </c>
    </row>
    <row r="1699" spans="1:6">
      <c r="A1699" t="str">
        <f>"E1219-71"</f>
        <v>E1219-71</v>
      </c>
      <c r="B1699" t="str">
        <f>"VIA CESARE PEDRINI  26-"</f>
        <v>VIA CESARE PEDRINI  26-</v>
      </c>
      <c r="C1699" t="str">
        <f t="shared" si="125"/>
        <v>RIV</v>
      </c>
      <c r="D1699">
        <v>27</v>
      </c>
      <c r="E1699" t="str">
        <f t="shared" si="126"/>
        <v>935</v>
      </c>
      <c r="F1699" t="str">
        <f>"77"</f>
        <v>77</v>
      </c>
    </row>
    <row r="1700" spans="1:6">
      <c r="A1700" t="str">
        <f>"E1219-72"</f>
        <v>E1219-72</v>
      </c>
      <c r="B1700" t="str">
        <f>"VIA CESARE PEDRINI  26-"</f>
        <v>VIA CESARE PEDRINI  26-</v>
      </c>
      <c r="C1700" t="str">
        <f t="shared" si="125"/>
        <v>RIV</v>
      </c>
      <c r="D1700">
        <v>27</v>
      </c>
      <c r="E1700" t="str">
        <f t="shared" si="126"/>
        <v>935</v>
      </c>
      <c r="F1700" t="str">
        <f>"78"</f>
        <v>78</v>
      </c>
    </row>
    <row r="1701" spans="1:6">
      <c r="A1701" t="str">
        <f>"E1219-73"</f>
        <v>E1219-73</v>
      </c>
      <c r="B1701" t="str">
        <f>"VIA CESARE PEDRINI  26-"</f>
        <v>VIA CESARE PEDRINI  26-</v>
      </c>
      <c r="C1701" t="str">
        <f t="shared" si="125"/>
        <v>RIV</v>
      </c>
      <c r="D1701">
        <v>27</v>
      </c>
      <c r="E1701" t="str">
        <f t="shared" si="126"/>
        <v>935</v>
      </c>
      <c r="F1701" t="str">
        <f>"79"</f>
        <v>79</v>
      </c>
    </row>
    <row r="1702" spans="1:6">
      <c r="A1702" t="str">
        <f>"E1219-74"</f>
        <v>E1219-74</v>
      </c>
      <c r="B1702" t="str">
        <f>"VIA CESARE PEDRINI  26-"</f>
        <v>VIA CESARE PEDRINI  26-</v>
      </c>
      <c r="C1702" t="str">
        <f t="shared" si="125"/>
        <v>RIV</v>
      </c>
      <c r="D1702">
        <v>27</v>
      </c>
      <c r="E1702" t="str">
        <f t="shared" si="126"/>
        <v>935</v>
      </c>
      <c r="F1702" t="str">
        <f>"80"</f>
        <v>80</v>
      </c>
    </row>
    <row r="1703" spans="1:6">
      <c r="A1703" t="str">
        <f>"E1219-75"</f>
        <v>E1219-75</v>
      </c>
      <c r="B1703" t="str">
        <f t="shared" ref="B1703:B1731" si="127">"VIA VIRGILIO BROCCHI  12-"</f>
        <v>VIA VIRGILIO BROCCHI  12-</v>
      </c>
      <c r="C1703" t="str">
        <f t="shared" si="125"/>
        <v>RIV</v>
      </c>
      <c r="D1703">
        <v>27</v>
      </c>
      <c r="E1703" t="str">
        <f t="shared" si="126"/>
        <v>935</v>
      </c>
      <c r="F1703" t="str">
        <f>"81"</f>
        <v>81</v>
      </c>
    </row>
    <row r="1704" spans="1:6">
      <c r="A1704" t="str">
        <f>"E1219-76"</f>
        <v>E1219-76</v>
      </c>
      <c r="B1704" t="str">
        <f t="shared" si="127"/>
        <v>VIA VIRGILIO BROCCHI  12-</v>
      </c>
      <c r="C1704" t="str">
        <f t="shared" si="125"/>
        <v>RIV</v>
      </c>
      <c r="D1704">
        <v>27</v>
      </c>
      <c r="E1704" t="str">
        <f t="shared" si="126"/>
        <v>935</v>
      </c>
      <c r="F1704" t="str">
        <f>"82"</f>
        <v>82</v>
      </c>
    </row>
    <row r="1705" spans="1:6">
      <c r="A1705" t="str">
        <f>"E1219-77"</f>
        <v>E1219-77</v>
      </c>
      <c r="B1705" t="str">
        <f t="shared" si="127"/>
        <v>VIA VIRGILIO BROCCHI  12-</v>
      </c>
      <c r="C1705" t="str">
        <f t="shared" si="125"/>
        <v>RIV</v>
      </c>
      <c r="D1705">
        <v>27</v>
      </c>
      <c r="E1705" t="str">
        <f t="shared" si="126"/>
        <v>935</v>
      </c>
      <c r="F1705" t="str">
        <f>"83"</f>
        <v>83</v>
      </c>
    </row>
    <row r="1706" spans="1:6">
      <c r="A1706" t="str">
        <f>"E1219-78"</f>
        <v>E1219-78</v>
      </c>
      <c r="B1706" t="str">
        <f t="shared" si="127"/>
        <v>VIA VIRGILIO BROCCHI  12-</v>
      </c>
      <c r="C1706" t="str">
        <f t="shared" si="125"/>
        <v>RIV</v>
      </c>
      <c r="D1706">
        <v>27</v>
      </c>
      <c r="E1706" t="str">
        <f t="shared" si="126"/>
        <v>935</v>
      </c>
      <c r="F1706" t="str">
        <f>"84"</f>
        <v>84</v>
      </c>
    </row>
    <row r="1707" spans="1:6">
      <c r="A1707" t="str">
        <f>"E1219-79"</f>
        <v>E1219-79</v>
      </c>
      <c r="B1707" t="str">
        <f t="shared" si="127"/>
        <v>VIA VIRGILIO BROCCHI  12-</v>
      </c>
      <c r="C1707" t="str">
        <f t="shared" si="125"/>
        <v>RIV</v>
      </c>
      <c r="D1707">
        <v>27</v>
      </c>
      <c r="E1707" t="str">
        <f t="shared" si="126"/>
        <v>935</v>
      </c>
      <c r="F1707" t="str">
        <f>"85"</f>
        <v>85</v>
      </c>
    </row>
    <row r="1708" spans="1:6">
      <c r="A1708" t="str">
        <f>"E1219-80"</f>
        <v>E1219-80</v>
      </c>
      <c r="B1708" t="str">
        <f t="shared" si="127"/>
        <v>VIA VIRGILIO BROCCHI  12-</v>
      </c>
      <c r="C1708" t="str">
        <f t="shared" si="125"/>
        <v>RIV</v>
      </c>
      <c r="D1708">
        <v>27</v>
      </c>
      <c r="E1708" t="str">
        <f t="shared" si="126"/>
        <v>935</v>
      </c>
      <c r="F1708" t="str">
        <f>"86"</f>
        <v>86</v>
      </c>
    </row>
    <row r="1709" spans="1:6">
      <c r="A1709" t="str">
        <f>"E1219-81"</f>
        <v>E1219-81</v>
      </c>
      <c r="B1709" t="str">
        <f t="shared" si="127"/>
        <v>VIA VIRGILIO BROCCHI  12-</v>
      </c>
      <c r="C1709" t="str">
        <f t="shared" si="125"/>
        <v>RIV</v>
      </c>
      <c r="D1709">
        <v>27</v>
      </c>
      <c r="E1709" t="str">
        <f t="shared" si="126"/>
        <v>935</v>
      </c>
      <c r="F1709" t="str">
        <f>"87"</f>
        <v>87</v>
      </c>
    </row>
    <row r="1710" spans="1:6">
      <c r="A1710" t="str">
        <f>"E1219-82"</f>
        <v>E1219-82</v>
      </c>
      <c r="B1710" t="str">
        <f t="shared" si="127"/>
        <v>VIA VIRGILIO BROCCHI  12-</v>
      </c>
      <c r="C1710" t="str">
        <f t="shared" si="125"/>
        <v>RIV</v>
      </c>
      <c r="D1710">
        <v>27</v>
      </c>
      <c r="E1710" t="str">
        <f t="shared" si="126"/>
        <v>935</v>
      </c>
      <c r="F1710" t="str">
        <f>"88"</f>
        <v>88</v>
      </c>
    </row>
    <row r="1711" spans="1:6">
      <c r="A1711" t="str">
        <f>"E1219-83"</f>
        <v>E1219-83</v>
      </c>
      <c r="B1711" t="str">
        <f t="shared" si="127"/>
        <v>VIA VIRGILIO BROCCHI  12-</v>
      </c>
      <c r="C1711" t="str">
        <f t="shared" si="125"/>
        <v>RIV</v>
      </c>
      <c r="D1711">
        <v>27</v>
      </c>
      <c r="E1711" t="str">
        <f t="shared" si="126"/>
        <v>935</v>
      </c>
      <c r="F1711" t="str">
        <f>"89"</f>
        <v>89</v>
      </c>
    </row>
    <row r="1712" spans="1:6">
      <c r="A1712" t="str">
        <f>"E1219-84"</f>
        <v>E1219-84</v>
      </c>
      <c r="B1712" t="str">
        <f t="shared" si="127"/>
        <v>VIA VIRGILIO BROCCHI  12-</v>
      </c>
      <c r="C1712" t="str">
        <f t="shared" si="125"/>
        <v>RIV</v>
      </c>
      <c r="D1712">
        <v>27</v>
      </c>
      <c r="E1712" t="str">
        <f t="shared" si="126"/>
        <v>935</v>
      </c>
      <c r="F1712" t="str">
        <f>"90"</f>
        <v>90</v>
      </c>
    </row>
    <row r="1713" spans="1:6">
      <c r="A1713" t="str">
        <f>"E1219-85"</f>
        <v>E1219-85</v>
      </c>
      <c r="B1713" t="str">
        <f t="shared" si="127"/>
        <v>VIA VIRGILIO BROCCHI  12-</v>
      </c>
      <c r="C1713" t="str">
        <f t="shared" si="125"/>
        <v>RIV</v>
      </c>
      <c r="D1713">
        <v>27</v>
      </c>
      <c r="E1713" t="str">
        <f t="shared" si="126"/>
        <v>935</v>
      </c>
      <c r="F1713" t="str">
        <f>"91"</f>
        <v>91</v>
      </c>
    </row>
    <row r="1714" spans="1:6">
      <c r="A1714" t="str">
        <f>"E1219-86"</f>
        <v>E1219-86</v>
      </c>
      <c r="B1714" t="str">
        <f t="shared" si="127"/>
        <v>VIA VIRGILIO BROCCHI  12-</v>
      </c>
      <c r="C1714" t="str">
        <f t="shared" si="125"/>
        <v>RIV</v>
      </c>
      <c r="D1714">
        <v>27</v>
      </c>
      <c r="E1714" t="str">
        <f t="shared" si="126"/>
        <v>935</v>
      </c>
      <c r="F1714" t="str">
        <f>"92"</f>
        <v>92</v>
      </c>
    </row>
    <row r="1715" spans="1:6">
      <c r="A1715" t="str">
        <f>"E1219-87"</f>
        <v>E1219-87</v>
      </c>
      <c r="B1715" t="str">
        <f t="shared" si="127"/>
        <v>VIA VIRGILIO BROCCHI  12-</v>
      </c>
      <c r="C1715" t="str">
        <f t="shared" si="125"/>
        <v>RIV</v>
      </c>
      <c r="D1715">
        <v>27</v>
      </c>
      <c r="E1715" t="str">
        <f t="shared" si="126"/>
        <v>935</v>
      </c>
      <c r="F1715" t="str">
        <f>"93"</f>
        <v>93</v>
      </c>
    </row>
    <row r="1716" spans="1:6">
      <c r="A1716" t="str">
        <f>"E1219-88"</f>
        <v>E1219-88</v>
      </c>
      <c r="B1716" t="str">
        <f t="shared" si="127"/>
        <v>VIA VIRGILIO BROCCHI  12-</v>
      </c>
      <c r="C1716" t="str">
        <f t="shared" si="125"/>
        <v>RIV</v>
      </c>
      <c r="D1716">
        <v>27</v>
      </c>
      <c r="E1716" t="str">
        <f t="shared" si="126"/>
        <v>935</v>
      </c>
      <c r="F1716" t="str">
        <f>"94"</f>
        <v>94</v>
      </c>
    </row>
    <row r="1717" spans="1:6">
      <c r="A1717" t="str">
        <f>"E1219-89"</f>
        <v>E1219-89</v>
      </c>
      <c r="B1717" t="str">
        <f t="shared" si="127"/>
        <v>VIA VIRGILIO BROCCHI  12-</v>
      </c>
      <c r="C1717" t="str">
        <f t="shared" si="125"/>
        <v>RIV</v>
      </c>
      <c r="D1717">
        <v>27</v>
      </c>
      <c r="E1717" t="str">
        <f t="shared" si="126"/>
        <v>935</v>
      </c>
      <c r="F1717" t="str">
        <f>"95"</f>
        <v>95</v>
      </c>
    </row>
    <row r="1718" spans="1:6">
      <c r="A1718" t="str">
        <f>"E1219-90"</f>
        <v>E1219-90</v>
      </c>
      <c r="B1718" t="str">
        <f t="shared" si="127"/>
        <v>VIA VIRGILIO BROCCHI  12-</v>
      </c>
      <c r="C1718" t="str">
        <f t="shared" si="125"/>
        <v>RIV</v>
      </c>
      <c r="D1718">
        <v>27</v>
      </c>
      <c r="E1718" t="str">
        <f t="shared" si="126"/>
        <v>935</v>
      </c>
      <c r="F1718" t="str">
        <f>"96"</f>
        <v>96</v>
      </c>
    </row>
    <row r="1719" spans="1:6">
      <c r="A1719" t="str">
        <f>"E1219-91"</f>
        <v>E1219-91</v>
      </c>
      <c r="B1719" t="str">
        <f t="shared" si="127"/>
        <v>VIA VIRGILIO BROCCHI  12-</v>
      </c>
      <c r="C1719" t="str">
        <f t="shared" si="125"/>
        <v>RIV</v>
      </c>
      <c r="D1719">
        <v>27</v>
      </c>
      <c r="E1719" t="str">
        <f t="shared" si="126"/>
        <v>935</v>
      </c>
      <c r="F1719" t="str">
        <f>"97"</f>
        <v>97</v>
      </c>
    </row>
    <row r="1720" spans="1:6">
      <c r="A1720" t="str">
        <f>"E1219-92"</f>
        <v>E1219-92</v>
      </c>
      <c r="B1720" t="str">
        <f t="shared" si="127"/>
        <v>VIA VIRGILIO BROCCHI  12-</v>
      </c>
      <c r="C1720" t="str">
        <f t="shared" si="125"/>
        <v>RIV</v>
      </c>
      <c r="D1720">
        <v>27</v>
      </c>
      <c r="E1720" t="str">
        <f t="shared" si="126"/>
        <v>935</v>
      </c>
      <c r="F1720" t="str">
        <f>"98"</f>
        <v>98</v>
      </c>
    </row>
    <row r="1721" spans="1:6">
      <c r="A1721" t="str">
        <f>"E1219-93"</f>
        <v>E1219-93</v>
      </c>
      <c r="B1721" t="str">
        <f t="shared" si="127"/>
        <v>VIA VIRGILIO BROCCHI  12-</v>
      </c>
      <c r="C1721" t="str">
        <f t="shared" si="125"/>
        <v>RIV</v>
      </c>
      <c r="D1721">
        <v>27</v>
      </c>
      <c r="E1721" t="str">
        <f t="shared" si="126"/>
        <v>935</v>
      </c>
      <c r="F1721" t="str">
        <f>"99"</f>
        <v>99</v>
      </c>
    </row>
    <row r="1722" spans="1:6">
      <c r="A1722" t="str">
        <f>"E1219-94"</f>
        <v>E1219-94</v>
      </c>
      <c r="B1722" t="str">
        <f t="shared" si="127"/>
        <v>VIA VIRGILIO BROCCHI  12-</v>
      </c>
      <c r="C1722" t="str">
        <f t="shared" si="125"/>
        <v>RIV</v>
      </c>
      <c r="D1722">
        <v>27</v>
      </c>
      <c r="E1722" t="str">
        <f t="shared" si="126"/>
        <v>935</v>
      </c>
      <c r="F1722" t="str">
        <f>"100"</f>
        <v>100</v>
      </c>
    </row>
    <row r="1723" spans="1:6">
      <c r="A1723" t="str">
        <f>"E1219-95"</f>
        <v>E1219-95</v>
      </c>
      <c r="B1723" t="str">
        <f t="shared" si="127"/>
        <v>VIA VIRGILIO BROCCHI  12-</v>
      </c>
      <c r="C1723" t="str">
        <f t="shared" si="125"/>
        <v>RIV</v>
      </c>
      <c r="D1723">
        <v>27</v>
      </c>
      <c r="E1723" t="str">
        <f t="shared" si="126"/>
        <v>935</v>
      </c>
      <c r="F1723" t="str">
        <f>"101"</f>
        <v>101</v>
      </c>
    </row>
    <row r="1724" spans="1:6">
      <c r="A1724" t="str">
        <f>"E1219-96"</f>
        <v>E1219-96</v>
      </c>
      <c r="B1724" t="str">
        <f t="shared" si="127"/>
        <v>VIA VIRGILIO BROCCHI  12-</v>
      </c>
      <c r="C1724" t="str">
        <f t="shared" si="125"/>
        <v>RIV</v>
      </c>
      <c r="D1724">
        <v>27</v>
      </c>
      <c r="E1724" t="str">
        <f t="shared" si="126"/>
        <v>935</v>
      </c>
      <c r="F1724" t="str">
        <f>"102"</f>
        <v>102</v>
      </c>
    </row>
    <row r="1725" spans="1:6">
      <c r="A1725" t="str">
        <f>"E1219-97"</f>
        <v>E1219-97</v>
      </c>
      <c r="B1725" t="str">
        <f t="shared" si="127"/>
        <v>VIA VIRGILIO BROCCHI  12-</v>
      </c>
      <c r="C1725" t="str">
        <f t="shared" ref="C1725:C1756" si="128">"RIV"</f>
        <v>RIV</v>
      </c>
      <c r="D1725">
        <v>27</v>
      </c>
      <c r="E1725" t="str">
        <f t="shared" ref="E1725:E1756" si="129">"935"</f>
        <v>935</v>
      </c>
      <c r="F1725" t="str">
        <f>"103"</f>
        <v>103</v>
      </c>
    </row>
    <row r="1726" spans="1:6">
      <c r="A1726" t="str">
        <f>"E1219-98"</f>
        <v>E1219-98</v>
      </c>
      <c r="B1726" t="str">
        <f t="shared" si="127"/>
        <v>VIA VIRGILIO BROCCHI  12-</v>
      </c>
      <c r="C1726" t="str">
        <f t="shared" si="128"/>
        <v>RIV</v>
      </c>
      <c r="D1726">
        <v>27</v>
      </c>
      <c r="E1726" t="str">
        <f t="shared" si="129"/>
        <v>935</v>
      </c>
      <c r="F1726" t="str">
        <f>"104"</f>
        <v>104</v>
      </c>
    </row>
    <row r="1727" spans="1:6">
      <c r="A1727" t="str">
        <f>"E1219-99"</f>
        <v>E1219-99</v>
      </c>
      <c r="B1727" t="str">
        <f t="shared" si="127"/>
        <v>VIA VIRGILIO BROCCHI  12-</v>
      </c>
      <c r="C1727" t="str">
        <f t="shared" si="128"/>
        <v>RIV</v>
      </c>
      <c r="D1727">
        <v>27</v>
      </c>
      <c r="E1727" t="str">
        <f t="shared" si="129"/>
        <v>935</v>
      </c>
      <c r="F1727" t="str">
        <f>"105"</f>
        <v>105</v>
      </c>
    </row>
    <row r="1728" spans="1:6">
      <c r="A1728" t="str">
        <f>"E1219-100"</f>
        <v>E1219-100</v>
      </c>
      <c r="B1728" t="str">
        <f t="shared" si="127"/>
        <v>VIA VIRGILIO BROCCHI  12-</v>
      </c>
      <c r="C1728" t="str">
        <f t="shared" si="128"/>
        <v>RIV</v>
      </c>
      <c r="D1728">
        <v>27</v>
      </c>
      <c r="E1728" t="str">
        <f t="shared" si="129"/>
        <v>935</v>
      </c>
      <c r="F1728" t="str">
        <f>"106"</f>
        <v>106</v>
      </c>
    </row>
    <row r="1729" spans="1:6">
      <c r="A1729" t="str">
        <f>"E1219-101"</f>
        <v>E1219-101</v>
      </c>
      <c r="B1729" t="str">
        <f t="shared" si="127"/>
        <v>VIA VIRGILIO BROCCHI  12-</v>
      </c>
      <c r="C1729" t="str">
        <f t="shared" si="128"/>
        <v>RIV</v>
      </c>
      <c r="D1729">
        <v>27</v>
      </c>
      <c r="E1729" t="str">
        <f t="shared" si="129"/>
        <v>935</v>
      </c>
      <c r="F1729" t="str">
        <f>"107"</f>
        <v>107</v>
      </c>
    </row>
    <row r="1730" spans="1:6">
      <c r="A1730" t="str">
        <f>"E1219-102"</f>
        <v>E1219-102</v>
      </c>
      <c r="B1730" t="str">
        <f t="shared" si="127"/>
        <v>VIA VIRGILIO BROCCHI  12-</v>
      </c>
      <c r="C1730" t="str">
        <f t="shared" si="128"/>
        <v>RIV</v>
      </c>
      <c r="D1730">
        <v>27</v>
      </c>
      <c r="E1730" t="str">
        <f t="shared" si="129"/>
        <v>935</v>
      </c>
      <c r="F1730" t="str">
        <f>"108"</f>
        <v>108</v>
      </c>
    </row>
    <row r="1731" spans="1:6">
      <c r="A1731" t="str">
        <f>"E1219-103"</f>
        <v>E1219-103</v>
      </c>
      <c r="B1731" t="str">
        <f t="shared" si="127"/>
        <v>VIA VIRGILIO BROCCHI  12-</v>
      </c>
      <c r="C1731" t="str">
        <f t="shared" si="128"/>
        <v>RIV</v>
      </c>
      <c r="D1731">
        <v>27</v>
      </c>
      <c r="E1731" t="str">
        <f t="shared" si="129"/>
        <v>935</v>
      </c>
      <c r="F1731" t="str">
        <f>"109"</f>
        <v>109</v>
      </c>
    </row>
    <row r="1732" spans="1:6">
      <c r="A1732" t="str">
        <f>"E1219-104"</f>
        <v>E1219-104</v>
      </c>
      <c r="B1732" t="str">
        <f t="shared" ref="B1732:B1756" si="130">"VIA CESARE PEDRINI  26-"</f>
        <v>VIA CESARE PEDRINI  26-</v>
      </c>
      <c r="C1732" t="str">
        <f t="shared" si="128"/>
        <v>RIV</v>
      </c>
      <c r="D1732">
        <v>27</v>
      </c>
      <c r="E1732" t="str">
        <f t="shared" si="129"/>
        <v>935</v>
      </c>
      <c r="F1732" t="str">
        <f>"110"</f>
        <v>110</v>
      </c>
    </row>
    <row r="1733" spans="1:6">
      <c r="A1733" t="str">
        <f>"E1219-105"</f>
        <v>E1219-105</v>
      </c>
      <c r="B1733" t="str">
        <f t="shared" si="130"/>
        <v>VIA CESARE PEDRINI  26-</v>
      </c>
      <c r="C1733" t="str">
        <f t="shared" si="128"/>
        <v>RIV</v>
      </c>
      <c r="D1733">
        <v>27</v>
      </c>
      <c r="E1733" t="str">
        <f t="shared" si="129"/>
        <v>935</v>
      </c>
      <c r="F1733" t="str">
        <f>"111"</f>
        <v>111</v>
      </c>
    </row>
    <row r="1734" spans="1:6">
      <c r="A1734" t="str">
        <f>"E1219-106"</f>
        <v>E1219-106</v>
      </c>
      <c r="B1734" t="str">
        <f t="shared" si="130"/>
        <v>VIA CESARE PEDRINI  26-</v>
      </c>
      <c r="C1734" t="str">
        <f t="shared" si="128"/>
        <v>RIV</v>
      </c>
      <c r="D1734">
        <v>27</v>
      </c>
      <c r="E1734" t="str">
        <f t="shared" si="129"/>
        <v>935</v>
      </c>
      <c r="F1734" t="str">
        <f>"112"</f>
        <v>112</v>
      </c>
    </row>
    <row r="1735" spans="1:6">
      <c r="A1735" t="str">
        <f>"E1219-107"</f>
        <v>E1219-107</v>
      </c>
      <c r="B1735" t="str">
        <f t="shared" si="130"/>
        <v>VIA CESARE PEDRINI  26-</v>
      </c>
      <c r="C1735" t="str">
        <f t="shared" si="128"/>
        <v>RIV</v>
      </c>
      <c r="D1735">
        <v>27</v>
      </c>
      <c r="E1735" t="str">
        <f t="shared" si="129"/>
        <v>935</v>
      </c>
      <c r="F1735" t="str">
        <f>"113"</f>
        <v>113</v>
      </c>
    </row>
    <row r="1736" spans="1:6">
      <c r="A1736" t="str">
        <f>"E1219-108"</f>
        <v>E1219-108</v>
      </c>
      <c r="B1736" t="str">
        <f t="shared" si="130"/>
        <v>VIA CESARE PEDRINI  26-</v>
      </c>
      <c r="C1736" t="str">
        <f t="shared" si="128"/>
        <v>RIV</v>
      </c>
      <c r="D1736">
        <v>27</v>
      </c>
      <c r="E1736" t="str">
        <f t="shared" si="129"/>
        <v>935</v>
      </c>
      <c r="F1736" t="str">
        <f>"114"</f>
        <v>114</v>
      </c>
    </row>
    <row r="1737" spans="1:6">
      <c r="A1737" t="str">
        <f>"E1219-109"</f>
        <v>E1219-109</v>
      </c>
      <c r="B1737" t="str">
        <f t="shared" si="130"/>
        <v>VIA CESARE PEDRINI  26-</v>
      </c>
      <c r="C1737" t="str">
        <f t="shared" si="128"/>
        <v>RIV</v>
      </c>
      <c r="D1737">
        <v>27</v>
      </c>
      <c r="E1737" t="str">
        <f t="shared" si="129"/>
        <v>935</v>
      </c>
      <c r="F1737" t="str">
        <f>"115"</f>
        <v>115</v>
      </c>
    </row>
    <row r="1738" spans="1:6">
      <c r="A1738" t="str">
        <f>"E1219-110"</f>
        <v>E1219-110</v>
      </c>
      <c r="B1738" t="str">
        <f t="shared" si="130"/>
        <v>VIA CESARE PEDRINI  26-</v>
      </c>
      <c r="C1738" t="str">
        <f t="shared" si="128"/>
        <v>RIV</v>
      </c>
      <c r="D1738">
        <v>27</v>
      </c>
      <c r="E1738" t="str">
        <f t="shared" si="129"/>
        <v>935</v>
      </c>
      <c r="F1738" t="str">
        <f>"116"</f>
        <v>116</v>
      </c>
    </row>
    <row r="1739" spans="1:6">
      <c r="A1739" t="str">
        <f>"E1219-111"</f>
        <v>E1219-111</v>
      </c>
      <c r="B1739" t="str">
        <f t="shared" si="130"/>
        <v>VIA CESARE PEDRINI  26-</v>
      </c>
      <c r="C1739" t="str">
        <f t="shared" si="128"/>
        <v>RIV</v>
      </c>
      <c r="D1739">
        <v>27</v>
      </c>
      <c r="E1739" t="str">
        <f t="shared" si="129"/>
        <v>935</v>
      </c>
      <c r="F1739" t="str">
        <f>"117"</f>
        <v>117</v>
      </c>
    </row>
    <row r="1740" spans="1:6">
      <c r="A1740" t="str">
        <f>"E1219-112"</f>
        <v>E1219-112</v>
      </c>
      <c r="B1740" t="str">
        <f t="shared" si="130"/>
        <v>VIA CESARE PEDRINI  26-</v>
      </c>
      <c r="C1740" t="str">
        <f t="shared" si="128"/>
        <v>RIV</v>
      </c>
      <c r="D1740">
        <v>27</v>
      </c>
      <c r="E1740" t="str">
        <f t="shared" si="129"/>
        <v>935</v>
      </c>
      <c r="F1740" t="str">
        <f>"118"</f>
        <v>118</v>
      </c>
    </row>
    <row r="1741" spans="1:6">
      <c r="A1741" t="str">
        <f>"E1219-113"</f>
        <v>E1219-113</v>
      </c>
      <c r="B1741" t="str">
        <f t="shared" si="130"/>
        <v>VIA CESARE PEDRINI  26-</v>
      </c>
      <c r="C1741" t="str">
        <f t="shared" si="128"/>
        <v>RIV</v>
      </c>
      <c r="D1741">
        <v>27</v>
      </c>
      <c r="E1741" t="str">
        <f t="shared" si="129"/>
        <v>935</v>
      </c>
      <c r="F1741" t="str">
        <f>"119"</f>
        <v>119</v>
      </c>
    </row>
    <row r="1742" spans="1:6">
      <c r="A1742" t="str">
        <f>"E1219-114"</f>
        <v>E1219-114</v>
      </c>
      <c r="B1742" t="str">
        <f t="shared" si="130"/>
        <v>VIA CESARE PEDRINI  26-</v>
      </c>
      <c r="C1742" t="str">
        <f t="shared" si="128"/>
        <v>RIV</v>
      </c>
      <c r="D1742">
        <v>27</v>
      </c>
      <c r="E1742" t="str">
        <f t="shared" si="129"/>
        <v>935</v>
      </c>
      <c r="F1742" t="str">
        <f>"121"</f>
        <v>121</v>
      </c>
    </row>
    <row r="1743" spans="1:6">
      <c r="A1743" t="str">
        <f>"E1219-115"</f>
        <v>E1219-115</v>
      </c>
      <c r="B1743" t="str">
        <f t="shared" si="130"/>
        <v>VIA CESARE PEDRINI  26-</v>
      </c>
      <c r="C1743" t="str">
        <f t="shared" si="128"/>
        <v>RIV</v>
      </c>
      <c r="D1743">
        <v>27</v>
      </c>
      <c r="E1743" t="str">
        <f t="shared" si="129"/>
        <v>935</v>
      </c>
      <c r="F1743" t="str">
        <f>"122"</f>
        <v>122</v>
      </c>
    </row>
    <row r="1744" spans="1:6">
      <c r="A1744" t="str">
        <f>"E1219-116"</f>
        <v>E1219-116</v>
      </c>
      <c r="B1744" t="str">
        <f t="shared" si="130"/>
        <v>VIA CESARE PEDRINI  26-</v>
      </c>
      <c r="C1744" t="str">
        <f t="shared" si="128"/>
        <v>RIV</v>
      </c>
      <c r="D1744">
        <v>27</v>
      </c>
      <c r="E1744" t="str">
        <f t="shared" si="129"/>
        <v>935</v>
      </c>
      <c r="F1744" t="str">
        <f>"123"</f>
        <v>123</v>
      </c>
    </row>
    <row r="1745" spans="1:6">
      <c r="A1745" t="str">
        <f>"E1219-117"</f>
        <v>E1219-117</v>
      </c>
      <c r="B1745" t="str">
        <f t="shared" si="130"/>
        <v>VIA CESARE PEDRINI  26-</v>
      </c>
      <c r="C1745" t="str">
        <f t="shared" si="128"/>
        <v>RIV</v>
      </c>
      <c r="D1745">
        <v>27</v>
      </c>
      <c r="E1745" t="str">
        <f t="shared" si="129"/>
        <v>935</v>
      </c>
      <c r="F1745" t="str">
        <f>"124"</f>
        <v>124</v>
      </c>
    </row>
    <row r="1746" spans="1:6">
      <c r="A1746" t="str">
        <f>"E1219-118"</f>
        <v>E1219-118</v>
      </c>
      <c r="B1746" t="str">
        <f t="shared" si="130"/>
        <v>VIA CESARE PEDRINI  26-</v>
      </c>
      <c r="C1746" t="str">
        <f t="shared" si="128"/>
        <v>RIV</v>
      </c>
      <c r="D1746">
        <v>27</v>
      </c>
      <c r="E1746" t="str">
        <f t="shared" si="129"/>
        <v>935</v>
      </c>
      <c r="F1746" t="str">
        <f>"125"</f>
        <v>125</v>
      </c>
    </row>
    <row r="1747" spans="1:6">
      <c r="A1747" t="str">
        <f>"E1219-119"</f>
        <v>E1219-119</v>
      </c>
      <c r="B1747" t="str">
        <f t="shared" si="130"/>
        <v>VIA CESARE PEDRINI  26-</v>
      </c>
      <c r="C1747" t="str">
        <f t="shared" si="128"/>
        <v>RIV</v>
      </c>
      <c r="D1747">
        <v>27</v>
      </c>
      <c r="E1747" t="str">
        <f t="shared" si="129"/>
        <v>935</v>
      </c>
      <c r="F1747" t="str">
        <f>"126"</f>
        <v>126</v>
      </c>
    </row>
    <row r="1748" spans="1:6">
      <c r="A1748" t="str">
        <f>"E1219-120"</f>
        <v>E1219-120</v>
      </c>
      <c r="B1748" t="str">
        <f t="shared" si="130"/>
        <v>VIA CESARE PEDRINI  26-</v>
      </c>
      <c r="C1748" t="str">
        <f t="shared" si="128"/>
        <v>RIV</v>
      </c>
      <c r="D1748">
        <v>27</v>
      </c>
      <c r="E1748" t="str">
        <f t="shared" si="129"/>
        <v>935</v>
      </c>
      <c r="F1748" t="str">
        <f>"127"</f>
        <v>127</v>
      </c>
    </row>
    <row r="1749" spans="1:6">
      <c r="A1749" t="str">
        <f>"E1219-121"</f>
        <v>E1219-121</v>
      </c>
      <c r="B1749" t="str">
        <f t="shared" si="130"/>
        <v>VIA CESARE PEDRINI  26-</v>
      </c>
      <c r="C1749" t="str">
        <f t="shared" si="128"/>
        <v>RIV</v>
      </c>
      <c r="D1749">
        <v>27</v>
      </c>
      <c r="E1749" t="str">
        <f t="shared" si="129"/>
        <v>935</v>
      </c>
      <c r="F1749" t="str">
        <f>"128"</f>
        <v>128</v>
      </c>
    </row>
    <row r="1750" spans="1:6">
      <c r="A1750" t="str">
        <f>"E1219-122"</f>
        <v>E1219-122</v>
      </c>
      <c r="B1750" t="str">
        <f t="shared" si="130"/>
        <v>VIA CESARE PEDRINI  26-</v>
      </c>
      <c r="C1750" t="str">
        <f t="shared" si="128"/>
        <v>RIV</v>
      </c>
      <c r="D1750">
        <v>27</v>
      </c>
      <c r="E1750" t="str">
        <f t="shared" si="129"/>
        <v>935</v>
      </c>
      <c r="F1750" t="str">
        <f>"129"</f>
        <v>129</v>
      </c>
    </row>
    <row r="1751" spans="1:6">
      <c r="A1751" t="str">
        <f>"E1219-123"</f>
        <v>E1219-123</v>
      </c>
      <c r="B1751" t="str">
        <f t="shared" si="130"/>
        <v>VIA CESARE PEDRINI  26-</v>
      </c>
      <c r="C1751" t="str">
        <f t="shared" si="128"/>
        <v>RIV</v>
      </c>
      <c r="D1751">
        <v>27</v>
      </c>
      <c r="E1751" t="str">
        <f t="shared" si="129"/>
        <v>935</v>
      </c>
      <c r="F1751" t="str">
        <f>"130"</f>
        <v>130</v>
      </c>
    </row>
    <row r="1752" spans="1:6">
      <c r="A1752" t="str">
        <f>"E1219-124"</f>
        <v>E1219-124</v>
      </c>
      <c r="B1752" t="str">
        <f t="shared" si="130"/>
        <v>VIA CESARE PEDRINI  26-</v>
      </c>
      <c r="C1752" t="str">
        <f t="shared" si="128"/>
        <v>RIV</v>
      </c>
      <c r="D1752">
        <v>27</v>
      </c>
      <c r="E1752" t="str">
        <f t="shared" si="129"/>
        <v>935</v>
      </c>
      <c r="F1752" t="str">
        <f>"131"</f>
        <v>131</v>
      </c>
    </row>
    <row r="1753" spans="1:6">
      <c r="A1753" t="str">
        <f>"E1219-125"</f>
        <v>E1219-125</v>
      </c>
      <c r="B1753" t="str">
        <f t="shared" si="130"/>
        <v>VIA CESARE PEDRINI  26-</v>
      </c>
      <c r="C1753" t="str">
        <f t="shared" si="128"/>
        <v>RIV</v>
      </c>
      <c r="D1753">
        <v>27</v>
      </c>
      <c r="E1753" t="str">
        <f t="shared" si="129"/>
        <v>935</v>
      </c>
      <c r="F1753" t="str">
        <f>"132"</f>
        <v>132</v>
      </c>
    </row>
    <row r="1754" spans="1:6">
      <c r="A1754" t="str">
        <f>"E1219-126"</f>
        <v>E1219-126</v>
      </c>
      <c r="B1754" t="str">
        <f t="shared" si="130"/>
        <v>VIA CESARE PEDRINI  26-</v>
      </c>
      <c r="C1754" t="str">
        <f t="shared" si="128"/>
        <v>RIV</v>
      </c>
      <c r="D1754">
        <v>27</v>
      </c>
      <c r="E1754" t="str">
        <f t="shared" si="129"/>
        <v>935</v>
      </c>
      <c r="F1754" t="str">
        <f>"133"</f>
        <v>133</v>
      </c>
    </row>
    <row r="1755" spans="1:6">
      <c r="A1755" t="str">
        <f>"E1219-127"</f>
        <v>E1219-127</v>
      </c>
      <c r="B1755" t="str">
        <f t="shared" si="130"/>
        <v>VIA CESARE PEDRINI  26-</v>
      </c>
      <c r="C1755" t="str">
        <f t="shared" si="128"/>
        <v>RIV</v>
      </c>
      <c r="D1755">
        <v>27</v>
      </c>
      <c r="E1755" t="str">
        <f t="shared" si="129"/>
        <v>935</v>
      </c>
      <c r="F1755" t="str">
        <f>"134"</f>
        <v>134</v>
      </c>
    </row>
    <row r="1756" spans="1:6">
      <c r="A1756" t="str">
        <f>"E1219-128"</f>
        <v>E1219-128</v>
      </c>
      <c r="B1756" t="str">
        <f t="shared" si="130"/>
        <v>VIA CESARE PEDRINI  26-</v>
      </c>
      <c r="C1756" t="str">
        <f t="shared" si="128"/>
        <v>RIV</v>
      </c>
      <c r="D1756">
        <v>27</v>
      </c>
      <c r="E1756" t="str">
        <f t="shared" si="129"/>
        <v>935</v>
      </c>
      <c r="F1756" t="str">
        <f>"135"</f>
        <v>135</v>
      </c>
    </row>
    <row r="1757" spans="1:6">
      <c r="A1757" t="str">
        <f>"E1219-129"</f>
        <v>E1219-129</v>
      </c>
      <c r="B1757" t="str">
        <f t="shared" ref="B1757:B1788" si="131">"VIA VIRGILIO BROCCHI  12-"</f>
        <v>VIA VIRGILIO BROCCHI  12-</v>
      </c>
      <c r="C1757" t="str">
        <f t="shared" ref="C1757:C1788" si="132">"RIV"</f>
        <v>RIV</v>
      </c>
      <c r="D1757">
        <v>27</v>
      </c>
      <c r="E1757" t="str">
        <f t="shared" ref="E1757:E1788" si="133">"935"</f>
        <v>935</v>
      </c>
      <c r="F1757" t="str">
        <f>"136"</f>
        <v>136</v>
      </c>
    </row>
    <row r="1758" spans="1:6">
      <c r="A1758" t="str">
        <f>"E1219-130"</f>
        <v>E1219-130</v>
      </c>
      <c r="B1758" t="str">
        <f t="shared" si="131"/>
        <v>VIA VIRGILIO BROCCHI  12-</v>
      </c>
      <c r="C1758" t="str">
        <f t="shared" si="132"/>
        <v>RIV</v>
      </c>
      <c r="D1758">
        <v>27</v>
      </c>
      <c r="E1758" t="str">
        <f t="shared" si="133"/>
        <v>935</v>
      </c>
      <c r="F1758" t="str">
        <f>"137"</f>
        <v>137</v>
      </c>
    </row>
    <row r="1759" spans="1:6">
      <c r="A1759" t="str">
        <f>"E1219-131"</f>
        <v>E1219-131</v>
      </c>
      <c r="B1759" t="str">
        <f t="shared" si="131"/>
        <v>VIA VIRGILIO BROCCHI  12-</v>
      </c>
      <c r="C1759" t="str">
        <f t="shared" si="132"/>
        <v>RIV</v>
      </c>
      <c r="D1759">
        <v>27</v>
      </c>
      <c r="E1759" t="str">
        <f t="shared" si="133"/>
        <v>935</v>
      </c>
      <c r="F1759" t="str">
        <f>"138"</f>
        <v>138</v>
      </c>
    </row>
    <row r="1760" spans="1:6">
      <c r="A1760" t="str">
        <f>"E1219-132"</f>
        <v>E1219-132</v>
      </c>
      <c r="B1760" t="str">
        <f t="shared" si="131"/>
        <v>VIA VIRGILIO BROCCHI  12-</v>
      </c>
      <c r="C1760" t="str">
        <f t="shared" si="132"/>
        <v>RIV</v>
      </c>
      <c r="D1760">
        <v>27</v>
      </c>
      <c r="E1760" t="str">
        <f t="shared" si="133"/>
        <v>935</v>
      </c>
      <c r="F1760" t="str">
        <f>"139"</f>
        <v>139</v>
      </c>
    </row>
    <row r="1761" spans="1:6">
      <c r="A1761" t="str">
        <f>"E1219-133"</f>
        <v>E1219-133</v>
      </c>
      <c r="B1761" t="str">
        <f t="shared" si="131"/>
        <v>VIA VIRGILIO BROCCHI  12-</v>
      </c>
      <c r="C1761" t="str">
        <f t="shared" si="132"/>
        <v>RIV</v>
      </c>
      <c r="D1761">
        <v>27</v>
      </c>
      <c r="E1761" t="str">
        <f t="shared" si="133"/>
        <v>935</v>
      </c>
      <c r="F1761" t="str">
        <f>"140"</f>
        <v>140</v>
      </c>
    </row>
    <row r="1762" spans="1:6">
      <c r="A1762" t="str">
        <f>"E1219-134"</f>
        <v>E1219-134</v>
      </c>
      <c r="B1762" t="str">
        <f t="shared" si="131"/>
        <v>VIA VIRGILIO BROCCHI  12-</v>
      </c>
      <c r="C1762" t="str">
        <f t="shared" si="132"/>
        <v>RIV</v>
      </c>
      <c r="D1762">
        <v>27</v>
      </c>
      <c r="E1762" t="str">
        <f t="shared" si="133"/>
        <v>935</v>
      </c>
      <c r="F1762" t="str">
        <f>"141"</f>
        <v>141</v>
      </c>
    </row>
    <row r="1763" spans="1:6">
      <c r="A1763" t="str">
        <f>"E1219-135"</f>
        <v>E1219-135</v>
      </c>
      <c r="B1763" t="str">
        <f t="shared" si="131"/>
        <v>VIA VIRGILIO BROCCHI  12-</v>
      </c>
      <c r="C1763" t="str">
        <f t="shared" si="132"/>
        <v>RIV</v>
      </c>
      <c r="D1763">
        <v>27</v>
      </c>
      <c r="E1763" t="str">
        <f t="shared" si="133"/>
        <v>935</v>
      </c>
      <c r="F1763" t="str">
        <f>"142"</f>
        <v>142</v>
      </c>
    </row>
    <row r="1764" spans="1:6">
      <c r="A1764" t="str">
        <f>"E1219-136"</f>
        <v>E1219-136</v>
      </c>
      <c r="B1764" t="str">
        <f t="shared" si="131"/>
        <v>VIA VIRGILIO BROCCHI  12-</v>
      </c>
      <c r="C1764" t="str">
        <f t="shared" si="132"/>
        <v>RIV</v>
      </c>
      <c r="D1764">
        <v>27</v>
      </c>
      <c r="E1764" t="str">
        <f t="shared" si="133"/>
        <v>935</v>
      </c>
      <c r="F1764" t="str">
        <f>"143"</f>
        <v>143</v>
      </c>
    </row>
    <row r="1765" spans="1:6">
      <c r="A1765" t="str">
        <f>"E1219-137"</f>
        <v>E1219-137</v>
      </c>
      <c r="B1765" t="str">
        <f t="shared" si="131"/>
        <v>VIA VIRGILIO BROCCHI  12-</v>
      </c>
      <c r="C1765" t="str">
        <f t="shared" si="132"/>
        <v>RIV</v>
      </c>
      <c r="D1765">
        <v>27</v>
      </c>
      <c r="E1765" t="str">
        <f t="shared" si="133"/>
        <v>935</v>
      </c>
      <c r="F1765" t="str">
        <f>"144"</f>
        <v>144</v>
      </c>
    </row>
    <row r="1766" spans="1:6">
      <c r="A1766" t="str">
        <f>"E1219-138"</f>
        <v>E1219-138</v>
      </c>
      <c r="B1766" t="str">
        <f t="shared" si="131"/>
        <v>VIA VIRGILIO BROCCHI  12-</v>
      </c>
      <c r="C1766" t="str">
        <f t="shared" si="132"/>
        <v>RIV</v>
      </c>
      <c r="D1766">
        <v>27</v>
      </c>
      <c r="E1766" t="str">
        <f t="shared" si="133"/>
        <v>935</v>
      </c>
      <c r="F1766" t="str">
        <f>"145"</f>
        <v>145</v>
      </c>
    </row>
    <row r="1767" spans="1:6">
      <c r="A1767" t="str">
        <f>"E1219-139"</f>
        <v>E1219-139</v>
      </c>
      <c r="B1767" t="str">
        <f t="shared" si="131"/>
        <v>VIA VIRGILIO BROCCHI  12-</v>
      </c>
      <c r="C1767" t="str">
        <f t="shared" si="132"/>
        <v>RIV</v>
      </c>
      <c r="D1767">
        <v>27</v>
      </c>
      <c r="E1767" t="str">
        <f t="shared" si="133"/>
        <v>935</v>
      </c>
      <c r="F1767" t="str">
        <f>"146"</f>
        <v>146</v>
      </c>
    </row>
    <row r="1768" spans="1:6">
      <c r="A1768" t="str">
        <f>"E1219-140"</f>
        <v>E1219-140</v>
      </c>
      <c r="B1768" t="str">
        <f t="shared" si="131"/>
        <v>VIA VIRGILIO BROCCHI  12-</v>
      </c>
      <c r="C1768" t="str">
        <f t="shared" si="132"/>
        <v>RIV</v>
      </c>
      <c r="D1768">
        <v>27</v>
      </c>
      <c r="E1768" t="str">
        <f t="shared" si="133"/>
        <v>935</v>
      </c>
      <c r="F1768" t="str">
        <f>"147"</f>
        <v>147</v>
      </c>
    </row>
    <row r="1769" spans="1:6">
      <c r="A1769" t="str">
        <f>"E1219-141"</f>
        <v>E1219-141</v>
      </c>
      <c r="B1769" t="str">
        <f t="shared" si="131"/>
        <v>VIA VIRGILIO BROCCHI  12-</v>
      </c>
      <c r="C1769" t="str">
        <f t="shared" si="132"/>
        <v>RIV</v>
      </c>
      <c r="D1769">
        <v>27</v>
      </c>
      <c r="E1769" t="str">
        <f t="shared" si="133"/>
        <v>935</v>
      </c>
      <c r="F1769" t="str">
        <f>"148"</f>
        <v>148</v>
      </c>
    </row>
    <row r="1770" spans="1:6">
      <c r="A1770" t="str">
        <f>"E1219-142"</f>
        <v>E1219-142</v>
      </c>
      <c r="B1770" t="str">
        <f t="shared" si="131"/>
        <v>VIA VIRGILIO BROCCHI  12-</v>
      </c>
      <c r="C1770" t="str">
        <f t="shared" si="132"/>
        <v>RIV</v>
      </c>
      <c r="D1770">
        <v>27</v>
      </c>
      <c r="E1770" t="str">
        <f t="shared" si="133"/>
        <v>935</v>
      </c>
      <c r="F1770" t="str">
        <f>"149"</f>
        <v>149</v>
      </c>
    </row>
    <row r="1771" spans="1:6">
      <c r="A1771" t="str">
        <f>"E1219-143"</f>
        <v>E1219-143</v>
      </c>
      <c r="B1771" t="str">
        <f t="shared" si="131"/>
        <v>VIA VIRGILIO BROCCHI  12-</v>
      </c>
      <c r="C1771" t="str">
        <f t="shared" si="132"/>
        <v>RIV</v>
      </c>
      <c r="D1771">
        <v>27</v>
      </c>
      <c r="E1771" t="str">
        <f t="shared" si="133"/>
        <v>935</v>
      </c>
      <c r="F1771" t="str">
        <f>"150"</f>
        <v>150</v>
      </c>
    </row>
    <row r="1772" spans="1:6">
      <c r="A1772" t="str">
        <f>"E1219-144"</f>
        <v>E1219-144</v>
      </c>
      <c r="B1772" t="str">
        <f t="shared" si="131"/>
        <v>VIA VIRGILIO BROCCHI  12-</v>
      </c>
      <c r="C1772" t="str">
        <f t="shared" si="132"/>
        <v>RIV</v>
      </c>
      <c r="D1772">
        <v>27</v>
      </c>
      <c r="E1772" t="str">
        <f t="shared" si="133"/>
        <v>935</v>
      </c>
      <c r="F1772" t="str">
        <f>"151"</f>
        <v>151</v>
      </c>
    </row>
    <row r="1773" spans="1:6">
      <c r="A1773" t="str">
        <f>"E1219-145"</f>
        <v>E1219-145</v>
      </c>
      <c r="B1773" t="str">
        <f t="shared" si="131"/>
        <v>VIA VIRGILIO BROCCHI  12-</v>
      </c>
      <c r="C1773" t="str">
        <f t="shared" si="132"/>
        <v>RIV</v>
      </c>
      <c r="D1773">
        <v>27</v>
      </c>
      <c r="E1773" t="str">
        <f t="shared" si="133"/>
        <v>935</v>
      </c>
      <c r="F1773" t="str">
        <f>"152"</f>
        <v>152</v>
      </c>
    </row>
    <row r="1774" spans="1:6">
      <c r="A1774" t="str">
        <f>"E1219-146"</f>
        <v>E1219-146</v>
      </c>
      <c r="B1774" t="str">
        <f t="shared" si="131"/>
        <v>VIA VIRGILIO BROCCHI  12-</v>
      </c>
      <c r="C1774" t="str">
        <f t="shared" si="132"/>
        <v>RIV</v>
      </c>
      <c r="D1774">
        <v>27</v>
      </c>
      <c r="E1774" t="str">
        <f t="shared" si="133"/>
        <v>935</v>
      </c>
      <c r="F1774" t="str">
        <f>"153"</f>
        <v>153</v>
      </c>
    </row>
    <row r="1775" spans="1:6">
      <c r="A1775" t="str">
        <f>"E1219-147"</f>
        <v>E1219-147</v>
      </c>
      <c r="B1775" t="str">
        <f t="shared" si="131"/>
        <v>VIA VIRGILIO BROCCHI  12-</v>
      </c>
      <c r="C1775" t="str">
        <f t="shared" si="132"/>
        <v>RIV</v>
      </c>
      <c r="D1775">
        <v>27</v>
      </c>
      <c r="E1775" t="str">
        <f t="shared" si="133"/>
        <v>935</v>
      </c>
      <c r="F1775" t="str">
        <f>"154"</f>
        <v>154</v>
      </c>
    </row>
    <row r="1776" spans="1:6">
      <c r="A1776" t="str">
        <f>"E1219-148"</f>
        <v>E1219-148</v>
      </c>
      <c r="B1776" t="str">
        <f t="shared" si="131"/>
        <v>VIA VIRGILIO BROCCHI  12-</v>
      </c>
      <c r="C1776" t="str">
        <f t="shared" si="132"/>
        <v>RIV</v>
      </c>
      <c r="D1776">
        <v>27</v>
      </c>
      <c r="E1776" t="str">
        <f t="shared" si="133"/>
        <v>935</v>
      </c>
      <c r="F1776" t="str">
        <f>"155"</f>
        <v>155</v>
      </c>
    </row>
    <row r="1777" spans="1:6">
      <c r="A1777" t="str">
        <f>"E1219-149"</f>
        <v>E1219-149</v>
      </c>
      <c r="B1777" t="str">
        <f t="shared" si="131"/>
        <v>VIA VIRGILIO BROCCHI  12-</v>
      </c>
      <c r="C1777" t="str">
        <f t="shared" si="132"/>
        <v>RIV</v>
      </c>
      <c r="D1777">
        <v>27</v>
      </c>
      <c r="E1777" t="str">
        <f t="shared" si="133"/>
        <v>935</v>
      </c>
      <c r="F1777" t="str">
        <f>"156"</f>
        <v>156</v>
      </c>
    </row>
    <row r="1778" spans="1:6">
      <c r="A1778" t="str">
        <f>"E1219-150"</f>
        <v>E1219-150</v>
      </c>
      <c r="B1778" t="str">
        <f t="shared" si="131"/>
        <v>VIA VIRGILIO BROCCHI  12-</v>
      </c>
      <c r="C1778" t="str">
        <f t="shared" si="132"/>
        <v>RIV</v>
      </c>
      <c r="D1778">
        <v>27</v>
      </c>
      <c r="E1778" t="str">
        <f t="shared" si="133"/>
        <v>935</v>
      </c>
      <c r="F1778" t="str">
        <f>"157"</f>
        <v>157</v>
      </c>
    </row>
    <row r="1779" spans="1:6">
      <c r="A1779" t="str">
        <f>"E1219-151"</f>
        <v>E1219-151</v>
      </c>
      <c r="B1779" t="str">
        <f t="shared" si="131"/>
        <v>VIA VIRGILIO BROCCHI  12-</v>
      </c>
      <c r="C1779" t="str">
        <f t="shared" si="132"/>
        <v>RIV</v>
      </c>
      <c r="D1779">
        <v>27</v>
      </c>
      <c r="E1779" t="str">
        <f t="shared" si="133"/>
        <v>935</v>
      </c>
      <c r="F1779" t="str">
        <f>"158"</f>
        <v>158</v>
      </c>
    </row>
    <row r="1780" spans="1:6">
      <c r="A1780" t="str">
        <f>"E1219-152"</f>
        <v>E1219-152</v>
      </c>
      <c r="B1780" t="str">
        <f t="shared" si="131"/>
        <v>VIA VIRGILIO BROCCHI  12-</v>
      </c>
      <c r="C1780" t="str">
        <f t="shared" si="132"/>
        <v>RIV</v>
      </c>
      <c r="D1780">
        <v>27</v>
      </c>
      <c r="E1780" t="str">
        <f t="shared" si="133"/>
        <v>935</v>
      </c>
      <c r="F1780" t="str">
        <f>"159"</f>
        <v>159</v>
      </c>
    </row>
    <row r="1781" spans="1:6">
      <c r="A1781" t="str">
        <f>"E1219-153"</f>
        <v>E1219-153</v>
      </c>
      <c r="B1781" t="str">
        <f t="shared" si="131"/>
        <v>VIA VIRGILIO BROCCHI  12-</v>
      </c>
      <c r="C1781" t="str">
        <f t="shared" si="132"/>
        <v>RIV</v>
      </c>
      <c r="D1781">
        <v>27</v>
      </c>
      <c r="E1781" t="str">
        <f t="shared" si="133"/>
        <v>935</v>
      </c>
      <c r="F1781" t="str">
        <f>"160"</f>
        <v>160</v>
      </c>
    </row>
    <row r="1782" spans="1:6">
      <c r="A1782" t="str">
        <f>"E1219-154"</f>
        <v>E1219-154</v>
      </c>
      <c r="B1782" t="str">
        <f t="shared" si="131"/>
        <v>VIA VIRGILIO BROCCHI  12-</v>
      </c>
      <c r="C1782" t="str">
        <f t="shared" si="132"/>
        <v>RIV</v>
      </c>
      <c r="D1782">
        <v>27</v>
      </c>
      <c r="E1782" t="str">
        <f t="shared" si="133"/>
        <v>935</v>
      </c>
      <c r="F1782" t="str">
        <f>"161"</f>
        <v>161</v>
      </c>
    </row>
    <row r="1783" spans="1:6">
      <c r="A1783" t="str">
        <f>"E1219-155"</f>
        <v>E1219-155</v>
      </c>
      <c r="B1783" t="str">
        <f t="shared" si="131"/>
        <v>VIA VIRGILIO BROCCHI  12-</v>
      </c>
      <c r="C1783" t="str">
        <f t="shared" si="132"/>
        <v>RIV</v>
      </c>
      <c r="D1783">
        <v>27</v>
      </c>
      <c r="E1783" t="str">
        <f t="shared" si="133"/>
        <v>935</v>
      </c>
      <c r="F1783" t="str">
        <f>"162"</f>
        <v>162</v>
      </c>
    </row>
    <row r="1784" spans="1:6">
      <c r="A1784" t="str">
        <f>"E1219-156"</f>
        <v>E1219-156</v>
      </c>
      <c r="B1784" t="str">
        <f t="shared" si="131"/>
        <v>VIA VIRGILIO BROCCHI  12-</v>
      </c>
      <c r="C1784" t="str">
        <f t="shared" si="132"/>
        <v>RIV</v>
      </c>
      <c r="D1784">
        <v>27</v>
      </c>
      <c r="E1784" t="str">
        <f t="shared" si="133"/>
        <v>935</v>
      </c>
      <c r="F1784" t="str">
        <f>"163"</f>
        <v>163</v>
      </c>
    </row>
    <row r="1785" spans="1:6">
      <c r="A1785" t="str">
        <f>"E1219-157"</f>
        <v>E1219-157</v>
      </c>
      <c r="B1785" t="str">
        <f t="shared" si="131"/>
        <v>VIA VIRGILIO BROCCHI  12-</v>
      </c>
      <c r="C1785" t="str">
        <f t="shared" si="132"/>
        <v>RIV</v>
      </c>
      <c r="D1785">
        <v>27</v>
      </c>
      <c r="E1785" t="str">
        <f t="shared" si="133"/>
        <v>935</v>
      </c>
      <c r="F1785" t="str">
        <f>"164"</f>
        <v>164</v>
      </c>
    </row>
    <row r="1786" spans="1:6">
      <c r="A1786" t="str">
        <f>"E1219-158"</f>
        <v>E1219-158</v>
      </c>
      <c r="B1786" t="str">
        <f t="shared" si="131"/>
        <v>VIA VIRGILIO BROCCHI  12-</v>
      </c>
      <c r="C1786" t="str">
        <f t="shared" si="132"/>
        <v>RIV</v>
      </c>
      <c r="D1786">
        <v>27</v>
      </c>
      <c r="E1786" t="str">
        <f t="shared" si="133"/>
        <v>935</v>
      </c>
      <c r="F1786" t="str">
        <f>"165"</f>
        <v>165</v>
      </c>
    </row>
    <row r="1787" spans="1:6">
      <c r="A1787" t="str">
        <f>"E1219-159"</f>
        <v>E1219-159</v>
      </c>
      <c r="B1787" t="str">
        <f t="shared" si="131"/>
        <v>VIA VIRGILIO BROCCHI  12-</v>
      </c>
      <c r="C1787" t="str">
        <f t="shared" si="132"/>
        <v>RIV</v>
      </c>
      <c r="D1787">
        <v>27</v>
      </c>
      <c r="E1787" t="str">
        <f t="shared" si="133"/>
        <v>935</v>
      </c>
      <c r="F1787" t="str">
        <f>"166"</f>
        <v>166</v>
      </c>
    </row>
    <row r="1788" spans="1:6">
      <c r="A1788" t="str">
        <f>"E1219-160"</f>
        <v>E1219-160</v>
      </c>
      <c r="B1788" t="str">
        <f t="shared" si="131"/>
        <v>VIA VIRGILIO BROCCHI  12-</v>
      </c>
      <c r="C1788" t="str">
        <f t="shared" si="132"/>
        <v>RIV</v>
      </c>
      <c r="D1788">
        <v>27</v>
      </c>
      <c r="E1788" t="str">
        <f t="shared" si="133"/>
        <v>935</v>
      </c>
      <c r="F1788" t="str">
        <f>"167"</f>
        <v>167</v>
      </c>
    </row>
    <row r="1789" spans="1:6">
      <c r="A1789" t="str">
        <f>"E1219-161"</f>
        <v>E1219-161</v>
      </c>
      <c r="B1789" t="str">
        <f t="shared" ref="B1789:B1811" si="134">"VIA VIRGILIO BROCCHI  12-"</f>
        <v>VIA VIRGILIO BROCCHI  12-</v>
      </c>
      <c r="C1789" t="str">
        <f t="shared" ref="C1789:C1811" si="135">"RIV"</f>
        <v>RIV</v>
      </c>
      <c r="D1789">
        <v>27</v>
      </c>
      <c r="E1789" t="str">
        <f t="shared" ref="E1789:E1812" si="136">"935"</f>
        <v>935</v>
      </c>
      <c r="F1789" t="str">
        <f>"168"</f>
        <v>168</v>
      </c>
    </row>
    <row r="1790" spans="1:6">
      <c r="A1790" t="str">
        <f>"E1219-162"</f>
        <v>E1219-162</v>
      </c>
      <c r="B1790" t="str">
        <f t="shared" si="134"/>
        <v>VIA VIRGILIO BROCCHI  12-</v>
      </c>
      <c r="C1790" t="str">
        <f t="shared" si="135"/>
        <v>RIV</v>
      </c>
      <c r="D1790">
        <v>27</v>
      </c>
      <c r="E1790" t="str">
        <f t="shared" si="136"/>
        <v>935</v>
      </c>
      <c r="F1790" t="str">
        <f>"169"</f>
        <v>169</v>
      </c>
    </row>
    <row r="1791" spans="1:6">
      <c r="A1791" t="str">
        <f>"E1219-163"</f>
        <v>E1219-163</v>
      </c>
      <c r="B1791" t="str">
        <f t="shared" si="134"/>
        <v>VIA VIRGILIO BROCCHI  12-</v>
      </c>
      <c r="C1791" t="str">
        <f t="shared" si="135"/>
        <v>RIV</v>
      </c>
      <c r="D1791">
        <v>27</v>
      </c>
      <c r="E1791" t="str">
        <f t="shared" si="136"/>
        <v>935</v>
      </c>
      <c r="F1791" t="str">
        <f>"170"</f>
        <v>170</v>
      </c>
    </row>
    <row r="1792" spans="1:6">
      <c r="A1792" t="str">
        <f>"E1219-164"</f>
        <v>E1219-164</v>
      </c>
      <c r="B1792" t="str">
        <f t="shared" si="134"/>
        <v>VIA VIRGILIO BROCCHI  12-</v>
      </c>
      <c r="C1792" t="str">
        <f t="shared" si="135"/>
        <v>RIV</v>
      </c>
      <c r="D1792">
        <v>27</v>
      </c>
      <c r="E1792" t="str">
        <f t="shared" si="136"/>
        <v>935</v>
      </c>
      <c r="F1792" t="str">
        <f>"171"</f>
        <v>171</v>
      </c>
    </row>
    <row r="1793" spans="1:6">
      <c r="A1793" t="str">
        <f>"E1219-165"</f>
        <v>E1219-165</v>
      </c>
      <c r="B1793" t="str">
        <f t="shared" si="134"/>
        <v>VIA VIRGILIO BROCCHI  12-</v>
      </c>
      <c r="C1793" t="str">
        <f t="shared" si="135"/>
        <v>RIV</v>
      </c>
      <c r="D1793">
        <v>27</v>
      </c>
      <c r="E1793" t="str">
        <f t="shared" si="136"/>
        <v>935</v>
      </c>
      <c r="F1793" t="str">
        <f>"172"</f>
        <v>172</v>
      </c>
    </row>
    <row r="1794" spans="1:6">
      <c r="A1794" t="str">
        <f>"E1219-166"</f>
        <v>E1219-166</v>
      </c>
      <c r="B1794" t="str">
        <f t="shared" si="134"/>
        <v>VIA VIRGILIO BROCCHI  12-</v>
      </c>
      <c r="C1794" t="str">
        <f t="shared" si="135"/>
        <v>RIV</v>
      </c>
      <c r="D1794">
        <v>27</v>
      </c>
      <c r="E1794" t="str">
        <f t="shared" si="136"/>
        <v>935</v>
      </c>
      <c r="F1794" t="str">
        <f>"173"</f>
        <v>173</v>
      </c>
    </row>
    <row r="1795" spans="1:6">
      <c r="A1795" t="str">
        <f>"E1219-167"</f>
        <v>E1219-167</v>
      </c>
      <c r="B1795" t="str">
        <f t="shared" si="134"/>
        <v>VIA VIRGILIO BROCCHI  12-</v>
      </c>
      <c r="C1795" t="str">
        <f t="shared" si="135"/>
        <v>RIV</v>
      </c>
      <c r="D1795">
        <v>27</v>
      </c>
      <c r="E1795" t="str">
        <f t="shared" si="136"/>
        <v>935</v>
      </c>
      <c r="F1795" t="str">
        <f>"174"</f>
        <v>174</v>
      </c>
    </row>
    <row r="1796" spans="1:6">
      <c r="A1796" t="str">
        <f>"E1219-168"</f>
        <v>E1219-168</v>
      </c>
      <c r="B1796" t="str">
        <f t="shared" si="134"/>
        <v>VIA VIRGILIO BROCCHI  12-</v>
      </c>
      <c r="C1796" t="str">
        <f t="shared" si="135"/>
        <v>RIV</v>
      </c>
      <c r="D1796">
        <v>27</v>
      </c>
      <c r="E1796" t="str">
        <f t="shared" si="136"/>
        <v>935</v>
      </c>
      <c r="F1796" t="str">
        <f>"175"</f>
        <v>175</v>
      </c>
    </row>
    <row r="1797" spans="1:6">
      <c r="A1797" t="str">
        <f>"E1219-169"</f>
        <v>E1219-169</v>
      </c>
      <c r="B1797" t="str">
        <f t="shared" si="134"/>
        <v>VIA VIRGILIO BROCCHI  12-</v>
      </c>
      <c r="C1797" t="str">
        <f t="shared" si="135"/>
        <v>RIV</v>
      </c>
      <c r="D1797">
        <v>27</v>
      </c>
      <c r="E1797" t="str">
        <f t="shared" si="136"/>
        <v>935</v>
      </c>
      <c r="F1797" t="str">
        <f>"176"</f>
        <v>176</v>
      </c>
    </row>
    <row r="1798" spans="1:6">
      <c r="A1798" t="str">
        <f>"E1219-170"</f>
        <v>E1219-170</v>
      </c>
      <c r="B1798" t="str">
        <f t="shared" si="134"/>
        <v>VIA VIRGILIO BROCCHI  12-</v>
      </c>
      <c r="C1798" t="str">
        <f t="shared" si="135"/>
        <v>RIV</v>
      </c>
      <c r="D1798">
        <v>27</v>
      </c>
      <c r="E1798" t="str">
        <f t="shared" si="136"/>
        <v>935</v>
      </c>
      <c r="F1798" t="str">
        <f>"177"</f>
        <v>177</v>
      </c>
    </row>
    <row r="1799" spans="1:6">
      <c r="A1799" t="str">
        <f>"E1219-171"</f>
        <v>E1219-171</v>
      </c>
      <c r="B1799" t="str">
        <f t="shared" si="134"/>
        <v>VIA VIRGILIO BROCCHI  12-</v>
      </c>
      <c r="C1799" t="str">
        <f t="shared" si="135"/>
        <v>RIV</v>
      </c>
      <c r="D1799">
        <v>27</v>
      </c>
      <c r="E1799" t="str">
        <f t="shared" si="136"/>
        <v>935</v>
      </c>
      <c r="F1799" t="str">
        <f>"178"</f>
        <v>178</v>
      </c>
    </row>
    <row r="1800" spans="1:6">
      <c r="A1800" t="str">
        <f>"E1219-172"</f>
        <v>E1219-172</v>
      </c>
      <c r="B1800" t="str">
        <f t="shared" si="134"/>
        <v>VIA VIRGILIO BROCCHI  12-</v>
      </c>
      <c r="C1800" t="str">
        <f t="shared" si="135"/>
        <v>RIV</v>
      </c>
      <c r="D1800">
        <v>27</v>
      </c>
      <c r="E1800" t="str">
        <f t="shared" si="136"/>
        <v>935</v>
      </c>
      <c r="F1800" t="str">
        <f>"179"</f>
        <v>179</v>
      </c>
    </row>
    <row r="1801" spans="1:6">
      <c r="A1801" t="str">
        <f>"E1219-173"</f>
        <v>E1219-173</v>
      </c>
      <c r="B1801" t="str">
        <f t="shared" si="134"/>
        <v>VIA VIRGILIO BROCCHI  12-</v>
      </c>
      <c r="C1801" t="str">
        <f t="shared" si="135"/>
        <v>RIV</v>
      </c>
      <c r="D1801">
        <v>27</v>
      </c>
      <c r="E1801" t="str">
        <f t="shared" si="136"/>
        <v>935</v>
      </c>
      <c r="F1801" t="str">
        <f>"180"</f>
        <v>180</v>
      </c>
    </row>
    <row r="1802" spans="1:6">
      <c r="A1802" t="str">
        <f>"E1219-174"</f>
        <v>E1219-174</v>
      </c>
      <c r="B1802" t="str">
        <f t="shared" si="134"/>
        <v>VIA VIRGILIO BROCCHI  12-</v>
      </c>
      <c r="C1802" t="str">
        <f t="shared" si="135"/>
        <v>RIV</v>
      </c>
      <c r="D1802">
        <v>27</v>
      </c>
      <c r="E1802" t="str">
        <f t="shared" si="136"/>
        <v>935</v>
      </c>
      <c r="F1802" t="str">
        <f>"181"</f>
        <v>181</v>
      </c>
    </row>
    <row r="1803" spans="1:6">
      <c r="A1803" t="str">
        <f>"E1219-175"</f>
        <v>E1219-175</v>
      </c>
      <c r="B1803" t="str">
        <f t="shared" si="134"/>
        <v>VIA VIRGILIO BROCCHI  12-</v>
      </c>
      <c r="C1803" t="str">
        <f t="shared" si="135"/>
        <v>RIV</v>
      </c>
      <c r="D1803">
        <v>27</v>
      </c>
      <c r="E1803" t="str">
        <f t="shared" si="136"/>
        <v>935</v>
      </c>
      <c r="F1803" t="str">
        <f>"182"</f>
        <v>182</v>
      </c>
    </row>
    <row r="1804" spans="1:6">
      <c r="A1804" t="str">
        <f>"E1219-176"</f>
        <v>E1219-176</v>
      </c>
      <c r="B1804" t="str">
        <f t="shared" si="134"/>
        <v>VIA VIRGILIO BROCCHI  12-</v>
      </c>
      <c r="C1804" t="str">
        <f t="shared" si="135"/>
        <v>RIV</v>
      </c>
      <c r="D1804">
        <v>27</v>
      </c>
      <c r="E1804" t="str">
        <f t="shared" si="136"/>
        <v>935</v>
      </c>
      <c r="F1804" t="str">
        <f>"183"</f>
        <v>183</v>
      </c>
    </row>
    <row r="1805" spans="1:6">
      <c r="A1805" t="str">
        <f>"E1219-177"</f>
        <v>E1219-177</v>
      </c>
      <c r="B1805" t="str">
        <f t="shared" si="134"/>
        <v>VIA VIRGILIO BROCCHI  12-</v>
      </c>
      <c r="C1805" t="str">
        <f t="shared" si="135"/>
        <v>RIV</v>
      </c>
      <c r="D1805">
        <v>27</v>
      </c>
      <c r="E1805" t="str">
        <f t="shared" si="136"/>
        <v>935</v>
      </c>
      <c r="F1805" t="str">
        <f>"184"</f>
        <v>184</v>
      </c>
    </row>
    <row r="1806" spans="1:6">
      <c r="A1806" t="str">
        <f>"E1219-178"</f>
        <v>E1219-178</v>
      </c>
      <c r="B1806" t="str">
        <f t="shared" si="134"/>
        <v>VIA VIRGILIO BROCCHI  12-</v>
      </c>
      <c r="C1806" t="str">
        <f t="shared" si="135"/>
        <v>RIV</v>
      </c>
      <c r="D1806">
        <v>27</v>
      </c>
      <c r="E1806" t="str">
        <f t="shared" si="136"/>
        <v>935</v>
      </c>
      <c r="F1806" t="str">
        <f>"185"</f>
        <v>185</v>
      </c>
    </row>
    <row r="1807" spans="1:6">
      <c r="A1807" t="str">
        <f>"E1219-179"</f>
        <v>E1219-179</v>
      </c>
      <c r="B1807" t="str">
        <f t="shared" si="134"/>
        <v>VIA VIRGILIO BROCCHI  12-</v>
      </c>
      <c r="C1807" t="str">
        <f t="shared" si="135"/>
        <v>RIV</v>
      </c>
      <c r="D1807">
        <v>27</v>
      </c>
      <c r="E1807" t="str">
        <f t="shared" si="136"/>
        <v>935</v>
      </c>
      <c r="F1807" t="str">
        <f>"186"</f>
        <v>186</v>
      </c>
    </row>
    <row r="1808" spans="1:6">
      <c r="A1808" t="str">
        <f>"E1219-180"</f>
        <v>E1219-180</v>
      </c>
      <c r="B1808" t="str">
        <f t="shared" si="134"/>
        <v>VIA VIRGILIO BROCCHI  12-</v>
      </c>
      <c r="C1808" t="str">
        <f t="shared" si="135"/>
        <v>RIV</v>
      </c>
      <c r="D1808">
        <v>27</v>
      </c>
      <c r="E1808" t="str">
        <f t="shared" si="136"/>
        <v>935</v>
      </c>
      <c r="F1808" t="str">
        <f>"187"</f>
        <v>187</v>
      </c>
    </row>
    <row r="1809" spans="1:6">
      <c r="A1809" t="str">
        <f>"E1219-181"</f>
        <v>E1219-181</v>
      </c>
      <c r="B1809" t="str">
        <f t="shared" si="134"/>
        <v>VIA VIRGILIO BROCCHI  12-</v>
      </c>
      <c r="C1809" t="str">
        <f t="shared" si="135"/>
        <v>RIV</v>
      </c>
      <c r="D1809">
        <v>27</v>
      </c>
      <c r="E1809" t="str">
        <f t="shared" si="136"/>
        <v>935</v>
      </c>
      <c r="F1809" t="str">
        <f>"188"</f>
        <v>188</v>
      </c>
    </row>
    <row r="1810" spans="1:6">
      <c r="A1810" t="str">
        <f>"E1219-182"</f>
        <v>E1219-182</v>
      </c>
      <c r="B1810" t="str">
        <f t="shared" si="134"/>
        <v>VIA VIRGILIO BROCCHI  12-</v>
      </c>
      <c r="C1810" t="str">
        <f t="shared" si="135"/>
        <v>RIV</v>
      </c>
      <c r="D1810">
        <v>27</v>
      </c>
      <c r="E1810" t="str">
        <f t="shared" si="136"/>
        <v>935</v>
      </c>
      <c r="F1810" t="str">
        <f>"189"</f>
        <v>189</v>
      </c>
    </row>
    <row r="1811" spans="1:6">
      <c r="A1811" t="str">
        <f>"E1219-183"</f>
        <v>E1219-183</v>
      </c>
      <c r="B1811" t="str">
        <f t="shared" si="134"/>
        <v>VIA VIRGILIO BROCCHI  12-</v>
      </c>
      <c r="C1811" t="str">
        <f t="shared" si="135"/>
        <v>RIV</v>
      </c>
      <c r="D1811">
        <v>27</v>
      </c>
      <c r="E1811" t="str">
        <f t="shared" si="136"/>
        <v>935</v>
      </c>
      <c r="F1811" t="str">
        <f>"190"</f>
        <v>190</v>
      </c>
    </row>
    <row r="1812" spans="1:6">
      <c r="A1812" t="str">
        <f>"E1219-184"</f>
        <v>E1219-184</v>
      </c>
      <c r="B1812" t="str">
        <f>"VIA CESARE PEDRINI  26-"</f>
        <v>VIA CESARE PEDRINI  26-</v>
      </c>
      <c r="C1812" t="str">
        <f t="shared" ref="C1812:C1820" si="137">"4"</f>
        <v>4</v>
      </c>
      <c r="D1812">
        <v>27</v>
      </c>
      <c r="E1812" t="str">
        <f t="shared" si="136"/>
        <v>935</v>
      </c>
      <c r="F1812" t="str">
        <f t="shared" ref="F1812:F1820" si="138">"0000"</f>
        <v>0000</v>
      </c>
    </row>
    <row r="1813" spans="1:6">
      <c r="A1813" t="str">
        <f>"E1220-1"</f>
        <v>E1220-1</v>
      </c>
      <c r="B1813" t="str">
        <f>"VIA CAMPO DI TIRO  29-"</f>
        <v>VIA CAMPO DI TIRO  29-</v>
      </c>
      <c r="C1813" t="str">
        <f t="shared" si="137"/>
        <v>4</v>
      </c>
      <c r="D1813">
        <v>3</v>
      </c>
      <c r="E1813" t="str">
        <f>"175"</f>
        <v>175</v>
      </c>
      <c r="F1813" t="str">
        <f t="shared" si="138"/>
        <v>0000</v>
      </c>
    </row>
    <row r="1814" spans="1:6">
      <c r="C1814" t="str">
        <f t="shared" si="137"/>
        <v>4</v>
      </c>
      <c r="D1814">
        <v>3</v>
      </c>
      <c r="E1814" t="str">
        <f>"194"</f>
        <v>194</v>
      </c>
      <c r="F1814" t="str">
        <f t="shared" si="138"/>
        <v>0000</v>
      </c>
    </row>
    <row r="1815" spans="1:6">
      <c r="C1815" t="str">
        <f t="shared" si="137"/>
        <v>4</v>
      </c>
      <c r="D1815">
        <v>3</v>
      </c>
      <c r="E1815" t="str">
        <f>"195"</f>
        <v>195</v>
      </c>
      <c r="F1815" t="str">
        <f t="shared" si="138"/>
        <v>0000</v>
      </c>
    </row>
    <row r="1816" spans="1:6">
      <c r="C1816" t="str">
        <f t="shared" si="137"/>
        <v>4</v>
      </c>
      <c r="D1816">
        <v>3</v>
      </c>
      <c r="E1816" t="str">
        <f>"310"</f>
        <v>310</v>
      </c>
      <c r="F1816" t="str">
        <f t="shared" si="138"/>
        <v>0000</v>
      </c>
    </row>
    <row r="1817" spans="1:6">
      <c r="A1817" t="str">
        <f>"E1220-2"</f>
        <v>E1220-2</v>
      </c>
      <c r="B1817" t="str">
        <f>"VIA CAMPO DI TIRO  29-"</f>
        <v>VIA CAMPO DI TIRO  29-</v>
      </c>
      <c r="C1817" t="str">
        <f t="shared" si="137"/>
        <v>4</v>
      </c>
      <c r="D1817">
        <v>3</v>
      </c>
      <c r="E1817" t="str">
        <f>"175"</f>
        <v>175</v>
      </c>
      <c r="F1817" t="str">
        <f t="shared" si="138"/>
        <v>0000</v>
      </c>
    </row>
    <row r="1818" spans="1:6">
      <c r="C1818" t="str">
        <f t="shared" si="137"/>
        <v>4</v>
      </c>
      <c r="D1818">
        <v>3</v>
      </c>
      <c r="E1818" t="str">
        <f>"310"</f>
        <v>310</v>
      </c>
      <c r="F1818" t="str">
        <f t="shared" si="138"/>
        <v>0000</v>
      </c>
    </row>
    <row r="1819" spans="1:6">
      <c r="C1819" t="str">
        <f t="shared" si="137"/>
        <v>4</v>
      </c>
      <c r="D1819">
        <v>3</v>
      </c>
      <c r="E1819" t="str">
        <f>"194"</f>
        <v>194</v>
      </c>
      <c r="F1819" t="str">
        <f t="shared" si="138"/>
        <v>0000</v>
      </c>
    </row>
    <row r="1820" spans="1:6">
      <c r="C1820" t="str">
        <f t="shared" si="137"/>
        <v>4</v>
      </c>
      <c r="D1820">
        <v>3</v>
      </c>
      <c r="E1820" t="str">
        <f>"195"</f>
        <v>195</v>
      </c>
      <c r="F1820" t="str">
        <f t="shared" si="138"/>
        <v>0000</v>
      </c>
    </row>
    <row r="1821" spans="1:6">
      <c r="A1821" t="str">
        <f>"E1222-1"</f>
        <v>E1222-1</v>
      </c>
      <c r="B1821" t="str">
        <f t="shared" ref="B1821:B1833" si="139">"VIA REMIGIO VIGLIERO  6-"</f>
        <v>VIA REMIGIO VIGLIERO  6-</v>
      </c>
      <c r="C1821" t="str">
        <f t="shared" ref="C1821:C1852" si="140">"RIV"</f>
        <v>RIV</v>
      </c>
      <c r="D1821">
        <v>27</v>
      </c>
      <c r="E1821" t="str">
        <f t="shared" ref="E1821:E1852" si="141">"949"</f>
        <v>949</v>
      </c>
      <c r="F1821" t="str">
        <f>"4"</f>
        <v>4</v>
      </c>
    </row>
    <row r="1822" spans="1:6">
      <c r="A1822" t="str">
        <f>"E1222-2"</f>
        <v>E1222-2</v>
      </c>
      <c r="B1822" t="str">
        <f t="shared" si="139"/>
        <v>VIA REMIGIO VIGLIERO  6-</v>
      </c>
      <c r="C1822" t="str">
        <f t="shared" si="140"/>
        <v>RIV</v>
      </c>
      <c r="D1822">
        <v>27</v>
      </c>
      <c r="E1822" t="str">
        <f t="shared" si="141"/>
        <v>949</v>
      </c>
      <c r="F1822" t="str">
        <f>"5"</f>
        <v>5</v>
      </c>
    </row>
    <row r="1823" spans="1:6">
      <c r="A1823" t="str">
        <f>"E1222-3"</f>
        <v>E1222-3</v>
      </c>
      <c r="B1823" t="str">
        <f t="shared" si="139"/>
        <v>VIA REMIGIO VIGLIERO  6-</v>
      </c>
      <c r="C1823" t="str">
        <f t="shared" si="140"/>
        <v>RIV</v>
      </c>
      <c r="D1823">
        <v>27</v>
      </c>
      <c r="E1823" t="str">
        <f t="shared" si="141"/>
        <v>949</v>
      </c>
      <c r="F1823" t="str">
        <f>"6"</f>
        <v>6</v>
      </c>
    </row>
    <row r="1824" spans="1:6">
      <c r="A1824" t="str">
        <f>"E1222-4"</f>
        <v>E1222-4</v>
      </c>
      <c r="B1824" t="str">
        <f t="shared" si="139"/>
        <v>VIA REMIGIO VIGLIERO  6-</v>
      </c>
      <c r="C1824" t="str">
        <f t="shared" si="140"/>
        <v>RIV</v>
      </c>
      <c r="D1824">
        <v>27</v>
      </c>
      <c r="E1824" t="str">
        <f t="shared" si="141"/>
        <v>949</v>
      </c>
      <c r="F1824" t="str">
        <f>"7"</f>
        <v>7</v>
      </c>
    </row>
    <row r="1825" spans="1:6">
      <c r="A1825" t="str">
        <f>"E1222-5"</f>
        <v>E1222-5</v>
      </c>
      <c r="B1825" t="str">
        <f t="shared" si="139"/>
        <v>VIA REMIGIO VIGLIERO  6-</v>
      </c>
      <c r="C1825" t="str">
        <f t="shared" si="140"/>
        <v>RIV</v>
      </c>
      <c r="D1825">
        <v>27</v>
      </c>
      <c r="E1825" t="str">
        <f t="shared" si="141"/>
        <v>949</v>
      </c>
      <c r="F1825" t="str">
        <f>"8"</f>
        <v>8</v>
      </c>
    </row>
    <row r="1826" spans="1:6">
      <c r="A1826" t="str">
        <f>"E1222-6"</f>
        <v>E1222-6</v>
      </c>
      <c r="B1826" t="str">
        <f t="shared" si="139"/>
        <v>VIA REMIGIO VIGLIERO  6-</v>
      </c>
      <c r="C1826" t="str">
        <f t="shared" si="140"/>
        <v>RIV</v>
      </c>
      <c r="D1826">
        <v>27</v>
      </c>
      <c r="E1826" t="str">
        <f t="shared" si="141"/>
        <v>949</v>
      </c>
      <c r="F1826" t="str">
        <f>"9"</f>
        <v>9</v>
      </c>
    </row>
    <row r="1827" spans="1:6">
      <c r="A1827" t="str">
        <f>"E1222-7"</f>
        <v>E1222-7</v>
      </c>
      <c r="B1827" t="str">
        <f t="shared" si="139"/>
        <v>VIA REMIGIO VIGLIERO  6-</v>
      </c>
      <c r="C1827" t="str">
        <f t="shared" si="140"/>
        <v>RIV</v>
      </c>
      <c r="D1827">
        <v>27</v>
      </c>
      <c r="E1827" t="str">
        <f t="shared" si="141"/>
        <v>949</v>
      </c>
      <c r="F1827" t="str">
        <f>"10"</f>
        <v>10</v>
      </c>
    </row>
    <row r="1828" spans="1:6">
      <c r="A1828" t="str">
        <f>"E1222-8"</f>
        <v>E1222-8</v>
      </c>
      <c r="B1828" t="str">
        <f t="shared" si="139"/>
        <v>VIA REMIGIO VIGLIERO  6-</v>
      </c>
      <c r="C1828" t="str">
        <f t="shared" si="140"/>
        <v>RIV</v>
      </c>
      <c r="D1828">
        <v>27</v>
      </c>
      <c r="E1828" t="str">
        <f t="shared" si="141"/>
        <v>949</v>
      </c>
      <c r="F1828" t="str">
        <f>"11"</f>
        <v>11</v>
      </c>
    </row>
    <row r="1829" spans="1:6">
      <c r="A1829" t="str">
        <f>"E1222-9"</f>
        <v>E1222-9</v>
      </c>
      <c r="B1829" t="str">
        <f t="shared" si="139"/>
        <v>VIA REMIGIO VIGLIERO  6-</v>
      </c>
      <c r="C1829" t="str">
        <f t="shared" si="140"/>
        <v>RIV</v>
      </c>
      <c r="D1829">
        <v>27</v>
      </c>
      <c r="E1829" t="str">
        <f t="shared" si="141"/>
        <v>949</v>
      </c>
      <c r="F1829" t="str">
        <f>"12"</f>
        <v>12</v>
      </c>
    </row>
    <row r="1830" spans="1:6">
      <c r="A1830" t="str">
        <f>"E1222-10"</f>
        <v>E1222-10</v>
      </c>
      <c r="B1830" t="str">
        <f t="shared" si="139"/>
        <v>VIA REMIGIO VIGLIERO  6-</v>
      </c>
      <c r="C1830" t="str">
        <f t="shared" si="140"/>
        <v>RIV</v>
      </c>
      <c r="D1830">
        <v>27</v>
      </c>
      <c r="E1830" t="str">
        <f t="shared" si="141"/>
        <v>949</v>
      </c>
      <c r="F1830" t="str">
        <f>"13"</f>
        <v>13</v>
      </c>
    </row>
    <row r="1831" spans="1:6">
      <c r="A1831" t="str">
        <f>"E1222-11"</f>
        <v>E1222-11</v>
      </c>
      <c r="B1831" t="str">
        <f t="shared" si="139"/>
        <v>VIA REMIGIO VIGLIERO  6-</v>
      </c>
      <c r="C1831" t="str">
        <f t="shared" si="140"/>
        <v>RIV</v>
      </c>
      <c r="D1831">
        <v>27</v>
      </c>
      <c r="E1831" t="str">
        <f t="shared" si="141"/>
        <v>949</v>
      </c>
      <c r="F1831" t="str">
        <f>"14"</f>
        <v>14</v>
      </c>
    </row>
    <row r="1832" spans="1:6">
      <c r="A1832" t="str">
        <f>"E1222-14"</f>
        <v>E1222-14</v>
      </c>
      <c r="B1832" t="str">
        <f t="shared" si="139"/>
        <v>VIA REMIGIO VIGLIERO  6-</v>
      </c>
      <c r="C1832" t="str">
        <f t="shared" si="140"/>
        <v>RIV</v>
      </c>
      <c r="D1832">
        <v>27</v>
      </c>
      <c r="E1832" t="str">
        <f t="shared" si="141"/>
        <v>949</v>
      </c>
      <c r="F1832" t="str">
        <f>"17"</f>
        <v>17</v>
      </c>
    </row>
    <row r="1833" spans="1:6">
      <c r="A1833" t="str">
        <f>"E1222-15"</f>
        <v>E1222-15</v>
      </c>
      <c r="B1833" t="str">
        <f t="shared" si="139"/>
        <v>VIA REMIGIO VIGLIERO  6-</v>
      </c>
      <c r="C1833" t="str">
        <f t="shared" si="140"/>
        <v>RIV</v>
      </c>
      <c r="D1833">
        <v>27</v>
      </c>
      <c r="E1833" t="str">
        <f t="shared" si="141"/>
        <v>949</v>
      </c>
      <c r="F1833" t="str">
        <f>"18"</f>
        <v>18</v>
      </c>
    </row>
    <row r="1834" spans="1:6">
      <c r="A1834" t="str">
        <f>"E1222-16"</f>
        <v>E1222-16</v>
      </c>
      <c r="B1834" t="str">
        <f>"VIA REMIGIO VIGLIERO  30-"</f>
        <v>VIA REMIGIO VIGLIERO  30-</v>
      </c>
      <c r="C1834" t="str">
        <f t="shared" si="140"/>
        <v>RIV</v>
      </c>
      <c r="D1834">
        <v>27</v>
      </c>
      <c r="E1834" t="str">
        <f t="shared" si="141"/>
        <v>949</v>
      </c>
      <c r="F1834" t="str">
        <f>"21"</f>
        <v>21</v>
      </c>
    </row>
    <row r="1835" spans="1:6">
      <c r="A1835" t="str">
        <f>"E1222-18"</f>
        <v>E1222-18</v>
      </c>
      <c r="B1835" t="str">
        <f>"VIA REMIGIO VIGLIERO  34-"</f>
        <v>VIA REMIGIO VIGLIERO  34-</v>
      </c>
      <c r="C1835" t="str">
        <f t="shared" si="140"/>
        <v>RIV</v>
      </c>
      <c r="D1835">
        <v>27</v>
      </c>
      <c r="E1835" t="str">
        <f t="shared" si="141"/>
        <v>949</v>
      </c>
      <c r="F1835" t="str">
        <f>"23"</f>
        <v>23</v>
      </c>
    </row>
    <row r="1836" spans="1:6">
      <c r="A1836" t="str">
        <f>"E1222-19"</f>
        <v>E1222-19</v>
      </c>
      <c r="B1836" t="str">
        <f>"VIA REMIGIO VIGLIERO  36-"</f>
        <v>VIA REMIGIO VIGLIERO  36-</v>
      </c>
      <c r="C1836" t="str">
        <f t="shared" si="140"/>
        <v>RIV</v>
      </c>
      <c r="D1836">
        <v>27</v>
      </c>
      <c r="E1836" t="str">
        <f t="shared" si="141"/>
        <v>949</v>
      </c>
      <c r="F1836" t="str">
        <f>"24"</f>
        <v>24</v>
      </c>
    </row>
    <row r="1837" spans="1:6">
      <c r="A1837" t="str">
        <f>"E1222-20"</f>
        <v>E1222-20</v>
      </c>
      <c r="B1837" t="str">
        <f>"VIA REMIGIO VIGLIERO  38-"</f>
        <v>VIA REMIGIO VIGLIERO  38-</v>
      </c>
      <c r="C1837" t="str">
        <f t="shared" si="140"/>
        <v>RIV</v>
      </c>
      <c r="D1837">
        <v>27</v>
      </c>
      <c r="E1837" t="str">
        <f t="shared" si="141"/>
        <v>949</v>
      </c>
      <c r="F1837" t="str">
        <f>"25"</f>
        <v>25</v>
      </c>
    </row>
    <row r="1838" spans="1:6">
      <c r="A1838" t="str">
        <f>"E1222-21"</f>
        <v>E1222-21</v>
      </c>
      <c r="B1838" t="str">
        <f>"VIA REMIGIO VIGLIERO  40-"</f>
        <v>VIA REMIGIO VIGLIERO  40-</v>
      </c>
      <c r="C1838" t="str">
        <f t="shared" si="140"/>
        <v>RIV</v>
      </c>
      <c r="D1838">
        <v>27</v>
      </c>
      <c r="E1838" t="str">
        <f t="shared" si="141"/>
        <v>949</v>
      </c>
      <c r="F1838" t="str">
        <f>"26"</f>
        <v>26</v>
      </c>
    </row>
    <row r="1839" spans="1:6">
      <c r="A1839" t="str">
        <f>"E1222-23"</f>
        <v>E1222-23</v>
      </c>
      <c r="B1839" t="str">
        <f>"VIA REMIGIO VIGLIERO  44-"</f>
        <v>VIA REMIGIO VIGLIERO  44-</v>
      </c>
      <c r="C1839" t="str">
        <f t="shared" si="140"/>
        <v>RIV</v>
      </c>
      <c r="D1839">
        <v>27</v>
      </c>
      <c r="E1839" t="str">
        <f t="shared" si="141"/>
        <v>949</v>
      </c>
      <c r="F1839" t="str">
        <f>"28"</f>
        <v>28</v>
      </c>
    </row>
    <row r="1840" spans="1:6">
      <c r="A1840" t="str">
        <f>"E1222-24"</f>
        <v>E1222-24</v>
      </c>
      <c r="B1840" t="str">
        <f t="shared" ref="B1840:B1861" si="142">"VIA REMIGIO VIGLIERO  64-"</f>
        <v>VIA REMIGIO VIGLIERO  64-</v>
      </c>
      <c r="C1840" t="str">
        <f t="shared" si="140"/>
        <v>RIV</v>
      </c>
      <c r="D1840">
        <v>27</v>
      </c>
      <c r="E1840" t="str">
        <f t="shared" si="141"/>
        <v>949</v>
      </c>
      <c r="F1840" t="str">
        <f>"39"</f>
        <v>39</v>
      </c>
    </row>
    <row r="1841" spans="1:6">
      <c r="A1841" t="str">
        <f>"E1222-25"</f>
        <v>E1222-25</v>
      </c>
      <c r="B1841" t="str">
        <f t="shared" si="142"/>
        <v>VIA REMIGIO VIGLIERO  64-</v>
      </c>
      <c r="C1841" t="str">
        <f t="shared" si="140"/>
        <v>RIV</v>
      </c>
      <c r="D1841">
        <v>27</v>
      </c>
      <c r="E1841" t="str">
        <f t="shared" si="141"/>
        <v>949</v>
      </c>
      <c r="F1841" t="str">
        <f>"40"</f>
        <v>40</v>
      </c>
    </row>
    <row r="1842" spans="1:6">
      <c r="A1842" t="str">
        <f>"E1222-26"</f>
        <v>E1222-26</v>
      </c>
      <c r="B1842" t="str">
        <f t="shared" si="142"/>
        <v>VIA REMIGIO VIGLIERO  64-</v>
      </c>
      <c r="C1842" t="str">
        <f t="shared" si="140"/>
        <v>RIV</v>
      </c>
      <c r="D1842">
        <v>27</v>
      </c>
      <c r="E1842" t="str">
        <f t="shared" si="141"/>
        <v>949</v>
      </c>
      <c r="F1842" t="str">
        <f>"41"</f>
        <v>41</v>
      </c>
    </row>
    <row r="1843" spans="1:6">
      <c r="A1843" t="str">
        <f>"E1222-27"</f>
        <v>E1222-27</v>
      </c>
      <c r="B1843" t="str">
        <f t="shared" si="142"/>
        <v>VIA REMIGIO VIGLIERO  64-</v>
      </c>
      <c r="C1843" t="str">
        <f t="shared" si="140"/>
        <v>RIV</v>
      </c>
      <c r="D1843">
        <v>27</v>
      </c>
      <c r="E1843" t="str">
        <f t="shared" si="141"/>
        <v>949</v>
      </c>
      <c r="F1843" t="str">
        <f>"42"</f>
        <v>42</v>
      </c>
    </row>
    <row r="1844" spans="1:6">
      <c r="A1844" t="str">
        <f>"E1222-28"</f>
        <v>E1222-28</v>
      </c>
      <c r="B1844" t="str">
        <f t="shared" si="142"/>
        <v>VIA REMIGIO VIGLIERO  64-</v>
      </c>
      <c r="C1844" t="str">
        <f t="shared" si="140"/>
        <v>RIV</v>
      </c>
      <c r="D1844">
        <v>27</v>
      </c>
      <c r="E1844" t="str">
        <f t="shared" si="141"/>
        <v>949</v>
      </c>
      <c r="F1844" t="str">
        <f>"43"</f>
        <v>43</v>
      </c>
    </row>
    <row r="1845" spans="1:6">
      <c r="A1845" t="str">
        <f>"E1222-29"</f>
        <v>E1222-29</v>
      </c>
      <c r="B1845" t="str">
        <f t="shared" si="142"/>
        <v>VIA REMIGIO VIGLIERO  64-</v>
      </c>
      <c r="C1845" t="str">
        <f t="shared" si="140"/>
        <v>RIV</v>
      </c>
      <c r="D1845">
        <v>27</v>
      </c>
      <c r="E1845" t="str">
        <f t="shared" si="141"/>
        <v>949</v>
      </c>
      <c r="F1845" t="str">
        <f>"44"</f>
        <v>44</v>
      </c>
    </row>
    <row r="1846" spans="1:6">
      <c r="A1846" t="str">
        <f>"E1222-30"</f>
        <v>E1222-30</v>
      </c>
      <c r="B1846" t="str">
        <f t="shared" si="142"/>
        <v>VIA REMIGIO VIGLIERO  64-</v>
      </c>
      <c r="C1846" t="str">
        <f t="shared" si="140"/>
        <v>RIV</v>
      </c>
      <c r="D1846">
        <v>27</v>
      </c>
      <c r="E1846" t="str">
        <f t="shared" si="141"/>
        <v>949</v>
      </c>
      <c r="F1846" t="str">
        <f>"45"</f>
        <v>45</v>
      </c>
    </row>
    <row r="1847" spans="1:6">
      <c r="A1847" t="str">
        <f>"E1222-31"</f>
        <v>E1222-31</v>
      </c>
      <c r="B1847" t="str">
        <f t="shared" si="142"/>
        <v>VIA REMIGIO VIGLIERO  64-</v>
      </c>
      <c r="C1847" t="str">
        <f t="shared" si="140"/>
        <v>RIV</v>
      </c>
      <c r="D1847">
        <v>27</v>
      </c>
      <c r="E1847" t="str">
        <f t="shared" si="141"/>
        <v>949</v>
      </c>
      <c r="F1847" t="str">
        <f>"46"</f>
        <v>46</v>
      </c>
    </row>
    <row r="1848" spans="1:6">
      <c r="A1848" t="str">
        <f>"E1222-32"</f>
        <v>E1222-32</v>
      </c>
      <c r="B1848" t="str">
        <f t="shared" si="142"/>
        <v>VIA REMIGIO VIGLIERO  64-</v>
      </c>
      <c r="C1848" t="str">
        <f t="shared" si="140"/>
        <v>RIV</v>
      </c>
      <c r="D1848">
        <v>27</v>
      </c>
      <c r="E1848" t="str">
        <f t="shared" si="141"/>
        <v>949</v>
      </c>
      <c r="F1848" t="str">
        <f>"47"</f>
        <v>47</v>
      </c>
    </row>
    <row r="1849" spans="1:6">
      <c r="A1849" t="str">
        <f>"E1222-33"</f>
        <v>E1222-33</v>
      </c>
      <c r="B1849" t="str">
        <f t="shared" si="142"/>
        <v>VIA REMIGIO VIGLIERO  64-</v>
      </c>
      <c r="C1849" t="str">
        <f t="shared" si="140"/>
        <v>RIV</v>
      </c>
      <c r="D1849">
        <v>27</v>
      </c>
      <c r="E1849" t="str">
        <f t="shared" si="141"/>
        <v>949</v>
      </c>
      <c r="F1849" t="str">
        <f>"48"</f>
        <v>48</v>
      </c>
    </row>
    <row r="1850" spans="1:6">
      <c r="A1850" t="str">
        <f>"E1222-34"</f>
        <v>E1222-34</v>
      </c>
      <c r="B1850" t="str">
        <f t="shared" si="142"/>
        <v>VIA REMIGIO VIGLIERO  64-</v>
      </c>
      <c r="C1850" t="str">
        <f t="shared" si="140"/>
        <v>RIV</v>
      </c>
      <c r="D1850">
        <v>27</v>
      </c>
      <c r="E1850" t="str">
        <f t="shared" si="141"/>
        <v>949</v>
      </c>
      <c r="F1850" t="str">
        <f>"49"</f>
        <v>49</v>
      </c>
    </row>
    <row r="1851" spans="1:6">
      <c r="A1851" t="str">
        <f>"E1222-35"</f>
        <v>E1222-35</v>
      </c>
      <c r="B1851" t="str">
        <f t="shared" si="142"/>
        <v>VIA REMIGIO VIGLIERO  64-</v>
      </c>
      <c r="C1851" t="str">
        <f t="shared" si="140"/>
        <v>RIV</v>
      </c>
      <c r="D1851">
        <v>27</v>
      </c>
      <c r="E1851" t="str">
        <f t="shared" si="141"/>
        <v>949</v>
      </c>
      <c r="F1851" t="str">
        <f>"50"</f>
        <v>50</v>
      </c>
    </row>
    <row r="1852" spans="1:6">
      <c r="A1852" t="str">
        <f>"E1222-36"</f>
        <v>E1222-36</v>
      </c>
      <c r="B1852" t="str">
        <f t="shared" si="142"/>
        <v>VIA REMIGIO VIGLIERO  64-</v>
      </c>
      <c r="C1852" t="str">
        <f t="shared" si="140"/>
        <v>RIV</v>
      </c>
      <c r="D1852">
        <v>27</v>
      </c>
      <c r="E1852" t="str">
        <f t="shared" si="141"/>
        <v>949</v>
      </c>
      <c r="F1852" t="str">
        <f>"51"</f>
        <v>51</v>
      </c>
    </row>
    <row r="1853" spans="1:6">
      <c r="A1853" t="str">
        <f>"E1222-37"</f>
        <v>E1222-37</v>
      </c>
      <c r="B1853" t="str">
        <f t="shared" si="142"/>
        <v>VIA REMIGIO VIGLIERO  64-</v>
      </c>
      <c r="C1853" t="str">
        <f t="shared" ref="C1853:C1884" si="143">"RIV"</f>
        <v>RIV</v>
      </c>
      <c r="D1853">
        <v>27</v>
      </c>
      <c r="E1853" t="str">
        <f t="shared" ref="E1853:E1884" si="144">"949"</f>
        <v>949</v>
      </c>
      <c r="F1853" t="str">
        <f>"52"</f>
        <v>52</v>
      </c>
    </row>
    <row r="1854" spans="1:6">
      <c r="A1854" t="str">
        <f>"E1222-39"</f>
        <v>E1222-39</v>
      </c>
      <c r="B1854" t="str">
        <f t="shared" si="142"/>
        <v>VIA REMIGIO VIGLIERO  64-</v>
      </c>
      <c r="C1854" t="str">
        <f t="shared" si="143"/>
        <v>RIV</v>
      </c>
      <c r="D1854">
        <v>27</v>
      </c>
      <c r="E1854" t="str">
        <f t="shared" si="144"/>
        <v>949</v>
      </c>
      <c r="F1854" t="str">
        <f>"54"</f>
        <v>54</v>
      </c>
    </row>
    <row r="1855" spans="1:6">
      <c r="A1855" t="str">
        <f>"E1222-40"</f>
        <v>E1222-40</v>
      </c>
      <c r="B1855" t="str">
        <f t="shared" si="142"/>
        <v>VIA REMIGIO VIGLIERO  64-</v>
      </c>
      <c r="C1855" t="str">
        <f t="shared" si="143"/>
        <v>RIV</v>
      </c>
      <c r="D1855">
        <v>27</v>
      </c>
      <c r="E1855" t="str">
        <f t="shared" si="144"/>
        <v>949</v>
      </c>
      <c r="F1855" t="str">
        <f>"55"</f>
        <v>55</v>
      </c>
    </row>
    <row r="1856" spans="1:6">
      <c r="A1856" t="str">
        <f>"E1222-42"</f>
        <v>E1222-42</v>
      </c>
      <c r="B1856" t="str">
        <f t="shared" si="142"/>
        <v>VIA REMIGIO VIGLIERO  64-</v>
      </c>
      <c r="C1856" t="str">
        <f t="shared" si="143"/>
        <v>RIV</v>
      </c>
      <c r="D1856">
        <v>27</v>
      </c>
      <c r="E1856" t="str">
        <f t="shared" si="144"/>
        <v>949</v>
      </c>
      <c r="F1856" t="str">
        <f>"57"</f>
        <v>57</v>
      </c>
    </row>
    <row r="1857" spans="1:6">
      <c r="A1857" t="str">
        <f>"E1222-43"</f>
        <v>E1222-43</v>
      </c>
      <c r="B1857" t="str">
        <f t="shared" si="142"/>
        <v>VIA REMIGIO VIGLIERO  64-</v>
      </c>
      <c r="C1857" t="str">
        <f t="shared" si="143"/>
        <v>RIV</v>
      </c>
      <c r="D1857">
        <v>27</v>
      </c>
      <c r="E1857" t="str">
        <f t="shared" si="144"/>
        <v>949</v>
      </c>
      <c r="F1857" t="str">
        <f>"58"</f>
        <v>58</v>
      </c>
    </row>
    <row r="1858" spans="1:6">
      <c r="A1858" t="str">
        <f>"E1222-44"</f>
        <v>E1222-44</v>
      </c>
      <c r="B1858" t="str">
        <f t="shared" si="142"/>
        <v>VIA REMIGIO VIGLIERO  64-</v>
      </c>
      <c r="C1858" t="str">
        <f t="shared" si="143"/>
        <v>RIV</v>
      </c>
      <c r="D1858">
        <v>27</v>
      </c>
      <c r="E1858" t="str">
        <f t="shared" si="144"/>
        <v>949</v>
      </c>
      <c r="F1858" t="str">
        <f>"59"</f>
        <v>59</v>
      </c>
    </row>
    <row r="1859" spans="1:6">
      <c r="A1859" t="str">
        <f>"E1222-45"</f>
        <v>E1222-45</v>
      </c>
      <c r="B1859" t="str">
        <f t="shared" si="142"/>
        <v>VIA REMIGIO VIGLIERO  64-</v>
      </c>
      <c r="C1859" t="str">
        <f t="shared" si="143"/>
        <v>RIV</v>
      </c>
      <c r="D1859">
        <v>27</v>
      </c>
      <c r="E1859" t="str">
        <f t="shared" si="144"/>
        <v>949</v>
      </c>
      <c r="F1859" t="str">
        <f>"60"</f>
        <v>60</v>
      </c>
    </row>
    <row r="1860" spans="1:6">
      <c r="A1860" t="str">
        <f>"E1222-46"</f>
        <v>E1222-46</v>
      </c>
      <c r="B1860" t="str">
        <f t="shared" si="142"/>
        <v>VIA REMIGIO VIGLIERO  64-</v>
      </c>
      <c r="C1860" t="str">
        <f t="shared" si="143"/>
        <v>RIV</v>
      </c>
      <c r="D1860">
        <v>27</v>
      </c>
      <c r="E1860" t="str">
        <f t="shared" si="144"/>
        <v>949</v>
      </c>
      <c r="F1860" t="str">
        <f>"61"</f>
        <v>61</v>
      </c>
    </row>
    <row r="1861" spans="1:6">
      <c r="A1861" t="str">
        <f>"E1222-47"</f>
        <v>E1222-47</v>
      </c>
      <c r="B1861" t="str">
        <f t="shared" si="142"/>
        <v>VIA REMIGIO VIGLIERO  64-</v>
      </c>
      <c r="C1861" t="str">
        <f t="shared" si="143"/>
        <v>RIV</v>
      </c>
      <c r="D1861">
        <v>27</v>
      </c>
      <c r="E1861" t="str">
        <f t="shared" si="144"/>
        <v>949</v>
      </c>
      <c r="F1861" t="str">
        <f>"62"</f>
        <v>62</v>
      </c>
    </row>
    <row r="1862" spans="1:6">
      <c r="A1862" t="str">
        <f>"E1222-48"</f>
        <v>E1222-48</v>
      </c>
      <c r="B1862" t="str">
        <f t="shared" ref="B1862:B1889" si="145">"VIA REMIGIO VIGLIERO  6-"</f>
        <v>VIA REMIGIO VIGLIERO  6-</v>
      </c>
      <c r="C1862" t="str">
        <f t="shared" si="143"/>
        <v>RIV</v>
      </c>
      <c r="D1862">
        <v>27</v>
      </c>
      <c r="E1862" t="str">
        <f t="shared" si="144"/>
        <v>949</v>
      </c>
      <c r="F1862" t="str">
        <f>"70"</f>
        <v>70</v>
      </c>
    </row>
    <row r="1863" spans="1:6">
      <c r="A1863" t="str">
        <f>"E1222-49"</f>
        <v>E1222-49</v>
      </c>
      <c r="B1863" t="str">
        <f t="shared" si="145"/>
        <v>VIA REMIGIO VIGLIERO  6-</v>
      </c>
      <c r="C1863" t="str">
        <f t="shared" si="143"/>
        <v>RIV</v>
      </c>
      <c r="D1863">
        <v>27</v>
      </c>
      <c r="E1863" t="str">
        <f t="shared" si="144"/>
        <v>949</v>
      </c>
      <c r="F1863" t="str">
        <f>"71"</f>
        <v>71</v>
      </c>
    </row>
    <row r="1864" spans="1:6">
      <c r="A1864" t="str">
        <f>"E1222-50"</f>
        <v>E1222-50</v>
      </c>
      <c r="B1864" t="str">
        <f t="shared" si="145"/>
        <v>VIA REMIGIO VIGLIERO  6-</v>
      </c>
      <c r="C1864" t="str">
        <f t="shared" si="143"/>
        <v>RIV</v>
      </c>
      <c r="D1864">
        <v>27</v>
      </c>
      <c r="E1864" t="str">
        <f t="shared" si="144"/>
        <v>949</v>
      </c>
      <c r="F1864" t="str">
        <f>"72"</f>
        <v>72</v>
      </c>
    </row>
    <row r="1865" spans="1:6">
      <c r="A1865" t="str">
        <f>"E1222-51"</f>
        <v>E1222-51</v>
      </c>
      <c r="B1865" t="str">
        <f t="shared" si="145"/>
        <v>VIA REMIGIO VIGLIERO  6-</v>
      </c>
      <c r="C1865" t="str">
        <f t="shared" si="143"/>
        <v>RIV</v>
      </c>
      <c r="D1865">
        <v>27</v>
      </c>
      <c r="E1865" t="str">
        <f t="shared" si="144"/>
        <v>949</v>
      </c>
      <c r="F1865" t="str">
        <f>"73"</f>
        <v>73</v>
      </c>
    </row>
    <row r="1866" spans="1:6">
      <c r="A1866" t="str">
        <f>"E1222-52"</f>
        <v>E1222-52</v>
      </c>
      <c r="B1866" t="str">
        <f t="shared" si="145"/>
        <v>VIA REMIGIO VIGLIERO  6-</v>
      </c>
      <c r="C1866" t="str">
        <f t="shared" si="143"/>
        <v>RIV</v>
      </c>
      <c r="D1866">
        <v>27</v>
      </c>
      <c r="E1866" t="str">
        <f t="shared" si="144"/>
        <v>949</v>
      </c>
      <c r="F1866" t="str">
        <f>"74"</f>
        <v>74</v>
      </c>
    </row>
    <row r="1867" spans="1:6">
      <c r="A1867" t="str">
        <f>"E1222-53"</f>
        <v>E1222-53</v>
      </c>
      <c r="B1867" t="str">
        <f t="shared" si="145"/>
        <v>VIA REMIGIO VIGLIERO  6-</v>
      </c>
      <c r="C1867" t="str">
        <f t="shared" si="143"/>
        <v>RIV</v>
      </c>
      <c r="D1867">
        <v>27</v>
      </c>
      <c r="E1867" t="str">
        <f t="shared" si="144"/>
        <v>949</v>
      </c>
      <c r="F1867" t="str">
        <f>"75"</f>
        <v>75</v>
      </c>
    </row>
    <row r="1868" spans="1:6">
      <c r="A1868" t="str">
        <f>"E1222-54"</f>
        <v>E1222-54</v>
      </c>
      <c r="B1868" t="str">
        <f t="shared" si="145"/>
        <v>VIA REMIGIO VIGLIERO  6-</v>
      </c>
      <c r="C1868" t="str">
        <f t="shared" si="143"/>
        <v>RIV</v>
      </c>
      <c r="D1868">
        <v>27</v>
      </c>
      <c r="E1868" t="str">
        <f t="shared" si="144"/>
        <v>949</v>
      </c>
      <c r="F1868" t="str">
        <f>"76"</f>
        <v>76</v>
      </c>
    </row>
    <row r="1869" spans="1:6">
      <c r="A1869" t="str">
        <f>"E1222-55"</f>
        <v>E1222-55</v>
      </c>
      <c r="B1869" t="str">
        <f t="shared" si="145"/>
        <v>VIA REMIGIO VIGLIERO  6-</v>
      </c>
      <c r="C1869" t="str">
        <f t="shared" si="143"/>
        <v>RIV</v>
      </c>
      <c r="D1869">
        <v>27</v>
      </c>
      <c r="E1869" t="str">
        <f t="shared" si="144"/>
        <v>949</v>
      </c>
      <c r="F1869" t="str">
        <f>"77"</f>
        <v>77</v>
      </c>
    </row>
    <row r="1870" spans="1:6">
      <c r="A1870" t="str">
        <f>"E1222-56"</f>
        <v>E1222-56</v>
      </c>
      <c r="B1870" t="str">
        <f t="shared" si="145"/>
        <v>VIA REMIGIO VIGLIERO  6-</v>
      </c>
      <c r="C1870" t="str">
        <f t="shared" si="143"/>
        <v>RIV</v>
      </c>
      <c r="D1870">
        <v>27</v>
      </c>
      <c r="E1870" t="str">
        <f t="shared" si="144"/>
        <v>949</v>
      </c>
      <c r="F1870" t="str">
        <f>"78"</f>
        <v>78</v>
      </c>
    </row>
    <row r="1871" spans="1:6">
      <c r="A1871" t="str">
        <f>"E1222-57"</f>
        <v>E1222-57</v>
      </c>
      <c r="B1871" t="str">
        <f t="shared" si="145"/>
        <v>VIA REMIGIO VIGLIERO  6-</v>
      </c>
      <c r="C1871" t="str">
        <f t="shared" si="143"/>
        <v>RIV</v>
      </c>
      <c r="D1871">
        <v>27</v>
      </c>
      <c r="E1871" t="str">
        <f t="shared" si="144"/>
        <v>949</v>
      </c>
      <c r="F1871" t="str">
        <f>"79"</f>
        <v>79</v>
      </c>
    </row>
    <row r="1872" spans="1:6">
      <c r="A1872" t="str">
        <f>"E1222-58"</f>
        <v>E1222-58</v>
      </c>
      <c r="B1872" t="str">
        <f t="shared" si="145"/>
        <v>VIA REMIGIO VIGLIERO  6-</v>
      </c>
      <c r="C1872" t="str">
        <f t="shared" si="143"/>
        <v>RIV</v>
      </c>
      <c r="D1872">
        <v>27</v>
      </c>
      <c r="E1872" t="str">
        <f t="shared" si="144"/>
        <v>949</v>
      </c>
      <c r="F1872" t="str">
        <f>"80"</f>
        <v>80</v>
      </c>
    </row>
    <row r="1873" spans="1:6">
      <c r="A1873" t="str">
        <f>"E1222-59"</f>
        <v>E1222-59</v>
      </c>
      <c r="B1873" t="str">
        <f t="shared" si="145"/>
        <v>VIA REMIGIO VIGLIERO  6-</v>
      </c>
      <c r="C1873" t="str">
        <f t="shared" si="143"/>
        <v>RIV</v>
      </c>
      <c r="D1873">
        <v>27</v>
      </c>
      <c r="E1873" t="str">
        <f t="shared" si="144"/>
        <v>949</v>
      </c>
      <c r="F1873" t="str">
        <f>"81"</f>
        <v>81</v>
      </c>
    </row>
    <row r="1874" spans="1:6">
      <c r="A1874" t="str">
        <f>"E1222-60"</f>
        <v>E1222-60</v>
      </c>
      <c r="B1874" t="str">
        <f t="shared" si="145"/>
        <v>VIA REMIGIO VIGLIERO  6-</v>
      </c>
      <c r="C1874" t="str">
        <f t="shared" si="143"/>
        <v>RIV</v>
      </c>
      <c r="D1874">
        <v>27</v>
      </c>
      <c r="E1874" t="str">
        <f t="shared" si="144"/>
        <v>949</v>
      </c>
      <c r="F1874" t="str">
        <f>"82"</f>
        <v>82</v>
      </c>
    </row>
    <row r="1875" spans="1:6">
      <c r="A1875" t="str">
        <f>"E1222-61"</f>
        <v>E1222-61</v>
      </c>
      <c r="B1875" t="str">
        <f t="shared" si="145"/>
        <v>VIA REMIGIO VIGLIERO  6-</v>
      </c>
      <c r="C1875" t="str">
        <f t="shared" si="143"/>
        <v>RIV</v>
      </c>
      <c r="D1875">
        <v>27</v>
      </c>
      <c r="E1875" t="str">
        <f t="shared" si="144"/>
        <v>949</v>
      </c>
      <c r="F1875" t="str">
        <f>"83"</f>
        <v>83</v>
      </c>
    </row>
    <row r="1876" spans="1:6">
      <c r="A1876" t="str">
        <f>"E1222-62"</f>
        <v>E1222-62</v>
      </c>
      <c r="B1876" t="str">
        <f t="shared" si="145"/>
        <v>VIA REMIGIO VIGLIERO  6-</v>
      </c>
      <c r="C1876" t="str">
        <f t="shared" si="143"/>
        <v>RIV</v>
      </c>
      <c r="D1876">
        <v>27</v>
      </c>
      <c r="E1876" t="str">
        <f t="shared" si="144"/>
        <v>949</v>
      </c>
      <c r="F1876" t="str">
        <f>"84"</f>
        <v>84</v>
      </c>
    </row>
    <row r="1877" spans="1:6">
      <c r="A1877" t="str">
        <f>"E1222-64"</f>
        <v>E1222-64</v>
      </c>
      <c r="B1877" t="str">
        <f t="shared" si="145"/>
        <v>VIA REMIGIO VIGLIERO  6-</v>
      </c>
      <c r="C1877" t="str">
        <f t="shared" si="143"/>
        <v>RIV</v>
      </c>
      <c r="D1877">
        <v>27</v>
      </c>
      <c r="E1877" t="str">
        <f t="shared" si="144"/>
        <v>949</v>
      </c>
      <c r="F1877" t="str">
        <f>"86"</f>
        <v>86</v>
      </c>
    </row>
    <row r="1878" spans="1:6">
      <c r="A1878" t="str">
        <f>"E1222-65"</f>
        <v>E1222-65</v>
      </c>
      <c r="B1878" t="str">
        <f t="shared" si="145"/>
        <v>VIA REMIGIO VIGLIERO  6-</v>
      </c>
      <c r="C1878" t="str">
        <f t="shared" si="143"/>
        <v>RIV</v>
      </c>
      <c r="D1878">
        <v>27</v>
      </c>
      <c r="E1878" t="str">
        <f t="shared" si="144"/>
        <v>949</v>
      </c>
      <c r="F1878" t="str">
        <f>"87"</f>
        <v>87</v>
      </c>
    </row>
    <row r="1879" spans="1:6">
      <c r="A1879" t="str">
        <f>"E1222-66"</f>
        <v>E1222-66</v>
      </c>
      <c r="B1879" t="str">
        <f t="shared" si="145"/>
        <v>VIA REMIGIO VIGLIERO  6-</v>
      </c>
      <c r="C1879" t="str">
        <f t="shared" si="143"/>
        <v>RIV</v>
      </c>
      <c r="D1879">
        <v>27</v>
      </c>
      <c r="E1879" t="str">
        <f t="shared" si="144"/>
        <v>949</v>
      </c>
      <c r="F1879" t="str">
        <f>"88"</f>
        <v>88</v>
      </c>
    </row>
    <row r="1880" spans="1:6">
      <c r="A1880" t="str">
        <f>"E1222-67"</f>
        <v>E1222-67</v>
      </c>
      <c r="B1880" t="str">
        <f t="shared" si="145"/>
        <v>VIA REMIGIO VIGLIERO  6-</v>
      </c>
      <c r="C1880" t="str">
        <f t="shared" si="143"/>
        <v>RIV</v>
      </c>
      <c r="D1880">
        <v>27</v>
      </c>
      <c r="E1880" t="str">
        <f t="shared" si="144"/>
        <v>949</v>
      </c>
      <c r="F1880" t="str">
        <f>"89"</f>
        <v>89</v>
      </c>
    </row>
    <row r="1881" spans="1:6">
      <c r="A1881" t="str">
        <f>"E1222-68"</f>
        <v>E1222-68</v>
      </c>
      <c r="B1881" t="str">
        <f t="shared" si="145"/>
        <v>VIA REMIGIO VIGLIERO  6-</v>
      </c>
      <c r="C1881" t="str">
        <f t="shared" si="143"/>
        <v>RIV</v>
      </c>
      <c r="D1881">
        <v>27</v>
      </c>
      <c r="E1881" t="str">
        <f t="shared" si="144"/>
        <v>949</v>
      </c>
      <c r="F1881" t="str">
        <f>"90"</f>
        <v>90</v>
      </c>
    </row>
    <row r="1882" spans="1:6">
      <c r="A1882" t="str">
        <f>"E1222-69"</f>
        <v>E1222-69</v>
      </c>
      <c r="B1882" t="str">
        <f t="shared" si="145"/>
        <v>VIA REMIGIO VIGLIERO  6-</v>
      </c>
      <c r="C1882" t="str">
        <f t="shared" si="143"/>
        <v>RIV</v>
      </c>
      <c r="D1882">
        <v>27</v>
      </c>
      <c r="E1882" t="str">
        <f t="shared" si="144"/>
        <v>949</v>
      </c>
      <c r="F1882" t="str">
        <f>"91"</f>
        <v>91</v>
      </c>
    </row>
    <row r="1883" spans="1:6">
      <c r="A1883" t="str">
        <f>"E1222-70"</f>
        <v>E1222-70</v>
      </c>
      <c r="B1883" t="str">
        <f t="shared" si="145"/>
        <v>VIA REMIGIO VIGLIERO  6-</v>
      </c>
      <c r="C1883" t="str">
        <f t="shared" si="143"/>
        <v>RIV</v>
      </c>
      <c r="D1883">
        <v>27</v>
      </c>
      <c r="E1883" t="str">
        <f t="shared" si="144"/>
        <v>949</v>
      </c>
      <c r="F1883" t="str">
        <f>"92"</f>
        <v>92</v>
      </c>
    </row>
    <row r="1884" spans="1:6">
      <c r="A1884" t="str">
        <f>"E1222-72"</f>
        <v>E1222-72</v>
      </c>
      <c r="B1884" t="str">
        <f t="shared" si="145"/>
        <v>VIA REMIGIO VIGLIERO  6-</v>
      </c>
      <c r="C1884" t="str">
        <f t="shared" si="143"/>
        <v>RIV</v>
      </c>
      <c r="D1884">
        <v>27</v>
      </c>
      <c r="E1884" t="str">
        <f t="shared" si="144"/>
        <v>949</v>
      </c>
      <c r="F1884" t="str">
        <f>"94"</f>
        <v>94</v>
      </c>
    </row>
    <row r="1885" spans="1:6">
      <c r="A1885" t="str">
        <f>"E1222-73"</f>
        <v>E1222-73</v>
      </c>
      <c r="B1885" t="str">
        <f t="shared" si="145"/>
        <v>VIA REMIGIO VIGLIERO  6-</v>
      </c>
      <c r="C1885" t="str">
        <f t="shared" ref="C1885:C1890" si="146">"RIV"</f>
        <v>RIV</v>
      </c>
      <c r="D1885">
        <v>27</v>
      </c>
      <c r="E1885" t="str">
        <f t="shared" ref="E1885:E1890" si="147">"949"</f>
        <v>949</v>
      </c>
      <c r="F1885" t="str">
        <f>"95"</f>
        <v>95</v>
      </c>
    </row>
    <row r="1886" spans="1:6">
      <c r="A1886" t="str">
        <f>"E1222-74"</f>
        <v>E1222-74</v>
      </c>
      <c r="B1886" t="str">
        <f t="shared" si="145"/>
        <v>VIA REMIGIO VIGLIERO  6-</v>
      </c>
      <c r="C1886" t="str">
        <f t="shared" si="146"/>
        <v>RIV</v>
      </c>
      <c r="D1886">
        <v>27</v>
      </c>
      <c r="E1886" t="str">
        <f t="shared" si="147"/>
        <v>949</v>
      </c>
      <c r="F1886" t="str">
        <f>"96"</f>
        <v>96</v>
      </c>
    </row>
    <row r="1887" spans="1:6">
      <c r="A1887" t="str">
        <f>"E1222-76"</f>
        <v>E1222-76</v>
      </c>
      <c r="B1887" t="str">
        <f t="shared" si="145"/>
        <v>VIA REMIGIO VIGLIERO  6-</v>
      </c>
      <c r="C1887" t="str">
        <f t="shared" si="146"/>
        <v>RIV</v>
      </c>
      <c r="D1887">
        <v>27</v>
      </c>
      <c r="E1887" t="str">
        <f t="shared" si="147"/>
        <v>949</v>
      </c>
      <c r="F1887" t="str">
        <f>"98"</f>
        <v>98</v>
      </c>
    </row>
    <row r="1888" spans="1:6">
      <c r="A1888" t="str">
        <f>"E1222-78"</f>
        <v>E1222-78</v>
      </c>
      <c r="B1888" t="str">
        <f t="shared" si="145"/>
        <v>VIA REMIGIO VIGLIERO  6-</v>
      </c>
      <c r="C1888" t="str">
        <f t="shared" si="146"/>
        <v>RIV</v>
      </c>
      <c r="D1888">
        <v>27</v>
      </c>
      <c r="E1888" t="str">
        <f t="shared" si="147"/>
        <v>949</v>
      </c>
      <c r="F1888" t="str">
        <f>"100"</f>
        <v>100</v>
      </c>
    </row>
    <row r="1889" spans="1:6">
      <c r="A1889" t="str">
        <f>"E1222-79"</f>
        <v>E1222-79</v>
      </c>
      <c r="B1889" t="str">
        <f t="shared" si="145"/>
        <v>VIA REMIGIO VIGLIERO  6-</v>
      </c>
      <c r="C1889" t="str">
        <f t="shared" si="146"/>
        <v>RIV</v>
      </c>
      <c r="D1889">
        <v>27</v>
      </c>
      <c r="E1889" t="str">
        <f t="shared" si="147"/>
        <v>949</v>
      </c>
      <c r="F1889" t="str">
        <f>"101"</f>
        <v>101</v>
      </c>
    </row>
    <row r="1890" spans="1:6">
      <c r="A1890" t="str">
        <f>"E1222-80"</f>
        <v>E1222-80</v>
      </c>
      <c r="B1890" t="str">
        <f>"VIA REMIGIO VIGLIERO  8-"</f>
        <v>VIA REMIGIO VIGLIERO  8-</v>
      </c>
      <c r="C1890" t="str">
        <f t="shared" si="146"/>
        <v>RIV</v>
      </c>
      <c r="D1890">
        <v>27</v>
      </c>
      <c r="E1890" t="str">
        <f t="shared" si="147"/>
        <v>949</v>
      </c>
      <c r="F1890" t="str">
        <f>"109"</f>
        <v>109</v>
      </c>
    </row>
    <row r="1891" spans="1:6">
      <c r="A1891" t="str">
        <f>"E1223-1"</f>
        <v>E1223-1</v>
      </c>
      <c r="B1891" t="str">
        <f>"VIA GIACOMO RIVERA  3-"</f>
        <v>VIA GIACOMO RIVERA  3-</v>
      </c>
      <c r="C1891" t="str">
        <f>"PON"</f>
        <v>PON</v>
      </c>
      <c r="D1891">
        <v>4</v>
      </c>
      <c r="E1891" t="str">
        <f>"188"</f>
        <v>188</v>
      </c>
      <c r="F1891" t="str">
        <f>"44"</f>
        <v>44</v>
      </c>
    </row>
    <row r="1892" spans="1:6">
      <c r="C1892" t="str">
        <f>"PON"</f>
        <v>PON</v>
      </c>
      <c r="D1892">
        <v>4</v>
      </c>
      <c r="E1892" t="str">
        <f>"682"</f>
        <v>682</v>
      </c>
      <c r="F1892" t="str">
        <f>"0000"</f>
        <v>0000</v>
      </c>
    </row>
    <row r="1893" spans="1:6">
      <c r="A1893" t="str">
        <f>"E1223-2"</f>
        <v>E1223-2</v>
      </c>
      <c r="B1893" t="str">
        <f>"VIA GIACOMO RIVERA  3-"</f>
        <v>VIA GIACOMO RIVERA  3-</v>
      </c>
      <c r="C1893" t="str">
        <f>"PON"</f>
        <v>PON</v>
      </c>
      <c r="D1893">
        <v>4</v>
      </c>
      <c r="E1893" t="str">
        <f>"188"</f>
        <v>188</v>
      </c>
      <c r="F1893" t="str">
        <f>"45"</f>
        <v>45</v>
      </c>
    </row>
    <row r="1894" spans="1:6">
      <c r="A1894" t="str">
        <f>"E1224-1"</f>
        <v>E1224-1</v>
      </c>
      <c r="B1894" t="str">
        <f>"VIA PIEVE DI CADORE VICINO AL 24-"</f>
        <v>VIA PIEVE DI CADORE VICINO AL 24-</v>
      </c>
      <c r="C1894" t="str">
        <f>"4"</f>
        <v>4</v>
      </c>
      <c r="D1894">
        <v>3</v>
      </c>
      <c r="E1894" t="str">
        <f>"99999"</f>
        <v>99999</v>
      </c>
      <c r="F1894" t="str">
        <f>"0000"</f>
        <v>0000</v>
      </c>
    </row>
    <row r="1895" spans="1:6">
      <c r="A1895" t="str">
        <f>"E1224-2"</f>
        <v>E1224-2</v>
      </c>
      <c r="B1895" t="str">
        <f>"VIA PIEVE DI CADORE VICINO AL 24-"</f>
        <v>VIA PIEVE DI CADORE VICINO AL 24-</v>
      </c>
      <c r="C1895" t="str">
        <f>"4"</f>
        <v>4</v>
      </c>
      <c r="D1895">
        <v>3</v>
      </c>
      <c r="E1895" t="str">
        <f>"99999"</f>
        <v>99999</v>
      </c>
      <c r="F1895" t="str">
        <f>"0000"</f>
        <v>0000</v>
      </c>
    </row>
    <row r="1896" spans="1:6">
      <c r="A1896" t="str">
        <f>"E1225-1"</f>
        <v>E1225-1</v>
      </c>
      <c r="B1896" t="str">
        <f>"VIA CAMPOMORONE  34B-"</f>
        <v>VIA CAMPOMORONE  34B-</v>
      </c>
      <c r="C1896" t="str">
        <f>"4"</f>
        <v>4</v>
      </c>
      <c r="D1896">
        <v>3</v>
      </c>
      <c r="E1896" t="str">
        <f>"432"</f>
        <v>432</v>
      </c>
      <c r="F1896" t="str">
        <f>"0000"</f>
        <v>0000</v>
      </c>
    </row>
    <row r="1897" spans="1:6">
      <c r="A1897" t="str">
        <f>"E1226-1"</f>
        <v>E1226-1</v>
      </c>
      <c r="B1897" t="str">
        <f>"VIA REMIGIO VIGLIERO  21-"</f>
        <v>VIA REMIGIO VIGLIERO  21-</v>
      </c>
      <c r="C1897" t="str">
        <f t="shared" ref="C1897:C1928" si="148">"RIV"</f>
        <v>RIV</v>
      </c>
      <c r="D1897">
        <v>27</v>
      </c>
      <c r="E1897" t="str">
        <f t="shared" ref="E1897:E1928" si="149">"946"</f>
        <v>946</v>
      </c>
      <c r="F1897" t="str">
        <f>"2"</f>
        <v>2</v>
      </c>
    </row>
    <row r="1898" spans="1:6">
      <c r="A1898" t="str">
        <f>"E1226-2"</f>
        <v>E1226-2</v>
      </c>
      <c r="B1898" t="str">
        <f>"VIA REMIGIO VIGLIERO  31-"</f>
        <v>VIA REMIGIO VIGLIERO  31-</v>
      </c>
      <c r="C1898" t="str">
        <f t="shared" si="148"/>
        <v>RIV</v>
      </c>
      <c r="D1898">
        <v>27</v>
      </c>
      <c r="E1898" t="str">
        <f t="shared" si="149"/>
        <v>946</v>
      </c>
      <c r="F1898" t="str">
        <f>"15"</f>
        <v>15</v>
      </c>
    </row>
    <row r="1899" spans="1:6">
      <c r="A1899" t="str">
        <f>"E1226-3"</f>
        <v>E1226-3</v>
      </c>
      <c r="B1899" t="str">
        <f t="shared" ref="B1899:B1905" si="150">"VIA REMIGIO VIGLIERO  25-"</f>
        <v>VIA REMIGIO VIGLIERO  25-</v>
      </c>
      <c r="C1899" t="str">
        <f t="shared" si="148"/>
        <v>RIV</v>
      </c>
      <c r="D1899">
        <v>27</v>
      </c>
      <c r="E1899" t="str">
        <f t="shared" si="149"/>
        <v>946</v>
      </c>
      <c r="F1899" t="str">
        <f>"3"</f>
        <v>3</v>
      </c>
    </row>
    <row r="1900" spans="1:6">
      <c r="A1900" t="str">
        <f>"E1226-4"</f>
        <v>E1226-4</v>
      </c>
      <c r="B1900" t="str">
        <f t="shared" si="150"/>
        <v>VIA REMIGIO VIGLIERO  25-</v>
      </c>
      <c r="C1900" t="str">
        <f t="shared" si="148"/>
        <v>RIV</v>
      </c>
      <c r="D1900">
        <v>27</v>
      </c>
      <c r="E1900" t="str">
        <f t="shared" si="149"/>
        <v>946</v>
      </c>
      <c r="F1900" t="str">
        <f>"4"</f>
        <v>4</v>
      </c>
    </row>
    <row r="1901" spans="1:6">
      <c r="A1901" t="str">
        <f>"E1226-5"</f>
        <v>E1226-5</v>
      </c>
      <c r="B1901" t="str">
        <f t="shared" si="150"/>
        <v>VIA REMIGIO VIGLIERO  25-</v>
      </c>
      <c r="C1901" t="str">
        <f t="shared" si="148"/>
        <v>RIV</v>
      </c>
      <c r="D1901">
        <v>27</v>
      </c>
      <c r="E1901" t="str">
        <f t="shared" si="149"/>
        <v>946</v>
      </c>
      <c r="F1901" t="str">
        <f>"5"</f>
        <v>5</v>
      </c>
    </row>
    <row r="1902" spans="1:6">
      <c r="A1902" t="str">
        <f>"E1226-6"</f>
        <v>E1226-6</v>
      </c>
      <c r="B1902" t="str">
        <f t="shared" si="150"/>
        <v>VIA REMIGIO VIGLIERO  25-</v>
      </c>
      <c r="C1902" t="str">
        <f t="shared" si="148"/>
        <v>RIV</v>
      </c>
      <c r="D1902">
        <v>27</v>
      </c>
      <c r="E1902" t="str">
        <f t="shared" si="149"/>
        <v>946</v>
      </c>
      <c r="F1902" t="str">
        <f>"6"</f>
        <v>6</v>
      </c>
    </row>
    <row r="1903" spans="1:6">
      <c r="A1903" t="str">
        <f>"E1226-7"</f>
        <v>E1226-7</v>
      </c>
      <c r="B1903" t="str">
        <f t="shared" si="150"/>
        <v>VIA REMIGIO VIGLIERO  25-</v>
      </c>
      <c r="C1903" t="str">
        <f t="shared" si="148"/>
        <v>RIV</v>
      </c>
      <c r="D1903">
        <v>27</v>
      </c>
      <c r="E1903" t="str">
        <f t="shared" si="149"/>
        <v>946</v>
      </c>
      <c r="F1903" t="str">
        <f>"7"</f>
        <v>7</v>
      </c>
    </row>
    <row r="1904" spans="1:6">
      <c r="A1904" t="str">
        <f>"E1226-8"</f>
        <v>E1226-8</v>
      </c>
      <c r="B1904" t="str">
        <f t="shared" si="150"/>
        <v>VIA REMIGIO VIGLIERO  25-</v>
      </c>
      <c r="C1904" t="str">
        <f t="shared" si="148"/>
        <v>RIV</v>
      </c>
      <c r="D1904">
        <v>27</v>
      </c>
      <c r="E1904" t="str">
        <f t="shared" si="149"/>
        <v>946</v>
      </c>
      <c r="F1904" t="str">
        <f>"8"</f>
        <v>8</v>
      </c>
    </row>
    <row r="1905" spans="1:6">
      <c r="A1905" t="str">
        <f>"E1226-9"</f>
        <v>E1226-9</v>
      </c>
      <c r="B1905" t="str">
        <f t="shared" si="150"/>
        <v>VIA REMIGIO VIGLIERO  25-</v>
      </c>
      <c r="C1905" t="str">
        <f t="shared" si="148"/>
        <v>RIV</v>
      </c>
      <c r="D1905">
        <v>27</v>
      </c>
      <c r="E1905" t="str">
        <f t="shared" si="149"/>
        <v>946</v>
      </c>
      <c r="F1905" t="str">
        <f>"9"</f>
        <v>9</v>
      </c>
    </row>
    <row r="1906" spans="1:6">
      <c r="A1906" t="str">
        <f>"E1226-10"</f>
        <v>E1226-10</v>
      </c>
      <c r="B1906" t="str">
        <f>"VIA REMIGIO VIGLIERO  27-"</f>
        <v>VIA REMIGIO VIGLIERO  27-</v>
      </c>
      <c r="C1906" t="str">
        <f t="shared" si="148"/>
        <v>RIV</v>
      </c>
      <c r="D1906">
        <v>27</v>
      </c>
      <c r="E1906" t="str">
        <f t="shared" si="149"/>
        <v>946</v>
      </c>
      <c r="F1906" t="str">
        <f>"10"</f>
        <v>10</v>
      </c>
    </row>
    <row r="1907" spans="1:6">
      <c r="A1907" t="str">
        <f>"E1226-11"</f>
        <v>E1226-11</v>
      </c>
      <c r="B1907" t="str">
        <f>"VIA REMIGIO VIGLIERO  27-"</f>
        <v>VIA REMIGIO VIGLIERO  27-</v>
      </c>
      <c r="C1907" t="str">
        <f t="shared" si="148"/>
        <v>RIV</v>
      </c>
      <c r="D1907">
        <v>27</v>
      </c>
      <c r="E1907" t="str">
        <f t="shared" si="149"/>
        <v>946</v>
      </c>
      <c r="F1907" t="str">
        <f>"11"</f>
        <v>11</v>
      </c>
    </row>
    <row r="1908" spans="1:6">
      <c r="A1908" t="str">
        <f>"E1226-12"</f>
        <v>E1226-12</v>
      </c>
      <c r="B1908" t="str">
        <f>"VIA REMIGIO VIGLIERO  27-"</f>
        <v>VIA REMIGIO VIGLIERO  27-</v>
      </c>
      <c r="C1908" t="str">
        <f t="shared" si="148"/>
        <v>RIV</v>
      </c>
      <c r="D1908">
        <v>27</v>
      </c>
      <c r="E1908" t="str">
        <f t="shared" si="149"/>
        <v>946</v>
      </c>
      <c r="F1908" t="str">
        <f>"12"</f>
        <v>12</v>
      </c>
    </row>
    <row r="1909" spans="1:6">
      <c r="A1909" t="str">
        <f>"E1226-13"</f>
        <v>E1226-13</v>
      </c>
      <c r="B1909" t="str">
        <f>"VIA REMIGIO VIGLIERO  27-"</f>
        <v>VIA REMIGIO VIGLIERO  27-</v>
      </c>
      <c r="C1909" t="str">
        <f t="shared" si="148"/>
        <v>RIV</v>
      </c>
      <c r="D1909">
        <v>27</v>
      </c>
      <c r="E1909" t="str">
        <f t="shared" si="149"/>
        <v>946</v>
      </c>
      <c r="F1909" t="str">
        <f>"13"</f>
        <v>13</v>
      </c>
    </row>
    <row r="1910" spans="1:6">
      <c r="A1910" t="str">
        <f>"E1226-14"</f>
        <v>E1226-14</v>
      </c>
      <c r="B1910" t="str">
        <f>"VIA REMIGIO VIGLIERO  27-"</f>
        <v>VIA REMIGIO VIGLIERO  27-</v>
      </c>
      <c r="C1910" t="str">
        <f t="shared" si="148"/>
        <v>RIV</v>
      </c>
      <c r="D1910">
        <v>27</v>
      </c>
      <c r="E1910" t="str">
        <f t="shared" si="149"/>
        <v>946</v>
      </c>
      <c r="F1910" t="str">
        <f>"14"</f>
        <v>14</v>
      </c>
    </row>
    <row r="1911" spans="1:6">
      <c r="A1911" t="str">
        <f>"E1226-15"</f>
        <v>E1226-15</v>
      </c>
      <c r="B1911" t="str">
        <f t="shared" ref="B1911:B1934" si="151">"VIA REMIGIO VIGLIERO  23-"</f>
        <v>VIA REMIGIO VIGLIERO  23-</v>
      </c>
      <c r="C1911" t="str">
        <f t="shared" si="148"/>
        <v>RIV</v>
      </c>
      <c r="D1911">
        <v>27</v>
      </c>
      <c r="E1911" t="str">
        <f t="shared" si="149"/>
        <v>946</v>
      </c>
      <c r="F1911" t="str">
        <f>"16"</f>
        <v>16</v>
      </c>
    </row>
    <row r="1912" spans="1:6">
      <c r="A1912" t="str">
        <f>"E1226-16"</f>
        <v>E1226-16</v>
      </c>
      <c r="B1912" t="str">
        <f t="shared" si="151"/>
        <v>VIA REMIGIO VIGLIERO  23-</v>
      </c>
      <c r="C1912" t="str">
        <f t="shared" si="148"/>
        <v>RIV</v>
      </c>
      <c r="D1912">
        <v>27</v>
      </c>
      <c r="E1912" t="str">
        <f t="shared" si="149"/>
        <v>946</v>
      </c>
      <c r="F1912" t="str">
        <f>"17"</f>
        <v>17</v>
      </c>
    </row>
    <row r="1913" spans="1:6">
      <c r="A1913" t="str">
        <f>"E1226-17"</f>
        <v>E1226-17</v>
      </c>
      <c r="B1913" t="str">
        <f t="shared" si="151"/>
        <v>VIA REMIGIO VIGLIERO  23-</v>
      </c>
      <c r="C1913" t="str">
        <f t="shared" si="148"/>
        <v>RIV</v>
      </c>
      <c r="D1913">
        <v>27</v>
      </c>
      <c r="E1913" t="str">
        <f t="shared" si="149"/>
        <v>946</v>
      </c>
      <c r="F1913" t="str">
        <f>"18"</f>
        <v>18</v>
      </c>
    </row>
    <row r="1914" spans="1:6">
      <c r="A1914" t="str">
        <f>"E1226-18"</f>
        <v>E1226-18</v>
      </c>
      <c r="B1914" t="str">
        <f t="shared" si="151"/>
        <v>VIA REMIGIO VIGLIERO  23-</v>
      </c>
      <c r="C1914" t="str">
        <f t="shared" si="148"/>
        <v>RIV</v>
      </c>
      <c r="D1914">
        <v>27</v>
      </c>
      <c r="E1914" t="str">
        <f t="shared" si="149"/>
        <v>946</v>
      </c>
      <c r="F1914" t="str">
        <f>"19"</f>
        <v>19</v>
      </c>
    </row>
    <row r="1915" spans="1:6">
      <c r="A1915" t="str">
        <f>"E1226-19"</f>
        <v>E1226-19</v>
      </c>
      <c r="B1915" t="str">
        <f t="shared" si="151"/>
        <v>VIA REMIGIO VIGLIERO  23-</v>
      </c>
      <c r="C1915" t="str">
        <f t="shared" si="148"/>
        <v>RIV</v>
      </c>
      <c r="D1915">
        <v>27</v>
      </c>
      <c r="E1915" t="str">
        <f t="shared" si="149"/>
        <v>946</v>
      </c>
      <c r="F1915" t="str">
        <f>"20"</f>
        <v>20</v>
      </c>
    </row>
    <row r="1916" spans="1:6">
      <c r="A1916" t="str">
        <f>"E1226-20"</f>
        <v>E1226-20</v>
      </c>
      <c r="B1916" t="str">
        <f t="shared" si="151"/>
        <v>VIA REMIGIO VIGLIERO  23-</v>
      </c>
      <c r="C1916" t="str">
        <f t="shared" si="148"/>
        <v>RIV</v>
      </c>
      <c r="D1916">
        <v>27</v>
      </c>
      <c r="E1916" t="str">
        <f t="shared" si="149"/>
        <v>946</v>
      </c>
      <c r="F1916" t="str">
        <f>"21"</f>
        <v>21</v>
      </c>
    </row>
    <row r="1917" spans="1:6">
      <c r="A1917" t="str">
        <f>"E1226-21"</f>
        <v>E1226-21</v>
      </c>
      <c r="B1917" t="str">
        <f t="shared" si="151"/>
        <v>VIA REMIGIO VIGLIERO  23-</v>
      </c>
      <c r="C1917" t="str">
        <f t="shared" si="148"/>
        <v>RIV</v>
      </c>
      <c r="D1917">
        <v>27</v>
      </c>
      <c r="E1917" t="str">
        <f t="shared" si="149"/>
        <v>946</v>
      </c>
      <c r="F1917" t="str">
        <f>"22"</f>
        <v>22</v>
      </c>
    </row>
    <row r="1918" spans="1:6">
      <c r="A1918" t="str">
        <f>"E1226-22"</f>
        <v>E1226-22</v>
      </c>
      <c r="B1918" t="str">
        <f t="shared" si="151"/>
        <v>VIA REMIGIO VIGLIERO  23-</v>
      </c>
      <c r="C1918" t="str">
        <f t="shared" si="148"/>
        <v>RIV</v>
      </c>
      <c r="D1918">
        <v>27</v>
      </c>
      <c r="E1918" t="str">
        <f t="shared" si="149"/>
        <v>946</v>
      </c>
      <c r="F1918" t="str">
        <f>"23"</f>
        <v>23</v>
      </c>
    </row>
    <row r="1919" spans="1:6">
      <c r="A1919" t="str">
        <f>"E1226-23"</f>
        <v>E1226-23</v>
      </c>
      <c r="B1919" t="str">
        <f t="shared" si="151"/>
        <v>VIA REMIGIO VIGLIERO  23-</v>
      </c>
      <c r="C1919" t="str">
        <f t="shared" si="148"/>
        <v>RIV</v>
      </c>
      <c r="D1919">
        <v>27</v>
      </c>
      <c r="E1919" t="str">
        <f t="shared" si="149"/>
        <v>946</v>
      </c>
      <c r="F1919" t="str">
        <f>"24"</f>
        <v>24</v>
      </c>
    </row>
    <row r="1920" spans="1:6">
      <c r="A1920" t="str">
        <f>"E1226-24"</f>
        <v>E1226-24</v>
      </c>
      <c r="B1920" t="str">
        <f t="shared" si="151"/>
        <v>VIA REMIGIO VIGLIERO  23-</v>
      </c>
      <c r="C1920" t="str">
        <f t="shared" si="148"/>
        <v>RIV</v>
      </c>
      <c r="D1920">
        <v>27</v>
      </c>
      <c r="E1920" t="str">
        <f t="shared" si="149"/>
        <v>946</v>
      </c>
      <c r="F1920" t="str">
        <f>"25"</f>
        <v>25</v>
      </c>
    </row>
    <row r="1921" spans="1:6">
      <c r="A1921" t="str">
        <f>"E1226-25"</f>
        <v>E1226-25</v>
      </c>
      <c r="B1921" t="str">
        <f t="shared" si="151"/>
        <v>VIA REMIGIO VIGLIERO  23-</v>
      </c>
      <c r="C1921" t="str">
        <f t="shared" si="148"/>
        <v>RIV</v>
      </c>
      <c r="D1921">
        <v>27</v>
      </c>
      <c r="E1921" t="str">
        <f t="shared" si="149"/>
        <v>946</v>
      </c>
      <c r="F1921" t="str">
        <f>"26"</f>
        <v>26</v>
      </c>
    </row>
    <row r="1922" spans="1:6">
      <c r="A1922" t="str">
        <f>"E1226-26"</f>
        <v>E1226-26</v>
      </c>
      <c r="B1922" t="str">
        <f t="shared" si="151"/>
        <v>VIA REMIGIO VIGLIERO  23-</v>
      </c>
      <c r="C1922" t="str">
        <f t="shared" si="148"/>
        <v>RIV</v>
      </c>
      <c r="D1922">
        <v>27</v>
      </c>
      <c r="E1922" t="str">
        <f t="shared" si="149"/>
        <v>946</v>
      </c>
      <c r="F1922" t="str">
        <f>"27"</f>
        <v>27</v>
      </c>
    </row>
    <row r="1923" spans="1:6">
      <c r="A1923" t="str">
        <f>"E1226-27"</f>
        <v>E1226-27</v>
      </c>
      <c r="B1923" t="str">
        <f t="shared" si="151"/>
        <v>VIA REMIGIO VIGLIERO  23-</v>
      </c>
      <c r="C1923" t="str">
        <f t="shared" si="148"/>
        <v>RIV</v>
      </c>
      <c r="D1923">
        <v>27</v>
      </c>
      <c r="E1923" t="str">
        <f t="shared" si="149"/>
        <v>946</v>
      </c>
      <c r="F1923" t="str">
        <f>"28"</f>
        <v>28</v>
      </c>
    </row>
    <row r="1924" spans="1:6">
      <c r="A1924" t="str">
        <f>"E1226-28"</f>
        <v>E1226-28</v>
      </c>
      <c r="B1924" t="str">
        <f t="shared" si="151"/>
        <v>VIA REMIGIO VIGLIERO  23-</v>
      </c>
      <c r="C1924" t="str">
        <f t="shared" si="148"/>
        <v>RIV</v>
      </c>
      <c r="D1924">
        <v>27</v>
      </c>
      <c r="E1924" t="str">
        <f t="shared" si="149"/>
        <v>946</v>
      </c>
      <c r="F1924" t="str">
        <f>"29"</f>
        <v>29</v>
      </c>
    </row>
    <row r="1925" spans="1:6">
      <c r="A1925" t="str">
        <f>"E1226-29"</f>
        <v>E1226-29</v>
      </c>
      <c r="B1925" t="str">
        <f t="shared" si="151"/>
        <v>VIA REMIGIO VIGLIERO  23-</v>
      </c>
      <c r="C1925" t="str">
        <f t="shared" si="148"/>
        <v>RIV</v>
      </c>
      <c r="D1925">
        <v>27</v>
      </c>
      <c r="E1925" t="str">
        <f t="shared" si="149"/>
        <v>946</v>
      </c>
      <c r="F1925" t="str">
        <f>"30"</f>
        <v>30</v>
      </c>
    </row>
    <row r="1926" spans="1:6">
      <c r="A1926" t="str">
        <f>"E1226-30"</f>
        <v>E1226-30</v>
      </c>
      <c r="B1926" t="str">
        <f t="shared" si="151"/>
        <v>VIA REMIGIO VIGLIERO  23-</v>
      </c>
      <c r="C1926" t="str">
        <f t="shared" si="148"/>
        <v>RIV</v>
      </c>
      <c r="D1926">
        <v>27</v>
      </c>
      <c r="E1926" t="str">
        <f t="shared" si="149"/>
        <v>946</v>
      </c>
      <c r="F1926" t="str">
        <f>"31"</f>
        <v>31</v>
      </c>
    </row>
    <row r="1927" spans="1:6">
      <c r="A1927" t="str">
        <f>"E1226-31"</f>
        <v>E1226-31</v>
      </c>
      <c r="B1927" t="str">
        <f t="shared" si="151"/>
        <v>VIA REMIGIO VIGLIERO  23-</v>
      </c>
      <c r="C1927" t="str">
        <f t="shared" si="148"/>
        <v>RIV</v>
      </c>
      <c r="D1927">
        <v>27</v>
      </c>
      <c r="E1927" t="str">
        <f t="shared" si="149"/>
        <v>946</v>
      </c>
      <c r="F1927" t="str">
        <f>"32"</f>
        <v>32</v>
      </c>
    </row>
    <row r="1928" spans="1:6">
      <c r="A1928" t="str">
        <f>"E1226-32"</f>
        <v>E1226-32</v>
      </c>
      <c r="B1928" t="str">
        <f t="shared" si="151"/>
        <v>VIA REMIGIO VIGLIERO  23-</v>
      </c>
      <c r="C1928" t="str">
        <f t="shared" si="148"/>
        <v>RIV</v>
      </c>
      <c r="D1928">
        <v>27</v>
      </c>
      <c r="E1928" t="str">
        <f t="shared" si="149"/>
        <v>946</v>
      </c>
      <c r="F1928" t="str">
        <f>"33"</f>
        <v>33</v>
      </c>
    </row>
    <row r="1929" spans="1:6">
      <c r="A1929" t="str">
        <f>"E1226-33"</f>
        <v>E1226-33</v>
      </c>
      <c r="B1929" t="str">
        <f t="shared" si="151"/>
        <v>VIA REMIGIO VIGLIERO  23-</v>
      </c>
      <c r="C1929" t="str">
        <f t="shared" ref="C1929:C1960" si="152">"RIV"</f>
        <v>RIV</v>
      </c>
      <c r="D1929">
        <v>27</v>
      </c>
      <c r="E1929" t="str">
        <f t="shared" ref="E1929:E1960" si="153">"946"</f>
        <v>946</v>
      </c>
      <c r="F1929" t="str">
        <f>"34"</f>
        <v>34</v>
      </c>
    </row>
    <row r="1930" spans="1:6">
      <c r="A1930" t="str">
        <f>"E1226-34"</f>
        <v>E1226-34</v>
      </c>
      <c r="B1930" t="str">
        <f t="shared" si="151"/>
        <v>VIA REMIGIO VIGLIERO  23-</v>
      </c>
      <c r="C1930" t="str">
        <f t="shared" si="152"/>
        <v>RIV</v>
      </c>
      <c r="D1930">
        <v>27</v>
      </c>
      <c r="E1930" t="str">
        <f t="shared" si="153"/>
        <v>946</v>
      </c>
      <c r="F1930" t="str">
        <f>"35"</f>
        <v>35</v>
      </c>
    </row>
    <row r="1931" spans="1:6">
      <c r="A1931" t="str">
        <f>"E1226-35"</f>
        <v>E1226-35</v>
      </c>
      <c r="B1931" t="str">
        <f t="shared" si="151"/>
        <v>VIA REMIGIO VIGLIERO  23-</v>
      </c>
      <c r="C1931" t="str">
        <f t="shared" si="152"/>
        <v>RIV</v>
      </c>
      <c r="D1931">
        <v>27</v>
      </c>
      <c r="E1931" t="str">
        <f t="shared" si="153"/>
        <v>946</v>
      </c>
      <c r="F1931" t="str">
        <f>"0000"</f>
        <v>0000</v>
      </c>
    </row>
    <row r="1932" spans="1:6">
      <c r="A1932" t="str">
        <f>"E1226-36"</f>
        <v>E1226-36</v>
      </c>
      <c r="B1932" t="str">
        <f t="shared" si="151"/>
        <v>VIA REMIGIO VIGLIERO  23-</v>
      </c>
      <c r="C1932" t="str">
        <f t="shared" si="152"/>
        <v>RIV</v>
      </c>
      <c r="D1932">
        <v>27</v>
      </c>
      <c r="E1932" t="str">
        <f t="shared" si="153"/>
        <v>946</v>
      </c>
      <c r="F1932" t="str">
        <f>"37"</f>
        <v>37</v>
      </c>
    </row>
    <row r="1933" spans="1:6">
      <c r="A1933" t="str">
        <f>"E1226-37"</f>
        <v>E1226-37</v>
      </c>
      <c r="B1933" t="str">
        <f t="shared" si="151"/>
        <v>VIA REMIGIO VIGLIERO  23-</v>
      </c>
      <c r="C1933" t="str">
        <f t="shared" si="152"/>
        <v>RIV</v>
      </c>
      <c r="D1933">
        <v>27</v>
      </c>
      <c r="E1933" t="str">
        <f t="shared" si="153"/>
        <v>946</v>
      </c>
      <c r="F1933" t="str">
        <f>"38"</f>
        <v>38</v>
      </c>
    </row>
    <row r="1934" spans="1:6">
      <c r="A1934" t="str">
        <f>"E1226-38"</f>
        <v>E1226-38</v>
      </c>
      <c r="B1934" t="str">
        <f t="shared" si="151"/>
        <v>VIA REMIGIO VIGLIERO  23-</v>
      </c>
      <c r="C1934" t="str">
        <f t="shared" si="152"/>
        <v>RIV</v>
      </c>
      <c r="D1934">
        <v>27</v>
      </c>
      <c r="E1934" t="str">
        <f t="shared" si="153"/>
        <v>946</v>
      </c>
      <c r="F1934" t="str">
        <f>"39"</f>
        <v>39</v>
      </c>
    </row>
    <row r="1935" spans="1:6">
      <c r="A1935" t="str">
        <f>"E1226-39"</f>
        <v>E1226-39</v>
      </c>
      <c r="B1935" t="str">
        <f t="shared" ref="B1935:B1964" si="154">"VIA REMIGIO VIGLIERO  29-"</f>
        <v>VIA REMIGIO VIGLIERO  29-</v>
      </c>
      <c r="C1935" t="str">
        <f t="shared" si="152"/>
        <v>RIV</v>
      </c>
      <c r="D1935">
        <v>27</v>
      </c>
      <c r="E1935" t="str">
        <f t="shared" si="153"/>
        <v>946</v>
      </c>
      <c r="F1935" t="str">
        <f>"40"</f>
        <v>40</v>
      </c>
    </row>
    <row r="1936" spans="1:6">
      <c r="A1936" t="str">
        <f>"E1226-40"</f>
        <v>E1226-40</v>
      </c>
      <c r="B1936" t="str">
        <f t="shared" si="154"/>
        <v>VIA REMIGIO VIGLIERO  29-</v>
      </c>
      <c r="C1936" t="str">
        <f t="shared" si="152"/>
        <v>RIV</v>
      </c>
      <c r="D1936">
        <v>27</v>
      </c>
      <c r="E1936" t="str">
        <f t="shared" si="153"/>
        <v>946</v>
      </c>
      <c r="F1936" t="str">
        <f>"41"</f>
        <v>41</v>
      </c>
    </row>
    <row r="1937" spans="1:6">
      <c r="A1937" t="str">
        <f>"E1226-41"</f>
        <v>E1226-41</v>
      </c>
      <c r="B1937" t="str">
        <f t="shared" si="154"/>
        <v>VIA REMIGIO VIGLIERO  29-</v>
      </c>
      <c r="C1937" t="str">
        <f t="shared" si="152"/>
        <v>RIV</v>
      </c>
      <c r="D1937">
        <v>27</v>
      </c>
      <c r="E1937" t="str">
        <f t="shared" si="153"/>
        <v>946</v>
      </c>
      <c r="F1937" t="str">
        <f>"42"</f>
        <v>42</v>
      </c>
    </row>
    <row r="1938" spans="1:6">
      <c r="A1938" t="str">
        <f>"E1226-42"</f>
        <v>E1226-42</v>
      </c>
      <c r="B1938" t="str">
        <f t="shared" si="154"/>
        <v>VIA REMIGIO VIGLIERO  29-</v>
      </c>
      <c r="C1938" t="str">
        <f t="shared" si="152"/>
        <v>RIV</v>
      </c>
      <c r="D1938">
        <v>27</v>
      </c>
      <c r="E1938" t="str">
        <f t="shared" si="153"/>
        <v>946</v>
      </c>
      <c r="F1938" t="str">
        <f>"43"</f>
        <v>43</v>
      </c>
    </row>
    <row r="1939" spans="1:6">
      <c r="A1939" t="str">
        <f>"E1226-43"</f>
        <v>E1226-43</v>
      </c>
      <c r="B1939" t="str">
        <f t="shared" si="154"/>
        <v>VIA REMIGIO VIGLIERO  29-</v>
      </c>
      <c r="C1939" t="str">
        <f t="shared" si="152"/>
        <v>RIV</v>
      </c>
      <c r="D1939">
        <v>27</v>
      </c>
      <c r="E1939" t="str">
        <f t="shared" si="153"/>
        <v>946</v>
      </c>
      <c r="F1939" t="str">
        <f>"44"</f>
        <v>44</v>
      </c>
    </row>
    <row r="1940" spans="1:6">
      <c r="A1940" t="str">
        <f>"E1226-44"</f>
        <v>E1226-44</v>
      </c>
      <c r="B1940" t="str">
        <f t="shared" si="154"/>
        <v>VIA REMIGIO VIGLIERO  29-</v>
      </c>
      <c r="C1940" t="str">
        <f t="shared" si="152"/>
        <v>RIV</v>
      </c>
      <c r="D1940">
        <v>27</v>
      </c>
      <c r="E1940" t="str">
        <f t="shared" si="153"/>
        <v>946</v>
      </c>
      <c r="F1940" t="str">
        <f>"45"</f>
        <v>45</v>
      </c>
    </row>
    <row r="1941" spans="1:6">
      <c r="A1941" t="str">
        <f>"E1226-45"</f>
        <v>E1226-45</v>
      </c>
      <c r="B1941" t="str">
        <f t="shared" si="154"/>
        <v>VIA REMIGIO VIGLIERO  29-</v>
      </c>
      <c r="C1941" t="str">
        <f t="shared" si="152"/>
        <v>RIV</v>
      </c>
      <c r="D1941">
        <v>27</v>
      </c>
      <c r="E1941" t="str">
        <f t="shared" si="153"/>
        <v>946</v>
      </c>
      <c r="F1941" t="str">
        <f>"46"</f>
        <v>46</v>
      </c>
    </row>
    <row r="1942" spans="1:6">
      <c r="A1942" t="str">
        <f>"E1226-46"</f>
        <v>E1226-46</v>
      </c>
      <c r="B1942" t="str">
        <f t="shared" si="154"/>
        <v>VIA REMIGIO VIGLIERO  29-</v>
      </c>
      <c r="C1942" t="str">
        <f t="shared" si="152"/>
        <v>RIV</v>
      </c>
      <c r="D1942">
        <v>27</v>
      </c>
      <c r="E1942" t="str">
        <f t="shared" si="153"/>
        <v>946</v>
      </c>
      <c r="F1942" t="str">
        <f>"47"</f>
        <v>47</v>
      </c>
    </row>
    <row r="1943" spans="1:6">
      <c r="A1943" t="str">
        <f>"E1226-47"</f>
        <v>E1226-47</v>
      </c>
      <c r="B1943" t="str">
        <f t="shared" si="154"/>
        <v>VIA REMIGIO VIGLIERO  29-</v>
      </c>
      <c r="C1943" t="str">
        <f t="shared" si="152"/>
        <v>RIV</v>
      </c>
      <c r="D1943">
        <v>27</v>
      </c>
      <c r="E1943" t="str">
        <f t="shared" si="153"/>
        <v>946</v>
      </c>
      <c r="F1943" t="str">
        <f>"48"</f>
        <v>48</v>
      </c>
    </row>
    <row r="1944" spans="1:6">
      <c r="A1944" t="str">
        <f>"E1226-48"</f>
        <v>E1226-48</v>
      </c>
      <c r="B1944" t="str">
        <f t="shared" si="154"/>
        <v>VIA REMIGIO VIGLIERO  29-</v>
      </c>
      <c r="C1944" t="str">
        <f t="shared" si="152"/>
        <v>RIV</v>
      </c>
      <c r="D1944">
        <v>27</v>
      </c>
      <c r="E1944" t="str">
        <f t="shared" si="153"/>
        <v>946</v>
      </c>
      <c r="F1944" t="str">
        <f>"49"</f>
        <v>49</v>
      </c>
    </row>
    <row r="1945" spans="1:6">
      <c r="A1945" t="str">
        <f>"E1226-49"</f>
        <v>E1226-49</v>
      </c>
      <c r="B1945" t="str">
        <f t="shared" si="154"/>
        <v>VIA REMIGIO VIGLIERO  29-</v>
      </c>
      <c r="C1945" t="str">
        <f t="shared" si="152"/>
        <v>RIV</v>
      </c>
      <c r="D1945">
        <v>27</v>
      </c>
      <c r="E1945" t="str">
        <f t="shared" si="153"/>
        <v>946</v>
      </c>
      <c r="F1945" t="str">
        <f>"50"</f>
        <v>50</v>
      </c>
    </row>
    <row r="1946" spans="1:6">
      <c r="A1946" t="str">
        <f>"E1226-50"</f>
        <v>E1226-50</v>
      </c>
      <c r="B1946" t="str">
        <f t="shared" si="154"/>
        <v>VIA REMIGIO VIGLIERO  29-</v>
      </c>
      <c r="C1946" t="str">
        <f t="shared" si="152"/>
        <v>RIV</v>
      </c>
      <c r="D1946">
        <v>27</v>
      </c>
      <c r="E1946" t="str">
        <f t="shared" si="153"/>
        <v>946</v>
      </c>
      <c r="F1946" t="str">
        <f>"51"</f>
        <v>51</v>
      </c>
    </row>
    <row r="1947" spans="1:6">
      <c r="A1947" t="str">
        <f>"E1226-51"</f>
        <v>E1226-51</v>
      </c>
      <c r="B1947" t="str">
        <f t="shared" si="154"/>
        <v>VIA REMIGIO VIGLIERO  29-</v>
      </c>
      <c r="C1947" t="str">
        <f t="shared" si="152"/>
        <v>RIV</v>
      </c>
      <c r="D1947">
        <v>27</v>
      </c>
      <c r="E1947" t="str">
        <f t="shared" si="153"/>
        <v>946</v>
      </c>
      <c r="F1947" t="str">
        <f>"52"</f>
        <v>52</v>
      </c>
    </row>
    <row r="1948" spans="1:6">
      <c r="A1948" t="str">
        <f>"E1226-52"</f>
        <v>E1226-52</v>
      </c>
      <c r="B1948" t="str">
        <f t="shared" si="154"/>
        <v>VIA REMIGIO VIGLIERO  29-</v>
      </c>
      <c r="C1948" t="str">
        <f t="shared" si="152"/>
        <v>RIV</v>
      </c>
      <c r="D1948">
        <v>27</v>
      </c>
      <c r="E1948" t="str">
        <f t="shared" si="153"/>
        <v>946</v>
      </c>
      <c r="F1948" t="str">
        <f>"53"</f>
        <v>53</v>
      </c>
    </row>
    <row r="1949" spans="1:6">
      <c r="A1949" t="str">
        <f>"E1226-53"</f>
        <v>E1226-53</v>
      </c>
      <c r="B1949" t="str">
        <f t="shared" si="154"/>
        <v>VIA REMIGIO VIGLIERO  29-</v>
      </c>
      <c r="C1949" t="str">
        <f t="shared" si="152"/>
        <v>RIV</v>
      </c>
      <c r="D1949">
        <v>27</v>
      </c>
      <c r="E1949" t="str">
        <f t="shared" si="153"/>
        <v>946</v>
      </c>
      <c r="F1949" t="str">
        <f>"54"</f>
        <v>54</v>
      </c>
    </row>
    <row r="1950" spans="1:6">
      <c r="A1950" t="str">
        <f>"E1226-54"</f>
        <v>E1226-54</v>
      </c>
      <c r="B1950" t="str">
        <f t="shared" si="154"/>
        <v>VIA REMIGIO VIGLIERO  29-</v>
      </c>
      <c r="C1950" t="str">
        <f t="shared" si="152"/>
        <v>RIV</v>
      </c>
      <c r="D1950">
        <v>27</v>
      </c>
      <c r="E1950" t="str">
        <f t="shared" si="153"/>
        <v>946</v>
      </c>
      <c r="F1950" t="str">
        <f>"55"</f>
        <v>55</v>
      </c>
    </row>
    <row r="1951" spans="1:6">
      <c r="A1951" t="str">
        <f>"E1226-55"</f>
        <v>E1226-55</v>
      </c>
      <c r="B1951" t="str">
        <f t="shared" si="154"/>
        <v>VIA REMIGIO VIGLIERO  29-</v>
      </c>
      <c r="C1951" t="str">
        <f t="shared" si="152"/>
        <v>RIV</v>
      </c>
      <c r="D1951">
        <v>27</v>
      </c>
      <c r="E1951" t="str">
        <f t="shared" si="153"/>
        <v>946</v>
      </c>
      <c r="F1951" t="str">
        <f>"56"</f>
        <v>56</v>
      </c>
    </row>
    <row r="1952" spans="1:6">
      <c r="A1952" t="str">
        <f>"E1226-56"</f>
        <v>E1226-56</v>
      </c>
      <c r="B1952" t="str">
        <f t="shared" si="154"/>
        <v>VIA REMIGIO VIGLIERO  29-</v>
      </c>
      <c r="C1952" t="str">
        <f t="shared" si="152"/>
        <v>RIV</v>
      </c>
      <c r="D1952">
        <v>27</v>
      </c>
      <c r="E1952" t="str">
        <f t="shared" si="153"/>
        <v>946</v>
      </c>
      <c r="F1952" t="str">
        <f>"57"</f>
        <v>57</v>
      </c>
    </row>
    <row r="1953" spans="1:6">
      <c r="A1953" t="str">
        <f>"E1226-57"</f>
        <v>E1226-57</v>
      </c>
      <c r="B1953" t="str">
        <f t="shared" si="154"/>
        <v>VIA REMIGIO VIGLIERO  29-</v>
      </c>
      <c r="C1953" t="str">
        <f t="shared" si="152"/>
        <v>RIV</v>
      </c>
      <c r="D1953">
        <v>27</v>
      </c>
      <c r="E1953" t="str">
        <f t="shared" si="153"/>
        <v>946</v>
      </c>
      <c r="F1953" t="str">
        <f>"58"</f>
        <v>58</v>
      </c>
    </row>
    <row r="1954" spans="1:6">
      <c r="A1954" t="str">
        <f>"E1226-58"</f>
        <v>E1226-58</v>
      </c>
      <c r="B1954" t="str">
        <f t="shared" si="154"/>
        <v>VIA REMIGIO VIGLIERO  29-</v>
      </c>
      <c r="C1954" t="str">
        <f t="shared" si="152"/>
        <v>RIV</v>
      </c>
      <c r="D1954">
        <v>27</v>
      </c>
      <c r="E1954" t="str">
        <f t="shared" si="153"/>
        <v>946</v>
      </c>
      <c r="F1954" t="str">
        <f>"59"</f>
        <v>59</v>
      </c>
    </row>
    <row r="1955" spans="1:6">
      <c r="A1955" t="str">
        <f>"E1226-59"</f>
        <v>E1226-59</v>
      </c>
      <c r="B1955" t="str">
        <f t="shared" si="154"/>
        <v>VIA REMIGIO VIGLIERO  29-</v>
      </c>
      <c r="C1955" t="str">
        <f t="shared" si="152"/>
        <v>RIV</v>
      </c>
      <c r="D1955">
        <v>27</v>
      </c>
      <c r="E1955" t="str">
        <f t="shared" si="153"/>
        <v>946</v>
      </c>
      <c r="F1955" t="str">
        <f>"60"</f>
        <v>60</v>
      </c>
    </row>
    <row r="1956" spans="1:6">
      <c r="A1956" t="str">
        <f>"E1226-60"</f>
        <v>E1226-60</v>
      </c>
      <c r="B1956" t="str">
        <f t="shared" si="154"/>
        <v>VIA REMIGIO VIGLIERO  29-</v>
      </c>
      <c r="C1956" t="str">
        <f t="shared" si="152"/>
        <v>RIV</v>
      </c>
      <c r="D1956">
        <v>27</v>
      </c>
      <c r="E1956" t="str">
        <f t="shared" si="153"/>
        <v>946</v>
      </c>
      <c r="F1956" t="str">
        <f>"61"</f>
        <v>61</v>
      </c>
    </row>
    <row r="1957" spans="1:6">
      <c r="A1957" t="str">
        <f>"E1226-61"</f>
        <v>E1226-61</v>
      </c>
      <c r="B1957" t="str">
        <f t="shared" si="154"/>
        <v>VIA REMIGIO VIGLIERO  29-</v>
      </c>
      <c r="C1957" t="str">
        <f t="shared" si="152"/>
        <v>RIV</v>
      </c>
      <c r="D1957">
        <v>27</v>
      </c>
      <c r="E1957" t="str">
        <f t="shared" si="153"/>
        <v>946</v>
      </c>
      <c r="F1957" t="str">
        <f>"62"</f>
        <v>62</v>
      </c>
    </row>
    <row r="1958" spans="1:6">
      <c r="A1958" t="str">
        <f>"E1226-62"</f>
        <v>E1226-62</v>
      </c>
      <c r="B1958" t="str">
        <f t="shared" si="154"/>
        <v>VIA REMIGIO VIGLIERO  29-</v>
      </c>
      <c r="C1958" t="str">
        <f t="shared" si="152"/>
        <v>RIV</v>
      </c>
      <c r="D1958">
        <v>27</v>
      </c>
      <c r="E1958" t="str">
        <f t="shared" si="153"/>
        <v>946</v>
      </c>
      <c r="F1958" t="str">
        <f>"63"</f>
        <v>63</v>
      </c>
    </row>
    <row r="1959" spans="1:6">
      <c r="A1959" t="str">
        <f>"E1226-63"</f>
        <v>E1226-63</v>
      </c>
      <c r="B1959" t="str">
        <f t="shared" si="154"/>
        <v>VIA REMIGIO VIGLIERO  29-</v>
      </c>
      <c r="C1959" t="str">
        <f t="shared" si="152"/>
        <v>RIV</v>
      </c>
      <c r="D1959">
        <v>27</v>
      </c>
      <c r="E1959" t="str">
        <f t="shared" si="153"/>
        <v>946</v>
      </c>
      <c r="F1959" t="str">
        <f>"64"</f>
        <v>64</v>
      </c>
    </row>
    <row r="1960" spans="1:6">
      <c r="A1960" t="str">
        <f>"E1226-64"</f>
        <v>E1226-64</v>
      </c>
      <c r="B1960" t="str">
        <f t="shared" si="154"/>
        <v>VIA REMIGIO VIGLIERO  29-</v>
      </c>
      <c r="C1960" t="str">
        <f t="shared" si="152"/>
        <v>RIV</v>
      </c>
      <c r="D1960">
        <v>27</v>
      </c>
      <c r="E1960" t="str">
        <f t="shared" si="153"/>
        <v>946</v>
      </c>
      <c r="F1960" t="str">
        <f>"65"</f>
        <v>65</v>
      </c>
    </row>
    <row r="1961" spans="1:6">
      <c r="A1961" t="str">
        <f>"E1226-65"</f>
        <v>E1226-65</v>
      </c>
      <c r="B1961" t="str">
        <f t="shared" si="154"/>
        <v>VIA REMIGIO VIGLIERO  29-</v>
      </c>
      <c r="C1961" t="str">
        <f t="shared" ref="C1961:C1992" si="155">"RIV"</f>
        <v>RIV</v>
      </c>
      <c r="D1961">
        <v>27</v>
      </c>
      <c r="E1961" t="str">
        <f t="shared" ref="E1961:E1969" si="156">"946"</f>
        <v>946</v>
      </c>
      <c r="F1961" t="str">
        <f>"66"</f>
        <v>66</v>
      </c>
    </row>
    <row r="1962" spans="1:6">
      <c r="A1962" t="str">
        <f>"E1226-66"</f>
        <v>E1226-66</v>
      </c>
      <c r="B1962" t="str">
        <f t="shared" si="154"/>
        <v>VIA REMIGIO VIGLIERO  29-</v>
      </c>
      <c r="C1962" t="str">
        <f t="shared" si="155"/>
        <v>RIV</v>
      </c>
      <c r="D1962">
        <v>27</v>
      </c>
      <c r="E1962" t="str">
        <f t="shared" si="156"/>
        <v>946</v>
      </c>
      <c r="F1962" t="str">
        <f>"67"</f>
        <v>67</v>
      </c>
    </row>
    <row r="1963" spans="1:6">
      <c r="A1963" t="str">
        <f>"E1226-67"</f>
        <v>E1226-67</v>
      </c>
      <c r="B1963" t="str">
        <f t="shared" si="154"/>
        <v>VIA REMIGIO VIGLIERO  29-</v>
      </c>
      <c r="C1963" t="str">
        <f t="shared" si="155"/>
        <v>RIV</v>
      </c>
      <c r="D1963">
        <v>27</v>
      </c>
      <c r="E1963" t="str">
        <f t="shared" si="156"/>
        <v>946</v>
      </c>
      <c r="F1963" t="str">
        <f>"68"</f>
        <v>68</v>
      </c>
    </row>
    <row r="1964" spans="1:6">
      <c r="A1964" t="str">
        <f>"E1226-68"</f>
        <v>E1226-68</v>
      </c>
      <c r="B1964" t="str">
        <f t="shared" si="154"/>
        <v>VIA REMIGIO VIGLIERO  29-</v>
      </c>
      <c r="C1964" t="str">
        <f t="shared" si="155"/>
        <v>RIV</v>
      </c>
      <c r="D1964">
        <v>27</v>
      </c>
      <c r="E1964" t="str">
        <f t="shared" si="156"/>
        <v>946</v>
      </c>
      <c r="F1964" t="str">
        <f>"69"</f>
        <v>69</v>
      </c>
    </row>
    <row r="1965" spans="1:6">
      <c r="A1965" t="str">
        <f>"E1226-69"</f>
        <v>E1226-69</v>
      </c>
      <c r="B1965" t="str">
        <f t="shared" ref="B1965:B1998" si="157">"VIA REMIGIO VIGLIERO  23-"</f>
        <v>VIA REMIGIO VIGLIERO  23-</v>
      </c>
      <c r="C1965" t="str">
        <f t="shared" si="155"/>
        <v>RIV</v>
      </c>
      <c r="D1965">
        <v>27</v>
      </c>
      <c r="E1965" t="str">
        <f t="shared" si="156"/>
        <v>946</v>
      </c>
      <c r="F1965" t="str">
        <f>"70"</f>
        <v>70</v>
      </c>
    </row>
    <row r="1966" spans="1:6">
      <c r="A1966" t="str">
        <f>"E1226-70"</f>
        <v>E1226-70</v>
      </c>
      <c r="B1966" t="str">
        <f t="shared" si="157"/>
        <v>VIA REMIGIO VIGLIERO  23-</v>
      </c>
      <c r="C1966" t="str">
        <f t="shared" si="155"/>
        <v>RIV</v>
      </c>
      <c r="D1966">
        <v>27</v>
      </c>
      <c r="E1966" t="str">
        <f t="shared" si="156"/>
        <v>946</v>
      </c>
      <c r="F1966" t="str">
        <f>"71"</f>
        <v>71</v>
      </c>
    </row>
    <row r="1967" spans="1:6">
      <c r="A1967" t="str">
        <f>"E1226-71"</f>
        <v>E1226-71</v>
      </c>
      <c r="B1967" t="str">
        <f t="shared" si="157"/>
        <v>VIA REMIGIO VIGLIERO  23-</v>
      </c>
      <c r="C1967" t="str">
        <f t="shared" si="155"/>
        <v>RIV</v>
      </c>
      <c r="D1967">
        <v>27</v>
      </c>
      <c r="E1967" t="str">
        <f t="shared" si="156"/>
        <v>946</v>
      </c>
      <c r="F1967" t="str">
        <f>"72"</f>
        <v>72</v>
      </c>
    </row>
    <row r="1968" spans="1:6">
      <c r="A1968" t="str">
        <f>"E1226-72"</f>
        <v>E1226-72</v>
      </c>
      <c r="B1968" t="str">
        <f t="shared" si="157"/>
        <v>VIA REMIGIO VIGLIERO  23-</v>
      </c>
      <c r="C1968" t="str">
        <f t="shared" si="155"/>
        <v>RIV</v>
      </c>
      <c r="D1968">
        <v>27</v>
      </c>
      <c r="E1968" t="str">
        <f t="shared" si="156"/>
        <v>946</v>
      </c>
      <c r="F1968" t="str">
        <f>"73"</f>
        <v>73</v>
      </c>
    </row>
    <row r="1969" spans="1:6">
      <c r="A1969" t="str">
        <f>"E1226-73"</f>
        <v>E1226-73</v>
      </c>
      <c r="B1969" t="str">
        <f t="shared" si="157"/>
        <v>VIA REMIGIO VIGLIERO  23-</v>
      </c>
      <c r="C1969" t="str">
        <f t="shared" si="155"/>
        <v>RIV</v>
      </c>
      <c r="D1969">
        <v>27</v>
      </c>
      <c r="E1969" t="str">
        <f t="shared" si="156"/>
        <v>946</v>
      </c>
      <c r="F1969" t="str">
        <f>"74"</f>
        <v>74</v>
      </c>
    </row>
    <row r="1970" spans="1:6">
      <c r="A1970" t="str">
        <f>"E1226-74"</f>
        <v>E1226-74</v>
      </c>
      <c r="B1970" t="str">
        <f t="shared" si="157"/>
        <v>VIA REMIGIO VIGLIERO  23-</v>
      </c>
      <c r="C1970" t="str">
        <f t="shared" si="155"/>
        <v>RIV</v>
      </c>
      <c r="D1970">
        <v>27</v>
      </c>
      <c r="E1970" t="str">
        <f>"539"</f>
        <v>539</v>
      </c>
      <c r="F1970" t="str">
        <f>"75"</f>
        <v>75</v>
      </c>
    </row>
    <row r="1971" spans="1:6">
      <c r="A1971" t="str">
        <f>"E1226-75"</f>
        <v>E1226-75</v>
      </c>
      <c r="B1971" t="str">
        <f t="shared" si="157"/>
        <v>VIA REMIGIO VIGLIERO  23-</v>
      </c>
      <c r="C1971" t="str">
        <f t="shared" si="155"/>
        <v>RIV</v>
      </c>
      <c r="D1971">
        <v>27</v>
      </c>
      <c r="E1971" t="str">
        <f t="shared" ref="E1971:E2018" si="158">"946"</f>
        <v>946</v>
      </c>
      <c r="F1971" t="str">
        <f>"76"</f>
        <v>76</v>
      </c>
    </row>
    <row r="1972" spans="1:6">
      <c r="A1972" t="str">
        <f>"E1226-76"</f>
        <v>E1226-76</v>
      </c>
      <c r="B1972" t="str">
        <f t="shared" si="157"/>
        <v>VIA REMIGIO VIGLIERO  23-</v>
      </c>
      <c r="C1972" t="str">
        <f t="shared" si="155"/>
        <v>RIV</v>
      </c>
      <c r="D1972">
        <v>27</v>
      </c>
      <c r="E1972" t="str">
        <f t="shared" si="158"/>
        <v>946</v>
      </c>
      <c r="F1972" t="str">
        <f>"77"</f>
        <v>77</v>
      </c>
    </row>
    <row r="1973" spans="1:6">
      <c r="A1973" t="str">
        <f>"E1226-77"</f>
        <v>E1226-77</v>
      </c>
      <c r="B1973" t="str">
        <f t="shared" si="157"/>
        <v>VIA REMIGIO VIGLIERO  23-</v>
      </c>
      <c r="C1973" t="str">
        <f t="shared" si="155"/>
        <v>RIV</v>
      </c>
      <c r="D1973">
        <v>27</v>
      </c>
      <c r="E1973" t="str">
        <f t="shared" si="158"/>
        <v>946</v>
      </c>
      <c r="F1973" t="str">
        <f>"78"</f>
        <v>78</v>
      </c>
    </row>
    <row r="1974" spans="1:6">
      <c r="A1974" t="str">
        <f>"E1226-78"</f>
        <v>E1226-78</v>
      </c>
      <c r="B1974" t="str">
        <f t="shared" si="157"/>
        <v>VIA REMIGIO VIGLIERO  23-</v>
      </c>
      <c r="C1974" t="str">
        <f t="shared" si="155"/>
        <v>RIV</v>
      </c>
      <c r="D1974">
        <v>27</v>
      </c>
      <c r="E1974" t="str">
        <f t="shared" si="158"/>
        <v>946</v>
      </c>
      <c r="F1974" t="str">
        <f>"79"</f>
        <v>79</v>
      </c>
    </row>
    <row r="1975" spans="1:6">
      <c r="A1975" t="str">
        <f>"E1226-79"</f>
        <v>E1226-79</v>
      </c>
      <c r="B1975" t="str">
        <f t="shared" si="157"/>
        <v>VIA REMIGIO VIGLIERO  23-</v>
      </c>
      <c r="C1975" t="str">
        <f t="shared" si="155"/>
        <v>RIV</v>
      </c>
      <c r="D1975">
        <v>27</v>
      </c>
      <c r="E1975" t="str">
        <f t="shared" si="158"/>
        <v>946</v>
      </c>
      <c r="F1975" t="str">
        <f>"80"</f>
        <v>80</v>
      </c>
    </row>
    <row r="1976" spans="1:6">
      <c r="A1976" t="str">
        <f>"E1226-80"</f>
        <v>E1226-80</v>
      </c>
      <c r="B1976" t="str">
        <f t="shared" si="157"/>
        <v>VIA REMIGIO VIGLIERO  23-</v>
      </c>
      <c r="C1976" t="str">
        <f t="shared" si="155"/>
        <v>RIV</v>
      </c>
      <c r="D1976">
        <v>27</v>
      </c>
      <c r="E1976" t="str">
        <f t="shared" si="158"/>
        <v>946</v>
      </c>
      <c r="F1976" t="str">
        <f>"81"</f>
        <v>81</v>
      </c>
    </row>
    <row r="1977" spans="1:6">
      <c r="A1977" t="str">
        <f>"E1226-81"</f>
        <v>E1226-81</v>
      </c>
      <c r="B1977" t="str">
        <f t="shared" si="157"/>
        <v>VIA REMIGIO VIGLIERO  23-</v>
      </c>
      <c r="C1977" t="str">
        <f t="shared" si="155"/>
        <v>RIV</v>
      </c>
      <c r="D1977">
        <v>27</v>
      </c>
      <c r="E1977" t="str">
        <f t="shared" si="158"/>
        <v>946</v>
      </c>
      <c r="F1977" t="str">
        <f>"82"</f>
        <v>82</v>
      </c>
    </row>
    <row r="1978" spans="1:6">
      <c r="A1978" t="str">
        <f>"E1226-82"</f>
        <v>E1226-82</v>
      </c>
      <c r="B1978" t="str">
        <f t="shared" si="157"/>
        <v>VIA REMIGIO VIGLIERO  23-</v>
      </c>
      <c r="C1978" t="str">
        <f t="shared" si="155"/>
        <v>RIV</v>
      </c>
      <c r="D1978">
        <v>27</v>
      </c>
      <c r="E1978" t="str">
        <f t="shared" si="158"/>
        <v>946</v>
      </c>
      <c r="F1978" t="str">
        <f>"83"</f>
        <v>83</v>
      </c>
    </row>
    <row r="1979" spans="1:6">
      <c r="A1979" t="str">
        <f>"E1226-83"</f>
        <v>E1226-83</v>
      </c>
      <c r="B1979" t="str">
        <f t="shared" si="157"/>
        <v>VIA REMIGIO VIGLIERO  23-</v>
      </c>
      <c r="C1979" t="str">
        <f t="shared" si="155"/>
        <v>RIV</v>
      </c>
      <c r="D1979">
        <v>27</v>
      </c>
      <c r="E1979" t="str">
        <f t="shared" si="158"/>
        <v>946</v>
      </c>
      <c r="F1979" t="str">
        <f>"84"</f>
        <v>84</v>
      </c>
    </row>
    <row r="1980" spans="1:6">
      <c r="A1980" t="str">
        <f>"E1226-84"</f>
        <v>E1226-84</v>
      </c>
      <c r="B1980" t="str">
        <f t="shared" si="157"/>
        <v>VIA REMIGIO VIGLIERO  23-</v>
      </c>
      <c r="C1980" t="str">
        <f t="shared" si="155"/>
        <v>RIV</v>
      </c>
      <c r="D1980">
        <v>27</v>
      </c>
      <c r="E1980" t="str">
        <f t="shared" si="158"/>
        <v>946</v>
      </c>
      <c r="F1980" t="str">
        <f>"85"</f>
        <v>85</v>
      </c>
    </row>
    <row r="1981" spans="1:6">
      <c r="A1981" t="str">
        <f>"E1226-85"</f>
        <v>E1226-85</v>
      </c>
      <c r="B1981" t="str">
        <f t="shared" si="157"/>
        <v>VIA REMIGIO VIGLIERO  23-</v>
      </c>
      <c r="C1981" t="str">
        <f t="shared" si="155"/>
        <v>RIV</v>
      </c>
      <c r="D1981">
        <v>27</v>
      </c>
      <c r="E1981" t="str">
        <f t="shared" si="158"/>
        <v>946</v>
      </c>
      <c r="F1981" t="str">
        <f>"86"</f>
        <v>86</v>
      </c>
    </row>
    <row r="1982" spans="1:6">
      <c r="A1982" t="str">
        <f>"E1226-86"</f>
        <v>E1226-86</v>
      </c>
      <c r="B1982" t="str">
        <f t="shared" si="157"/>
        <v>VIA REMIGIO VIGLIERO  23-</v>
      </c>
      <c r="C1982" t="str">
        <f t="shared" si="155"/>
        <v>RIV</v>
      </c>
      <c r="D1982">
        <v>27</v>
      </c>
      <c r="E1982" t="str">
        <f t="shared" si="158"/>
        <v>946</v>
      </c>
      <c r="F1982" t="str">
        <f>"87"</f>
        <v>87</v>
      </c>
    </row>
    <row r="1983" spans="1:6">
      <c r="A1983" t="str">
        <f>"E1226-87"</f>
        <v>E1226-87</v>
      </c>
      <c r="B1983" t="str">
        <f t="shared" si="157"/>
        <v>VIA REMIGIO VIGLIERO  23-</v>
      </c>
      <c r="C1983" t="str">
        <f t="shared" si="155"/>
        <v>RIV</v>
      </c>
      <c r="D1983">
        <v>27</v>
      </c>
      <c r="E1983" t="str">
        <f t="shared" si="158"/>
        <v>946</v>
      </c>
      <c r="F1983" t="str">
        <f>"88"</f>
        <v>88</v>
      </c>
    </row>
    <row r="1984" spans="1:6">
      <c r="A1984" t="str">
        <f>"E1226-88"</f>
        <v>E1226-88</v>
      </c>
      <c r="B1984" t="str">
        <f t="shared" si="157"/>
        <v>VIA REMIGIO VIGLIERO  23-</v>
      </c>
      <c r="C1984" t="str">
        <f t="shared" si="155"/>
        <v>RIV</v>
      </c>
      <c r="D1984">
        <v>27</v>
      </c>
      <c r="E1984" t="str">
        <f t="shared" si="158"/>
        <v>946</v>
      </c>
      <c r="F1984" t="str">
        <f>"89"</f>
        <v>89</v>
      </c>
    </row>
    <row r="1985" spans="1:6">
      <c r="A1985" t="str">
        <f>"E1226-89"</f>
        <v>E1226-89</v>
      </c>
      <c r="B1985" t="str">
        <f t="shared" si="157"/>
        <v>VIA REMIGIO VIGLIERO  23-</v>
      </c>
      <c r="C1985" t="str">
        <f t="shared" si="155"/>
        <v>RIV</v>
      </c>
      <c r="D1985">
        <v>27</v>
      </c>
      <c r="E1985" t="str">
        <f t="shared" si="158"/>
        <v>946</v>
      </c>
      <c r="F1985" t="str">
        <f>"90"</f>
        <v>90</v>
      </c>
    </row>
    <row r="1986" spans="1:6">
      <c r="A1986" t="str">
        <f>"E1226-90"</f>
        <v>E1226-90</v>
      </c>
      <c r="B1986" t="str">
        <f t="shared" si="157"/>
        <v>VIA REMIGIO VIGLIERO  23-</v>
      </c>
      <c r="C1986" t="str">
        <f t="shared" si="155"/>
        <v>RIV</v>
      </c>
      <c r="D1986">
        <v>27</v>
      </c>
      <c r="E1986" t="str">
        <f t="shared" si="158"/>
        <v>946</v>
      </c>
      <c r="F1986" t="str">
        <f>"91"</f>
        <v>91</v>
      </c>
    </row>
    <row r="1987" spans="1:6">
      <c r="A1987" t="str">
        <f>"E1226-91"</f>
        <v>E1226-91</v>
      </c>
      <c r="B1987" t="str">
        <f t="shared" si="157"/>
        <v>VIA REMIGIO VIGLIERO  23-</v>
      </c>
      <c r="C1987" t="str">
        <f t="shared" si="155"/>
        <v>RIV</v>
      </c>
      <c r="D1987">
        <v>27</v>
      </c>
      <c r="E1987" t="str">
        <f t="shared" si="158"/>
        <v>946</v>
      </c>
      <c r="F1987" t="str">
        <f>"92"</f>
        <v>92</v>
      </c>
    </row>
    <row r="1988" spans="1:6">
      <c r="A1988" t="str">
        <f>"E1226-92"</f>
        <v>E1226-92</v>
      </c>
      <c r="B1988" t="str">
        <f t="shared" si="157"/>
        <v>VIA REMIGIO VIGLIERO  23-</v>
      </c>
      <c r="C1988" t="str">
        <f t="shared" si="155"/>
        <v>RIV</v>
      </c>
      <c r="D1988">
        <v>27</v>
      </c>
      <c r="E1988" t="str">
        <f t="shared" si="158"/>
        <v>946</v>
      </c>
      <c r="F1988" t="str">
        <f>"93"</f>
        <v>93</v>
      </c>
    </row>
    <row r="1989" spans="1:6">
      <c r="A1989" t="str">
        <f>"E1226-93"</f>
        <v>E1226-93</v>
      </c>
      <c r="B1989" t="str">
        <f t="shared" si="157"/>
        <v>VIA REMIGIO VIGLIERO  23-</v>
      </c>
      <c r="C1989" t="str">
        <f t="shared" si="155"/>
        <v>RIV</v>
      </c>
      <c r="D1989">
        <v>27</v>
      </c>
      <c r="E1989" t="str">
        <f t="shared" si="158"/>
        <v>946</v>
      </c>
      <c r="F1989" t="str">
        <f>"94"</f>
        <v>94</v>
      </c>
    </row>
    <row r="1990" spans="1:6">
      <c r="A1990" t="str">
        <f>"E1226-94"</f>
        <v>E1226-94</v>
      </c>
      <c r="B1990" t="str">
        <f t="shared" si="157"/>
        <v>VIA REMIGIO VIGLIERO  23-</v>
      </c>
      <c r="C1990" t="str">
        <f t="shared" si="155"/>
        <v>RIV</v>
      </c>
      <c r="D1990">
        <v>27</v>
      </c>
      <c r="E1990" t="str">
        <f t="shared" si="158"/>
        <v>946</v>
      </c>
      <c r="F1990" t="str">
        <f>"95"</f>
        <v>95</v>
      </c>
    </row>
    <row r="1991" spans="1:6">
      <c r="A1991" t="str">
        <f>"E1226-95"</f>
        <v>E1226-95</v>
      </c>
      <c r="B1991" t="str">
        <f t="shared" si="157"/>
        <v>VIA REMIGIO VIGLIERO  23-</v>
      </c>
      <c r="C1991" t="str">
        <f t="shared" si="155"/>
        <v>RIV</v>
      </c>
      <c r="D1991">
        <v>27</v>
      </c>
      <c r="E1991" t="str">
        <f t="shared" si="158"/>
        <v>946</v>
      </c>
      <c r="F1991" t="str">
        <f>"96"</f>
        <v>96</v>
      </c>
    </row>
    <row r="1992" spans="1:6">
      <c r="A1992" t="str">
        <f>"E1226-96"</f>
        <v>E1226-96</v>
      </c>
      <c r="B1992" t="str">
        <f t="shared" si="157"/>
        <v>VIA REMIGIO VIGLIERO  23-</v>
      </c>
      <c r="C1992" t="str">
        <f t="shared" si="155"/>
        <v>RIV</v>
      </c>
      <c r="D1992">
        <v>27</v>
      </c>
      <c r="E1992" t="str">
        <f t="shared" si="158"/>
        <v>946</v>
      </c>
      <c r="F1992" t="str">
        <f>"97"</f>
        <v>97</v>
      </c>
    </row>
    <row r="1993" spans="1:6">
      <c r="A1993" t="str">
        <f>"E1226-97"</f>
        <v>E1226-97</v>
      </c>
      <c r="B1993" t="str">
        <f t="shared" si="157"/>
        <v>VIA REMIGIO VIGLIERO  23-</v>
      </c>
      <c r="C1993" t="str">
        <f t="shared" ref="C1993:C2018" si="159">"RIV"</f>
        <v>RIV</v>
      </c>
      <c r="D1993">
        <v>27</v>
      </c>
      <c r="E1993" t="str">
        <f t="shared" si="158"/>
        <v>946</v>
      </c>
      <c r="F1993" t="str">
        <f>"98"</f>
        <v>98</v>
      </c>
    </row>
    <row r="1994" spans="1:6">
      <c r="A1994" t="str">
        <f>"E1226-98"</f>
        <v>E1226-98</v>
      </c>
      <c r="B1994" t="str">
        <f t="shared" si="157"/>
        <v>VIA REMIGIO VIGLIERO  23-</v>
      </c>
      <c r="C1994" t="str">
        <f t="shared" si="159"/>
        <v>RIV</v>
      </c>
      <c r="D1994">
        <v>27</v>
      </c>
      <c r="E1994" t="str">
        <f t="shared" si="158"/>
        <v>946</v>
      </c>
      <c r="F1994" t="str">
        <f>"99"</f>
        <v>99</v>
      </c>
    </row>
    <row r="1995" spans="1:6">
      <c r="A1995" t="str">
        <f>"E1226-99"</f>
        <v>E1226-99</v>
      </c>
      <c r="B1995" t="str">
        <f t="shared" si="157"/>
        <v>VIA REMIGIO VIGLIERO  23-</v>
      </c>
      <c r="C1995" t="str">
        <f t="shared" si="159"/>
        <v>RIV</v>
      </c>
      <c r="D1995">
        <v>27</v>
      </c>
      <c r="E1995" t="str">
        <f t="shared" si="158"/>
        <v>946</v>
      </c>
      <c r="F1995" t="str">
        <f>"100"</f>
        <v>100</v>
      </c>
    </row>
    <row r="1996" spans="1:6">
      <c r="A1996" t="str">
        <f>"E1226-100"</f>
        <v>E1226-100</v>
      </c>
      <c r="B1996" t="str">
        <f t="shared" si="157"/>
        <v>VIA REMIGIO VIGLIERO  23-</v>
      </c>
      <c r="C1996" t="str">
        <f t="shared" si="159"/>
        <v>RIV</v>
      </c>
      <c r="D1996">
        <v>27</v>
      </c>
      <c r="E1996" t="str">
        <f t="shared" si="158"/>
        <v>946</v>
      </c>
      <c r="F1996" t="str">
        <f>"101"</f>
        <v>101</v>
      </c>
    </row>
    <row r="1997" spans="1:6">
      <c r="A1997" t="str">
        <f>"E1226-101"</f>
        <v>E1226-101</v>
      </c>
      <c r="B1997" t="str">
        <f t="shared" si="157"/>
        <v>VIA REMIGIO VIGLIERO  23-</v>
      </c>
      <c r="C1997" t="str">
        <f t="shared" si="159"/>
        <v>RIV</v>
      </c>
      <c r="D1997">
        <v>27</v>
      </c>
      <c r="E1997" t="str">
        <f t="shared" si="158"/>
        <v>946</v>
      </c>
      <c r="F1997" t="str">
        <f>"102"</f>
        <v>102</v>
      </c>
    </row>
    <row r="1998" spans="1:6">
      <c r="A1998" t="str">
        <f>"E1226-102"</f>
        <v>E1226-102</v>
      </c>
      <c r="B1998" t="str">
        <f t="shared" si="157"/>
        <v>VIA REMIGIO VIGLIERO  23-</v>
      </c>
      <c r="C1998" t="str">
        <f t="shared" si="159"/>
        <v>RIV</v>
      </c>
      <c r="D1998">
        <v>27</v>
      </c>
      <c r="E1998" t="str">
        <f t="shared" si="158"/>
        <v>946</v>
      </c>
      <c r="F1998" t="str">
        <f>"103"</f>
        <v>103</v>
      </c>
    </row>
    <row r="1999" spans="1:6">
      <c r="A1999" t="str">
        <f>"E1226-103"</f>
        <v>E1226-103</v>
      </c>
      <c r="B1999" t="str">
        <f t="shared" ref="B1999:B2018" si="160">"VIA REMIGIO VIGLIERO  29-"</f>
        <v>VIA REMIGIO VIGLIERO  29-</v>
      </c>
      <c r="C1999" t="str">
        <f t="shared" si="159"/>
        <v>RIV</v>
      </c>
      <c r="D1999">
        <v>27</v>
      </c>
      <c r="E1999" t="str">
        <f t="shared" si="158"/>
        <v>946</v>
      </c>
      <c r="F1999" t="str">
        <f>"104"</f>
        <v>104</v>
      </c>
    </row>
    <row r="2000" spans="1:6">
      <c r="A2000" t="str">
        <f>"E1226-104"</f>
        <v>E1226-104</v>
      </c>
      <c r="B2000" t="str">
        <f t="shared" si="160"/>
        <v>VIA REMIGIO VIGLIERO  29-</v>
      </c>
      <c r="C2000" t="str">
        <f t="shared" si="159"/>
        <v>RIV</v>
      </c>
      <c r="D2000">
        <v>27</v>
      </c>
      <c r="E2000" t="str">
        <f t="shared" si="158"/>
        <v>946</v>
      </c>
      <c r="F2000" t="str">
        <f>"105"</f>
        <v>105</v>
      </c>
    </row>
    <row r="2001" spans="1:6">
      <c r="A2001" t="str">
        <f>"E1226-105"</f>
        <v>E1226-105</v>
      </c>
      <c r="B2001" t="str">
        <f t="shared" si="160"/>
        <v>VIA REMIGIO VIGLIERO  29-</v>
      </c>
      <c r="C2001" t="str">
        <f t="shared" si="159"/>
        <v>RIV</v>
      </c>
      <c r="D2001">
        <v>27</v>
      </c>
      <c r="E2001" t="str">
        <f t="shared" si="158"/>
        <v>946</v>
      </c>
      <c r="F2001" t="str">
        <f>"106"</f>
        <v>106</v>
      </c>
    </row>
    <row r="2002" spans="1:6">
      <c r="A2002" t="str">
        <f>"E1226-106"</f>
        <v>E1226-106</v>
      </c>
      <c r="B2002" t="str">
        <f t="shared" si="160"/>
        <v>VIA REMIGIO VIGLIERO  29-</v>
      </c>
      <c r="C2002" t="str">
        <f t="shared" si="159"/>
        <v>RIV</v>
      </c>
      <c r="D2002">
        <v>27</v>
      </c>
      <c r="E2002" t="str">
        <f t="shared" si="158"/>
        <v>946</v>
      </c>
      <c r="F2002" t="str">
        <f>"107"</f>
        <v>107</v>
      </c>
    </row>
    <row r="2003" spans="1:6">
      <c r="A2003" t="str">
        <f>"E1226-107"</f>
        <v>E1226-107</v>
      </c>
      <c r="B2003" t="str">
        <f t="shared" si="160"/>
        <v>VIA REMIGIO VIGLIERO  29-</v>
      </c>
      <c r="C2003" t="str">
        <f t="shared" si="159"/>
        <v>RIV</v>
      </c>
      <c r="D2003">
        <v>27</v>
      </c>
      <c r="E2003" t="str">
        <f t="shared" si="158"/>
        <v>946</v>
      </c>
      <c r="F2003" t="str">
        <f>"108"</f>
        <v>108</v>
      </c>
    </row>
    <row r="2004" spans="1:6">
      <c r="A2004" t="str">
        <f>"E1226-108"</f>
        <v>E1226-108</v>
      </c>
      <c r="B2004" t="str">
        <f t="shared" si="160"/>
        <v>VIA REMIGIO VIGLIERO  29-</v>
      </c>
      <c r="C2004" t="str">
        <f t="shared" si="159"/>
        <v>RIV</v>
      </c>
      <c r="D2004">
        <v>27</v>
      </c>
      <c r="E2004" t="str">
        <f t="shared" si="158"/>
        <v>946</v>
      </c>
      <c r="F2004" t="str">
        <f>"109"</f>
        <v>109</v>
      </c>
    </row>
    <row r="2005" spans="1:6">
      <c r="A2005" t="str">
        <f>"E1226-109"</f>
        <v>E1226-109</v>
      </c>
      <c r="B2005" t="str">
        <f t="shared" si="160"/>
        <v>VIA REMIGIO VIGLIERO  29-</v>
      </c>
      <c r="C2005" t="str">
        <f t="shared" si="159"/>
        <v>RIV</v>
      </c>
      <c r="D2005">
        <v>27</v>
      </c>
      <c r="E2005" t="str">
        <f t="shared" si="158"/>
        <v>946</v>
      </c>
      <c r="F2005" t="str">
        <f>"110"</f>
        <v>110</v>
      </c>
    </row>
    <row r="2006" spans="1:6">
      <c r="A2006" t="str">
        <f>"E1226-110"</f>
        <v>E1226-110</v>
      </c>
      <c r="B2006" t="str">
        <f t="shared" si="160"/>
        <v>VIA REMIGIO VIGLIERO  29-</v>
      </c>
      <c r="C2006" t="str">
        <f t="shared" si="159"/>
        <v>RIV</v>
      </c>
      <c r="D2006">
        <v>27</v>
      </c>
      <c r="E2006" t="str">
        <f t="shared" si="158"/>
        <v>946</v>
      </c>
      <c r="F2006" t="str">
        <f>"111"</f>
        <v>111</v>
      </c>
    </row>
    <row r="2007" spans="1:6">
      <c r="A2007" t="str">
        <f>"E1226-111"</f>
        <v>E1226-111</v>
      </c>
      <c r="B2007" t="str">
        <f t="shared" si="160"/>
        <v>VIA REMIGIO VIGLIERO  29-</v>
      </c>
      <c r="C2007" t="str">
        <f t="shared" si="159"/>
        <v>RIV</v>
      </c>
      <c r="D2007">
        <v>27</v>
      </c>
      <c r="E2007" t="str">
        <f t="shared" si="158"/>
        <v>946</v>
      </c>
      <c r="F2007" t="str">
        <f>"112"</f>
        <v>112</v>
      </c>
    </row>
    <row r="2008" spans="1:6">
      <c r="A2008" t="str">
        <f>"E1226-112"</f>
        <v>E1226-112</v>
      </c>
      <c r="B2008" t="str">
        <f t="shared" si="160"/>
        <v>VIA REMIGIO VIGLIERO  29-</v>
      </c>
      <c r="C2008" t="str">
        <f t="shared" si="159"/>
        <v>RIV</v>
      </c>
      <c r="D2008">
        <v>27</v>
      </c>
      <c r="E2008" t="str">
        <f t="shared" si="158"/>
        <v>946</v>
      </c>
      <c r="F2008" t="str">
        <f>"113"</f>
        <v>113</v>
      </c>
    </row>
    <row r="2009" spans="1:6">
      <c r="A2009" t="str">
        <f>"E1226-113"</f>
        <v>E1226-113</v>
      </c>
      <c r="B2009" t="str">
        <f t="shared" si="160"/>
        <v>VIA REMIGIO VIGLIERO  29-</v>
      </c>
      <c r="C2009" t="str">
        <f t="shared" si="159"/>
        <v>RIV</v>
      </c>
      <c r="D2009">
        <v>27</v>
      </c>
      <c r="E2009" t="str">
        <f t="shared" si="158"/>
        <v>946</v>
      </c>
      <c r="F2009" t="str">
        <f>"114"</f>
        <v>114</v>
      </c>
    </row>
    <row r="2010" spans="1:6">
      <c r="A2010" t="str">
        <f>"E1226-114"</f>
        <v>E1226-114</v>
      </c>
      <c r="B2010" t="str">
        <f t="shared" si="160"/>
        <v>VIA REMIGIO VIGLIERO  29-</v>
      </c>
      <c r="C2010" t="str">
        <f t="shared" si="159"/>
        <v>RIV</v>
      </c>
      <c r="D2010">
        <v>27</v>
      </c>
      <c r="E2010" t="str">
        <f t="shared" si="158"/>
        <v>946</v>
      </c>
      <c r="F2010" t="str">
        <f>"115"</f>
        <v>115</v>
      </c>
    </row>
    <row r="2011" spans="1:6">
      <c r="A2011" t="str">
        <f>"E1226-115"</f>
        <v>E1226-115</v>
      </c>
      <c r="B2011" t="str">
        <f t="shared" si="160"/>
        <v>VIA REMIGIO VIGLIERO  29-</v>
      </c>
      <c r="C2011" t="str">
        <f t="shared" si="159"/>
        <v>RIV</v>
      </c>
      <c r="D2011">
        <v>27</v>
      </c>
      <c r="E2011" t="str">
        <f t="shared" si="158"/>
        <v>946</v>
      </c>
      <c r="F2011" t="str">
        <f>"116"</f>
        <v>116</v>
      </c>
    </row>
    <row r="2012" spans="1:6">
      <c r="A2012" t="str">
        <f>"E1226-116"</f>
        <v>E1226-116</v>
      </c>
      <c r="B2012" t="str">
        <f t="shared" si="160"/>
        <v>VIA REMIGIO VIGLIERO  29-</v>
      </c>
      <c r="C2012" t="str">
        <f t="shared" si="159"/>
        <v>RIV</v>
      </c>
      <c r="D2012">
        <v>27</v>
      </c>
      <c r="E2012" t="str">
        <f t="shared" si="158"/>
        <v>946</v>
      </c>
      <c r="F2012" t="str">
        <f>"117"</f>
        <v>117</v>
      </c>
    </row>
    <row r="2013" spans="1:6">
      <c r="A2013" t="str">
        <f>"E1226-117"</f>
        <v>E1226-117</v>
      </c>
      <c r="B2013" t="str">
        <f t="shared" si="160"/>
        <v>VIA REMIGIO VIGLIERO  29-</v>
      </c>
      <c r="C2013" t="str">
        <f t="shared" si="159"/>
        <v>RIV</v>
      </c>
      <c r="D2013">
        <v>27</v>
      </c>
      <c r="E2013" t="str">
        <f t="shared" si="158"/>
        <v>946</v>
      </c>
      <c r="F2013" t="str">
        <f>"118"</f>
        <v>118</v>
      </c>
    </row>
    <row r="2014" spans="1:6">
      <c r="A2014" t="str">
        <f>"E1226-118"</f>
        <v>E1226-118</v>
      </c>
      <c r="B2014" t="str">
        <f t="shared" si="160"/>
        <v>VIA REMIGIO VIGLIERO  29-</v>
      </c>
      <c r="C2014" t="str">
        <f t="shared" si="159"/>
        <v>RIV</v>
      </c>
      <c r="D2014">
        <v>27</v>
      </c>
      <c r="E2014" t="str">
        <f t="shared" si="158"/>
        <v>946</v>
      </c>
      <c r="F2014" t="str">
        <f>"119"</f>
        <v>119</v>
      </c>
    </row>
    <row r="2015" spans="1:6">
      <c r="A2015" t="str">
        <f>"E1226-119"</f>
        <v>E1226-119</v>
      </c>
      <c r="B2015" t="str">
        <f t="shared" si="160"/>
        <v>VIA REMIGIO VIGLIERO  29-</v>
      </c>
      <c r="C2015" t="str">
        <f t="shared" si="159"/>
        <v>RIV</v>
      </c>
      <c r="D2015">
        <v>27</v>
      </c>
      <c r="E2015" t="str">
        <f t="shared" si="158"/>
        <v>946</v>
      </c>
      <c r="F2015" t="str">
        <f>"120"</f>
        <v>120</v>
      </c>
    </row>
    <row r="2016" spans="1:6">
      <c r="A2016" t="str">
        <f>"E1226-120"</f>
        <v>E1226-120</v>
      </c>
      <c r="B2016" t="str">
        <f t="shared" si="160"/>
        <v>VIA REMIGIO VIGLIERO  29-</v>
      </c>
      <c r="C2016" t="str">
        <f t="shared" si="159"/>
        <v>RIV</v>
      </c>
      <c r="D2016">
        <v>27</v>
      </c>
      <c r="E2016" t="str">
        <f t="shared" si="158"/>
        <v>946</v>
      </c>
      <c r="F2016" t="str">
        <f>"121"</f>
        <v>121</v>
      </c>
    </row>
    <row r="2017" spans="1:6">
      <c r="A2017" t="str">
        <f>"E1226-121"</f>
        <v>E1226-121</v>
      </c>
      <c r="B2017" t="str">
        <f t="shared" si="160"/>
        <v>VIA REMIGIO VIGLIERO  29-</v>
      </c>
      <c r="C2017" t="str">
        <f t="shared" si="159"/>
        <v>RIV</v>
      </c>
      <c r="D2017">
        <v>27</v>
      </c>
      <c r="E2017" t="str">
        <f t="shared" si="158"/>
        <v>946</v>
      </c>
      <c r="F2017" t="str">
        <f>"122"</f>
        <v>122</v>
      </c>
    </row>
    <row r="2018" spans="1:6">
      <c r="A2018" t="str">
        <f>"E1226-122"</f>
        <v>E1226-122</v>
      </c>
      <c r="B2018" t="str">
        <f t="shared" si="160"/>
        <v>VIA REMIGIO VIGLIERO  29-</v>
      </c>
      <c r="C2018" t="str">
        <f t="shared" si="159"/>
        <v>RIV</v>
      </c>
      <c r="D2018">
        <v>27</v>
      </c>
      <c r="E2018" t="str">
        <f t="shared" si="158"/>
        <v>946</v>
      </c>
      <c r="F2018" t="str">
        <f>"123"</f>
        <v>123</v>
      </c>
    </row>
    <row r="2019" spans="1:6">
      <c r="A2019" t="str">
        <f>"E1229-1"</f>
        <v>E1229-1</v>
      </c>
      <c r="B2019" t="str">
        <f>"VIA GUIDO POLI  10B-"</f>
        <v>VIA GUIDO POLI  10B-</v>
      </c>
      <c r="C2019" t="str">
        <f>"PON"</f>
        <v>PON</v>
      </c>
      <c r="D2019">
        <v>4</v>
      </c>
      <c r="E2019" t="str">
        <f>"186"</f>
        <v>186</v>
      </c>
      <c r="F2019" t="str">
        <f>"1"</f>
        <v>1</v>
      </c>
    </row>
    <row r="2020" spans="1:6">
      <c r="A2020" t="str">
        <f>"E1229-2"</f>
        <v>E1229-2</v>
      </c>
      <c r="B2020" t="str">
        <f>"VIA GUIDO POLI  12-"</f>
        <v>VIA GUIDO POLI  12-</v>
      </c>
      <c r="C2020" t="str">
        <f>"PON"</f>
        <v>PON</v>
      </c>
      <c r="D2020">
        <v>4</v>
      </c>
      <c r="E2020" t="str">
        <f>"186"</f>
        <v>186</v>
      </c>
      <c r="F2020" t="str">
        <f>"2"</f>
        <v>2</v>
      </c>
    </row>
    <row r="2021" spans="1:6">
      <c r="A2021" t="str">
        <f>"E1229-3"</f>
        <v>E1229-3</v>
      </c>
      <c r="B2021" t="str">
        <f>"VIA GUIDO POLI  12-"</f>
        <v>VIA GUIDO POLI  12-</v>
      </c>
      <c r="C2021" t="str">
        <f>"PON"</f>
        <v>PON</v>
      </c>
      <c r="D2021">
        <v>4</v>
      </c>
      <c r="E2021" t="str">
        <f>"186"</f>
        <v>186</v>
      </c>
      <c r="F2021" t="str">
        <f>"3"</f>
        <v>3</v>
      </c>
    </row>
    <row r="2022" spans="1:6">
      <c r="A2022" t="str">
        <f>"E1229-4"</f>
        <v>E1229-4</v>
      </c>
      <c r="B2022" t="str">
        <f>"VIA GIACOMO RIVERA  1-"</f>
        <v>VIA GIACOMO RIVERA  1-</v>
      </c>
      <c r="C2022" t="str">
        <f>"PON"</f>
        <v>PON</v>
      </c>
      <c r="D2022">
        <v>4</v>
      </c>
      <c r="E2022" t="str">
        <f>"186"</f>
        <v>186</v>
      </c>
      <c r="F2022" t="str">
        <f>"4"</f>
        <v>4</v>
      </c>
    </row>
    <row r="2023" spans="1:6">
      <c r="A2023" t="str">
        <f>"E1229-5"</f>
        <v>E1229-5</v>
      </c>
      <c r="B2023" t="str">
        <f>"VIA GIACOMO RIVERA  1-"</f>
        <v>VIA GIACOMO RIVERA  1-</v>
      </c>
      <c r="C2023" t="str">
        <f>"PON"</f>
        <v>PON</v>
      </c>
      <c r="D2023">
        <v>4</v>
      </c>
      <c r="E2023" t="str">
        <f>"432"</f>
        <v>432</v>
      </c>
      <c r="F2023" t="str">
        <f>"0000"</f>
        <v>0000</v>
      </c>
    </row>
    <row r="2024" spans="1:6">
      <c r="A2024" t="str">
        <f>"E1230-1"</f>
        <v>E1230-1</v>
      </c>
      <c r="B2024" t="str">
        <f>"VIA NATALE GALLINO  51-"</f>
        <v>VIA NATALE GALLINO  51-</v>
      </c>
      <c r="C2024" t="str">
        <f>"4"</f>
        <v>4</v>
      </c>
      <c r="D2024">
        <v>2</v>
      </c>
      <c r="E2024" t="str">
        <f>"398"</f>
        <v>398</v>
      </c>
      <c r="F2024" t="str">
        <f>"0000"</f>
        <v>0000</v>
      </c>
    </row>
    <row r="2025" spans="1:6">
      <c r="A2025" t="str">
        <f>"E1231-1"</f>
        <v>E1231-1</v>
      </c>
      <c r="B2025" t="str">
        <f t="shared" ref="B2025:B2047" si="161">"VIA VIRGILIO BROCCHI  52-"</f>
        <v>VIA VIRGILIO BROCCHI  52-</v>
      </c>
      <c r="C2025" t="str">
        <f t="shared" ref="C2025:C2043" si="162">"RIV"</f>
        <v>RIV</v>
      </c>
      <c r="D2025">
        <v>23</v>
      </c>
      <c r="E2025" t="str">
        <f t="shared" ref="E2025:E2056" si="163">"258"</f>
        <v>258</v>
      </c>
      <c r="F2025" t="str">
        <f>"48"</f>
        <v>48</v>
      </c>
    </row>
    <row r="2026" spans="1:6">
      <c r="A2026" t="str">
        <f>"E1231-2"</f>
        <v>E1231-2</v>
      </c>
      <c r="B2026" t="str">
        <f t="shared" si="161"/>
        <v>VIA VIRGILIO BROCCHI  52-</v>
      </c>
      <c r="C2026" t="str">
        <f t="shared" si="162"/>
        <v>RIV</v>
      </c>
      <c r="D2026">
        <v>23</v>
      </c>
      <c r="E2026" t="str">
        <f t="shared" si="163"/>
        <v>258</v>
      </c>
      <c r="F2026" t="str">
        <f>"49"</f>
        <v>49</v>
      </c>
    </row>
    <row r="2027" spans="1:6">
      <c r="A2027" t="str">
        <f>"E1231-3"</f>
        <v>E1231-3</v>
      </c>
      <c r="B2027" t="str">
        <f t="shared" si="161"/>
        <v>VIA VIRGILIO BROCCHI  52-</v>
      </c>
      <c r="C2027" t="str">
        <f t="shared" si="162"/>
        <v>RIV</v>
      </c>
      <c r="D2027">
        <v>23</v>
      </c>
      <c r="E2027" t="str">
        <f t="shared" si="163"/>
        <v>258</v>
      </c>
      <c r="F2027" t="str">
        <f>"50"</f>
        <v>50</v>
      </c>
    </row>
    <row r="2028" spans="1:6">
      <c r="A2028" t="str">
        <f>"E1231-4"</f>
        <v>E1231-4</v>
      </c>
      <c r="B2028" t="str">
        <f t="shared" si="161"/>
        <v>VIA VIRGILIO BROCCHI  52-</v>
      </c>
      <c r="C2028" t="str">
        <f t="shared" si="162"/>
        <v>RIV</v>
      </c>
      <c r="D2028">
        <v>23</v>
      </c>
      <c r="E2028" t="str">
        <f t="shared" si="163"/>
        <v>258</v>
      </c>
      <c r="F2028" t="str">
        <f>"61"</f>
        <v>61</v>
      </c>
    </row>
    <row r="2029" spans="1:6">
      <c r="A2029" t="str">
        <f>"E1231-5"</f>
        <v>E1231-5</v>
      </c>
      <c r="B2029" t="str">
        <f t="shared" si="161"/>
        <v>VIA VIRGILIO BROCCHI  52-</v>
      </c>
      <c r="C2029" t="str">
        <f t="shared" si="162"/>
        <v>RIV</v>
      </c>
      <c r="D2029">
        <v>23</v>
      </c>
      <c r="E2029" t="str">
        <f t="shared" si="163"/>
        <v>258</v>
      </c>
      <c r="F2029" t="str">
        <f>"62"</f>
        <v>62</v>
      </c>
    </row>
    <row r="2030" spans="1:6">
      <c r="A2030" t="str">
        <f>"E1231-6"</f>
        <v>E1231-6</v>
      </c>
      <c r="B2030" t="str">
        <f t="shared" si="161"/>
        <v>VIA VIRGILIO BROCCHI  52-</v>
      </c>
      <c r="C2030" t="str">
        <f t="shared" si="162"/>
        <v>RIV</v>
      </c>
      <c r="D2030">
        <v>23</v>
      </c>
      <c r="E2030" t="str">
        <f t="shared" si="163"/>
        <v>258</v>
      </c>
      <c r="F2030" t="str">
        <f>"63"</f>
        <v>63</v>
      </c>
    </row>
    <row r="2031" spans="1:6">
      <c r="A2031" t="str">
        <f>"E1231-7"</f>
        <v>E1231-7</v>
      </c>
      <c r="B2031" t="str">
        <f t="shared" si="161"/>
        <v>VIA VIRGILIO BROCCHI  52-</v>
      </c>
      <c r="C2031" t="str">
        <f t="shared" si="162"/>
        <v>RIV</v>
      </c>
      <c r="D2031">
        <v>23</v>
      </c>
      <c r="E2031" t="str">
        <f t="shared" si="163"/>
        <v>258</v>
      </c>
      <c r="F2031" t="str">
        <f>"64"</f>
        <v>64</v>
      </c>
    </row>
    <row r="2032" spans="1:6">
      <c r="A2032" t="str">
        <f>"E1231-8"</f>
        <v>E1231-8</v>
      </c>
      <c r="B2032" t="str">
        <f t="shared" si="161"/>
        <v>VIA VIRGILIO BROCCHI  52-</v>
      </c>
      <c r="C2032" t="str">
        <f t="shared" si="162"/>
        <v>RIV</v>
      </c>
      <c r="D2032">
        <v>23</v>
      </c>
      <c r="E2032" t="str">
        <f t="shared" si="163"/>
        <v>258</v>
      </c>
      <c r="F2032" t="str">
        <f>"75"</f>
        <v>75</v>
      </c>
    </row>
    <row r="2033" spans="1:6">
      <c r="A2033" t="str">
        <f>"E1231-9"</f>
        <v>E1231-9</v>
      </c>
      <c r="B2033" t="str">
        <f t="shared" si="161"/>
        <v>VIA VIRGILIO BROCCHI  52-</v>
      </c>
      <c r="C2033" t="str">
        <f t="shared" si="162"/>
        <v>RIV</v>
      </c>
      <c r="D2033">
        <v>23</v>
      </c>
      <c r="E2033" t="str">
        <f t="shared" si="163"/>
        <v>258</v>
      </c>
      <c r="F2033" t="str">
        <f>"76"</f>
        <v>76</v>
      </c>
    </row>
    <row r="2034" spans="1:6">
      <c r="A2034" t="str">
        <f>"E1231-10"</f>
        <v>E1231-10</v>
      </c>
      <c r="B2034" t="str">
        <f t="shared" si="161"/>
        <v>VIA VIRGILIO BROCCHI  52-</v>
      </c>
      <c r="C2034" t="str">
        <f t="shared" si="162"/>
        <v>RIV</v>
      </c>
      <c r="D2034">
        <v>23</v>
      </c>
      <c r="E2034" t="str">
        <f t="shared" si="163"/>
        <v>258</v>
      </c>
      <c r="F2034" t="str">
        <f>"77"</f>
        <v>77</v>
      </c>
    </row>
    <row r="2035" spans="1:6">
      <c r="A2035" t="str">
        <f>"E1231-11"</f>
        <v>E1231-11</v>
      </c>
      <c r="B2035" t="str">
        <f t="shared" si="161"/>
        <v>VIA VIRGILIO BROCCHI  52-</v>
      </c>
      <c r="C2035" t="str">
        <f t="shared" si="162"/>
        <v>RIV</v>
      </c>
      <c r="D2035">
        <v>23</v>
      </c>
      <c r="E2035" t="str">
        <f t="shared" si="163"/>
        <v>258</v>
      </c>
      <c r="F2035" t="str">
        <f>"78"</f>
        <v>78</v>
      </c>
    </row>
    <row r="2036" spans="1:6">
      <c r="A2036" t="str">
        <f>"E1231-12"</f>
        <v>E1231-12</v>
      </c>
      <c r="B2036" t="str">
        <f t="shared" si="161"/>
        <v>VIA VIRGILIO BROCCHI  52-</v>
      </c>
      <c r="C2036" t="str">
        <f t="shared" si="162"/>
        <v>RIV</v>
      </c>
      <c r="D2036">
        <v>23</v>
      </c>
      <c r="E2036" t="str">
        <f t="shared" si="163"/>
        <v>258</v>
      </c>
      <c r="F2036" t="str">
        <f>"89"</f>
        <v>89</v>
      </c>
    </row>
    <row r="2037" spans="1:6">
      <c r="A2037" t="str">
        <f>"E1231-13"</f>
        <v>E1231-13</v>
      </c>
      <c r="B2037" t="str">
        <f t="shared" si="161"/>
        <v>VIA VIRGILIO BROCCHI  52-</v>
      </c>
      <c r="C2037" t="str">
        <f t="shared" si="162"/>
        <v>RIV</v>
      </c>
      <c r="D2037">
        <v>23</v>
      </c>
      <c r="E2037" t="str">
        <f t="shared" si="163"/>
        <v>258</v>
      </c>
      <c r="F2037" t="str">
        <f>"90"</f>
        <v>90</v>
      </c>
    </row>
    <row r="2038" spans="1:6">
      <c r="A2038" t="str">
        <f>"E1231-14"</f>
        <v>E1231-14</v>
      </c>
      <c r="B2038" t="str">
        <f t="shared" si="161"/>
        <v>VIA VIRGILIO BROCCHI  52-</v>
      </c>
      <c r="C2038" t="str">
        <f t="shared" si="162"/>
        <v>RIV</v>
      </c>
      <c r="D2038">
        <v>23</v>
      </c>
      <c r="E2038" t="str">
        <f t="shared" si="163"/>
        <v>258</v>
      </c>
      <c r="F2038" t="str">
        <f>"91"</f>
        <v>91</v>
      </c>
    </row>
    <row r="2039" spans="1:6">
      <c r="A2039" t="str">
        <f>"E1231-15"</f>
        <v>E1231-15</v>
      </c>
      <c r="B2039" t="str">
        <f t="shared" si="161"/>
        <v>VIA VIRGILIO BROCCHI  52-</v>
      </c>
      <c r="C2039" t="str">
        <f t="shared" si="162"/>
        <v>RIV</v>
      </c>
      <c r="D2039">
        <v>23</v>
      </c>
      <c r="E2039" t="str">
        <f t="shared" si="163"/>
        <v>258</v>
      </c>
      <c r="F2039" t="str">
        <f>"92"</f>
        <v>92</v>
      </c>
    </row>
    <row r="2040" spans="1:6">
      <c r="A2040" t="str">
        <f>"E1231-16"</f>
        <v>E1231-16</v>
      </c>
      <c r="B2040" t="str">
        <f t="shared" si="161"/>
        <v>VIA VIRGILIO BROCCHI  52-</v>
      </c>
      <c r="C2040" t="str">
        <f t="shared" si="162"/>
        <v>RIV</v>
      </c>
      <c r="D2040">
        <v>23</v>
      </c>
      <c r="E2040" t="str">
        <f t="shared" si="163"/>
        <v>258</v>
      </c>
      <c r="F2040" t="str">
        <f>"103"</f>
        <v>103</v>
      </c>
    </row>
    <row r="2041" spans="1:6">
      <c r="A2041" t="str">
        <f>"E1231-17"</f>
        <v>E1231-17</v>
      </c>
      <c r="B2041" t="str">
        <f t="shared" si="161"/>
        <v>VIA VIRGILIO BROCCHI  52-</v>
      </c>
      <c r="C2041" t="str">
        <f t="shared" si="162"/>
        <v>RIV</v>
      </c>
      <c r="D2041">
        <v>23</v>
      </c>
      <c r="E2041" t="str">
        <f t="shared" si="163"/>
        <v>258</v>
      </c>
      <c r="F2041" t="str">
        <f>"104"</f>
        <v>104</v>
      </c>
    </row>
    <row r="2042" spans="1:6">
      <c r="A2042" t="str">
        <f>"E1231-18"</f>
        <v>E1231-18</v>
      </c>
      <c r="B2042" t="str">
        <f t="shared" si="161"/>
        <v>VIA VIRGILIO BROCCHI  52-</v>
      </c>
      <c r="C2042" t="str">
        <f t="shared" si="162"/>
        <v>RIV</v>
      </c>
      <c r="D2042">
        <v>23</v>
      </c>
      <c r="E2042" t="str">
        <f t="shared" si="163"/>
        <v>258</v>
      </c>
      <c r="F2042" t="str">
        <f>"105"</f>
        <v>105</v>
      </c>
    </row>
    <row r="2043" spans="1:6">
      <c r="A2043" t="str">
        <f>"E1231-19"</f>
        <v>E1231-19</v>
      </c>
      <c r="B2043" t="str">
        <f t="shared" si="161"/>
        <v>VIA VIRGILIO BROCCHI  52-</v>
      </c>
      <c r="C2043" t="str">
        <f t="shared" si="162"/>
        <v>RIV</v>
      </c>
      <c r="D2043">
        <v>23</v>
      </c>
      <c r="E2043" t="str">
        <f t="shared" si="163"/>
        <v>258</v>
      </c>
      <c r="F2043" t="str">
        <f>"106"</f>
        <v>106</v>
      </c>
    </row>
    <row r="2044" spans="1:6">
      <c r="A2044" t="str">
        <f>"E1231-20"</f>
        <v>E1231-20</v>
      </c>
      <c r="B2044" t="str">
        <f t="shared" si="161"/>
        <v>VIA VIRGILIO BROCCHI  52-</v>
      </c>
      <c r="C2044" t="str">
        <f>"4"</f>
        <v>4</v>
      </c>
      <c r="D2044">
        <v>23</v>
      </c>
      <c r="E2044" t="str">
        <f t="shared" si="163"/>
        <v>258</v>
      </c>
      <c r="F2044" t="str">
        <f>"0000"</f>
        <v>0000</v>
      </c>
    </row>
    <row r="2045" spans="1:6">
      <c r="A2045" t="str">
        <f>"E1231-21"</f>
        <v>E1231-21</v>
      </c>
      <c r="B2045" t="str">
        <f t="shared" si="161"/>
        <v>VIA VIRGILIO BROCCHI  52-</v>
      </c>
      <c r="C2045" t="str">
        <f>"4"</f>
        <v>4</v>
      </c>
      <c r="D2045">
        <v>23</v>
      </c>
      <c r="E2045" t="str">
        <f t="shared" si="163"/>
        <v>258</v>
      </c>
      <c r="F2045" t="str">
        <f>"0000"</f>
        <v>0000</v>
      </c>
    </row>
    <row r="2046" spans="1:6">
      <c r="A2046" t="str">
        <f>"E1231-22"</f>
        <v>E1231-22</v>
      </c>
      <c r="B2046" t="str">
        <f t="shared" si="161"/>
        <v>VIA VIRGILIO BROCCHI  52-</v>
      </c>
      <c r="C2046" t="str">
        <f>"4"</f>
        <v>4</v>
      </c>
      <c r="D2046">
        <v>23</v>
      </c>
      <c r="E2046" t="str">
        <f t="shared" si="163"/>
        <v>258</v>
      </c>
      <c r="F2046" t="str">
        <f>"0000"</f>
        <v>0000</v>
      </c>
    </row>
    <row r="2047" spans="1:6">
      <c r="A2047" t="str">
        <f>"E1231-23"</f>
        <v>E1231-23</v>
      </c>
      <c r="B2047" t="str">
        <f t="shared" si="161"/>
        <v>VIA VIRGILIO BROCCHI  52-</v>
      </c>
      <c r="C2047" t="str">
        <f>"4"</f>
        <v>4</v>
      </c>
      <c r="D2047">
        <v>23</v>
      </c>
      <c r="E2047" t="str">
        <f t="shared" si="163"/>
        <v>258</v>
      </c>
      <c r="F2047" t="str">
        <f>"0000"</f>
        <v>0000</v>
      </c>
    </row>
    <row r="2048" spans="1:6">
      <c r="A2048" t="str">
        <f>"E1231-24"</f>
        <v>E1231-24</v>
      </c>
      <c r="B2048" t="str">
        <f t="shared" ref="B2048:B2063" si="164">"VIA VIRGILIO BROCCHI  54-"</f>
        <v>VIA VIRGILIO BROCCHI  54-</v>
      </c>
      <c r="C2048" t="str">
        <f t="shared" ref="C2048:C2060" si="165">"RIV"</f>
        <v>RIV</v>
      </c>
      <c r="D2048">
        <v>23</v>
      </c>
      <c r="E2048" t="str">
        <f t="shared" si="163"/>
        <v>258</v>
      </c>
      <c r="F2048" t="str">
        <f>"42"</f>
        <v>42</v>
      </c>
    </row>
    <row r="2049" spans="1:6">
      <c r="A2049" t="str">
        <f>"E1231-25"</f>
        <v>E1231-25</v>
      </c>
      <c r="B2049" t="str">
        <f t="shared" si="164"/>
        <v>VIA VIRGILIO BROCCHI  54-</v>
      </c>
      <c r="C2049" t="str">
        <f t="shared" si="165"/>
        <v>RIV</v>
      </c>
      <c r="D2049">
        <v>23</v>
      </c>
      <c r="E2049" t="str">
        <f t="shared" si="163"/>
        <v>258</v>
      </c>
      <c r="F2049" t="str">
        <f>"58"</f>
        <v>58</v>
      </c>
    </row>
    <row r="2050" spans="1:6">
      <c r="A2050" t="str">
        <f>"E1231-26"</f>
        <v>E1231-26</v>
      </c>
      <c r="B2050" t="str">
        <f t="shared" si="164"/>
        <v>VIA VIRGILIO BROCCHI  54-</v>
      </c>
      <c r="C2050" t="str">
        <f t="shared" si="165"/>
        <v>RIV</v>
      </c>
      <c r="D2050">
        <v>23</v>
      </c>
      <c r="E2050" t="str">
        <f t="shared" si="163"/>
        <v>258</v>
      </c>
      <c r="F2050" t="str">
        <f>"59"</f>
        <v>59</v>
      </c>
    </row>
    <row r="2051" spans="1:6">
      <c r="A2051" t="str">
        <f>"E1231-27"</f>
        <v>E1231-27</v>
      </c>
      <c r="B2051" t="str">
        <f t="shared" si="164"/>
        <v>VIA VIRGILIO BROCCHI  54-</v>
      </c>
      <c r="C2051" t="str">
        <f t="shared" si="165"/>
        <v>RIV</v>
      </c>
      <c r="D2051">
        <v>23</v>
      </c>
      <c r="E2051" t="str">
        <f t="shared" si="163"/>
        <v>258</v>
      </c>
      <c r="F2051" t="str">
        <f>"60"</f>
        <v>60</v>
      </c>
    </row>
    <row r="2052" spans="1:6">
      <c r="A2052" t="str">
        <f>"E1231-28"</f>
        <v>E1231-28</v>
      </c>
      <c r="B2052" t="str">
        <f t="shared" si="164"/>
        <v>VIA VIRGILIO BROCCHI  54-</v>
      </c>
      <c r="C2052" t="str">
        <f t="shared" si="165"/>
        <v>RIV</v>
      </c>
      <c r="D2052">
        <v>23</v>
      </c>
      <c r="E2052" t="str">
        <f t="shared" si="163"/>
        <v>258</v>
      </c>
      <c r="F2052" t="str">
        <f>"72"</f>
        <v>72</v>
      </c>
    </row>
    <row r="2053" spans="1:6">
      <c r="A2053" t="str">
        <f>"E1231-29"</f>
        <v>E1231-29</v>
      </c>
      <c r="B2053" t="str">
        <f t="shared" si="164"/>
        <v>VIA VIRGILIO BROCCHI  54-</v>
      </c>
      <c r="C2053" t="str">
        <f t="shared" si="165"/>
        <v>RIV</v>
      </c>
      <c r="D2053">
        <v>23</v>
      </c>
      <c r="E2053" t="str">
        <f t="shared" si="163"/>
        <v>258</v>
      </c>
      <c r="F2053" t="str">
        <f>"73"</f>
        <v>73</v>
      </c>
    </row>
    <row r="2054" spans="1:6">
      <c r="A2054" t="str">
        <f>"E1231-30"</f>
        <v>E1231-30</v>
      </c>
      <c r="B2054" t="str">
        <f t="shared" si="164"/>
        <v>VIA VIRGILIO BROCCHI  54-</v>
      </c>
      <c r="C2054" t="str">
        <f t="shared" si="165"/>
        <v>RIV</v>
      </c>
      <c r="D2054">
        <v>23</v>
      </c>
      <c r="E2054" t="str">
        <f t="shared" si="163"/>
        <v>258</v>
      </c>
      <c r="F2054" t="str">
        <f>"74"</f>
        <v>74</v>
      </c>
    </row>
    <row r="2055" spans="1:6">
      <c r="A2055" t="str">
        <f>"E1231-31"</f>
        <v>E1231-31</v>
      </c>
      <c r="B2055" t="str">
        <f t="shared" si="164"/>
        <v>VIA VIRGILIO BROCCHI  54-</v>
      </c>
      <c r="C2055" t="str">
        <f t="shared" si="165"/>
        <v>RIV</v>
      </c>
      <c r="D2055">
        <v>23</v>
      </c>
      <c r="E2055" t="str">
        <f t="shared" si="163"/>
        <v>258</v>
      </c>
      <c r="F2055" t="str">
        <f>"86"</f>
        <v>86</v>
      </c>
    </row>
    <row r="2056" spans="1:6">
      <c r="A2056" t="str">
        <f>"E1231-32"</f>
        <v>E1231-32</v>
      </c>
      <c r="B2056" t="str">
        <f t="shared" si="164"/>
        <v>VIA VIRGILIO BROCCHI  54-</v>
      </c>
      <c r="C2056" t="str">
        <f t="shared" si="165"/>
        <v>RIV</v>
      </c>
      <c r="D2056">
        <v>23</v>
      </c>
      <c r="E2056" t="str">
        <f t="shared" si="163"/>
        <v>258</v>
      </c>
      <c r="F2056" t="str">
        <f>"87"</f>
        <v>87</v>
      </c>
    </row>
    <row r="2057" spans="1:6">
      <c r="A2057" t="str">
        <f>"E1231-33"</f>
        <v>E1231-33</v>
      </c>
      <c r="B2057" t="str">
        <f t="shared" si="164"/>
        <v>VIA VIRGILIO BROCCHI  54-</v>
      </c>
      <c r="C2057" t="str">
        <f t="shared" si="165"/>
        <v>RIV</v>
      </c>
      <c r="D2057">
        <v>23</v>
      </c>
      <c r="E2057" t="str">
        <f t="shared" ref="E2057:E2088" si="166">"258"</f>
        <v>258</v>
      </c>
      <c r="F2057" t="str">
        <f>"88"</f>
        <v>88</v>
      </c>
    </row>
    <row r="2058" spans="1:6">
      <c r="A2058" t="str">
        <f>"E1231-34"</f>
        <v>E1231-34</v>
      </c>
      <c r="B2058" t="str">
        <f t="shared" si="164"/>
        <v>VIA VIRGILIO BROCCHI  54-</v>
      </c>
      <c r="C2058" t="str">
        <f t="shared" si="165"/>
        <v>RIV</v>
      </c>
      <c r="D2058">
        <v>23</v>
      </c>
      <c r="E2058" t="str">
        <f t="shared" si="166"/>
        <v>258</v>
      </c>
      <c r="F2058" t="str">
        <f>"100"</f>
        <v>100</v>
      </c>
    </row>
    <row r="2059" spans="1:6">
      <c r="A2059" t="str">
        <f>"E1231-35"</f>
        <v>E1231-35</v>
      </c>
      <c r="B2059" t="str">
        <f t="shared" si="164"/>
        <v>VIA VIRGILIO BROCCHI  54-</v>
      </c>
      <c r="C2059" t="str">
        <f t="shared" si="165"/>
        <v>RIV</v>
      </c>
      <c r="D2059">
        <v>23</v>
      </c>
      <c r="E2059" t="str">
        <f t="shared" si="166"/>
        <v>258</v>
      </c>
      <c r="F2059" t="str">
        <f>"101"</f>
        <v>101</v>
      </c>
    </row>
    <row r="2060" spans="1:6">
      <c r="A2060" t="str">
        <f>"E1231-36"</f>
        <v>E1231-36</v>
      </c>
      <c r="B2060" t="str">
        <f t="shared" si="164"/>
        <v>VIA VIRGILIO BROCCHI  54-</v>
      </c>
      <c r="C2060" t="str">
        <f t="shared" si="165"/>
        <v>RIV</v>
      </c>
      <c r="D2060">
        <v>23</v>
      </c>
      <c r="E2060" t="str">
        <f t="shared" si="166"/>
        <v>258</v>
      </c>
      <c r="F2060" t="str">
        <f>"102"</f>
        <v>102</v>
      </c>
    </row>
    <row r="2061" spans="1:6">
      <c r="A2061" t="str">
        <f>"E1231-37"</f>
        <v>E1231-37</v>
      </c>
      <c r="B2061" t="str">
        <f t="shared" si="164"/>
        <v>VIA VIRGILIO BROCCHI  54-</v>
      </c>
      <c r="C2061" t="str">
        <f>"4"</f>
        <v>4</v>
      </c>
      <c r="D2061">
        <v>23</v>
      </c>
      <c r="E2061" t="str">
        <f t="shared" si="166"/>
        <v>258</v>
      </c>
      <c r="F2061" t="str">
        <f>"0000"</f>
        <v>0000</v>
      </c>
    </row>
    <row r="2062" spans="1:6">
      <c r="A2062" t="str">
        <f>"E1231-38"</f>
        <v>E1231-38</v>
      </c>
      <c r="B2062" t="str">
        <f t="shared" si="164"/>
        <v>VIA VIRGILIO BROCCHI  54-</v>
      </c>
      <c r="C2062" t="str">
        <f>"4"</f>
        <v>4</v>
      </c>
      <c r="D2062">
        <v>23</v>
      </c>
      <c r="E2062" t="str">
        <f t="shared" si="166"/>
        <v>258</v>
      </c>
      <c r="F2062" t="str">
        <f>"0000"</f>
        <v>0000</v>
      </c>
    </row>
    <row r="2063" spans="1:6">
      <c r="A2063" t="str">
        <f>"E1231-39"</f>
        <v>E1231-39</v>
      </c>
      <c r="B2063" t="str">
        <f t="shared" si="164"/>
        <v>VIA VIRGILIO BROCCHI  54-</v>
      </c>
      <c r="C2063" t="str">
        <f>"4"</f>
        <v>4</v>
      </c>
      <c r="D2063">
        <v>23</v>
      </c>
      <c r="E2063" t="str">
        <f t="shared" si="166"/>
        <v>258</v>
      </c>
      <c r="F2063" t="str">
        <f>"0000"</f>
        <v>0000</v>
      </c>
    </row>
    <row r="2064" spans="1:6">
      <c r="A2064" t="str">
        <f>"E1231-44"</f>
        <v>E1231-44</v>
      </c>
      <c r="B2064" t="str">
        <f t="shared" ref="B2064:B2079" si="167">"VIA VIRGILIO BROCCHI  56-"</f>
        <v>VIA VIRGILIO BROCCHI  56-</v>
      </c>
      <c r="C2064" t="str">
        <f t="shared" ref="C2064:C2076" si="168">"RIV"</f>
        <v>RIV</v>
      </c>
      <c r="D2064">
        <v>23</v>
      </c>
      <c r="E2064" t="str">
        <f t="shared" si="166"/>
        <v>258</v>
      </c>
      <c r="F2064" t="str">
        <f>"36"</f>
        <v>36</v>
      </c>
    </row>
    <row r="2065" spans="1:6">
      <c r="A2065" t="str">
        <f>"E1231-45"</f>
        <v>E1231-45</v>
      </c>
      <c r="B2065" t="str">
        <f t="shared" si="167"/>
        <v>VIA VIRGILIO BROCCHI  56-</v>
      </c>
      <c r="C2065" t="str">
        <f t="shared" si="168"/>
        <v>RIV</v>
      </c>
      <c r="D2065">
        <v>23</v>
      </c>
      <c r="E2065" t="str">
        <f t="shared" si="166"/>
        <v>258</v>
      </c>
      <c r="F2065" t="str">
        <f>"55"</f>
        <v>55</v>
      </c>
    </row>
    <row r="2066" spans="1:6">
      <c r="A2066" t="str">
        <f>"E1231-46"</f>
        <v>E1231-46</v>
      </c>
      <c r="B2066" t="str">
        <f t="shared" si="167"/>
        <v>VIA VIRGILIO BROCCHI  56-</v>
      </c>
      <c r="C2066" t="str">
        <f t="shared" si="168"/>
        <v>RIV</v>
      </c>
      <c r="D2066">
        <v>23</v>
      </c>
      <c r="E2066" t="str">
        <f t="shared" si="166"/>
        <v>258</v>
      </c>
      <c r="F2066" t="str">
        <f>"56"</f>
        <v>56</v>
      </c>
    </row>
    <row r="2067" spans="1:6">
      <c r="A2067" t="str">
        <f>"E1231-47"</f>
        <v>E1231-47</v>
      </c>
      <c r="B2067" t="str">
        <f t="shared" si="167"/>
        <v>VIA VIRGILIO BROCCHI  56-</v>
      </c>
      <c r="C2067" t="str">
        <f t="shared" si="168"/>
        <v>RIV</v>
      </c>
      <c r="D2067">
        <v>23</v>
      </c>
      <c r="E2067" t="str">
        <f t="shared" si="166"/>
        <v>258</v>
      </c>
      <c r="F2067" t="str">
        <f>"57"</f>
        <v>57</v>
      </c>
    </row>
    <row r="2068" spans="1:6">
      <c r="A2068" t="str">
        <f>"E1231-48"</f>
        <v>E1231-48</v>
      </c>
      <c r="B2068" t="str">
        <f t="shared" si="167"/>
        <v>VIA VIRGILIO BROCCHI  56-</v>
      </c>
      <c r="C2068" t="str">
        <f t="shared" si="168"/>
        <v>RIV</v>
      </c>
      <c r="D2068">
        <v>23</v>
      </c>
      <c r="E2068" t="str">
        <f t="shared" si="166"/>
        <v>258</v>
      </c>
      <c r="F2068" t="str">
        <f>"69"</f>
        <v>69</v>
      </c>
    </row>
    <row r="2069" spans="1:6">
      <c r="A2069" t="str">
        <f>"E1231-49"</f>
        <v>E1231-49</v>
      </c>
      <c r="B2069" t="str">
        <f t="shared" si="167"/>
        <v>VIA VIRGILIO BROCCHI  56-</v>
      </c>
      <c r="C2069" t="str">
        <f t="shared" si="168"/>
        <v>RIV</v>
      </c>
      <c r="D2069">
        <v>23</v>
      </c>
      <c r="E2069" t="str">
        <f t="shared" si="166"/>
        <v>258</v>
      </c>
      <c r="F2069" t="str">
        <f>"70"</f>
        <v>70</v>
      </c>
    </row>
    <row r="2070" spans="1:6">
      <c r="A2070" t="str">
        <f>"E1231-50"</f>
        <v>E1231-50</v>
      </c>
      <c r="B2070" t="str">
        <f t="shared" si="167"/>
        <v>VIA VIRGILIO BROCCHI  56-</v>
      </c>
      <c r="C2070" t="str">
        <f t="shared" si="168"/>
        <v>RIV</v>
      </c>
      <c r="D2070">
        <v>23</v>
      </c>
      <c r="E2070" t="str">
        <f t="shared" si="166"/>
        <v>258</v>
      </c>
      <c r="F2070" t="str">
        <f>"71"</f>
        <v>71</v>
      </c>
    </row>
    <row r="2071" spans="1:6">
      <c r="A2071" t="str">
        <f>"E1231-51"</f>
        <v>E1231-51</v>
      </c>
      <c r="B2071" t="str">
        <f t="shared" si="167"/>
        <v>VIA VIRGILIO BROCCHI  56-</v>
      </c>
      <c r="C2071" t="str">
        <f t="shared" si="168"/>
        <v>RIV</v>
      </c>
      <c r="D2071">
        <v>23</v>
      </c>
      <c r="E2071" t="str">
        <f t="shared" si="166"/>
        <v>258</v>
      </c>
      <c r="F2071" t="str">
        <f>"83"</f>
        <v>83</v>
      </c>
    </row>
    <row r="2072" spans="1:6">
      <c r="A2072" t="str">
        <f>"E1231-52"</f>
        <v>E1231-52</v>
      </c>
      <c r="B2072" t="str">
        <f t="shared" si="167"/>
        <v>VIA VIRGILIO BROCCHI  56-</v>
      </c>
      <c r="C2072" t="str">
        <f t="shared" si="168"/>
        <v>RIV</v>
      </c>
      <c r="D2072">
        <v>23</v>
      </c>
      <c r="E2072" t="str">
        <f t="shared" si="166"/>
        <v>258</v>
      </c>
      <c r="F2072" t="str">
        <f>"84"</f>
        <v>84</v>
      </c>
    </row>
    <row r="2073" spans="1:6">
      <c r="A2073" t="str">
        <f>"E1231-53"</f>
        <v>E1231-53</v>
      </c>
      <c r="B2073" t="str">
        <f t="shared" si="167"/>
        <v>VIA VIRGILIO BROCCHI  56-</v>
      </c>
      <c r="C2073" t="str">
        <f t="shared" si="168"/>
        <v>RIV</v>
      </c>
      <c r="D2073">
        <v>23</v>
      </c>
      <c r="E2073" t="str">
        <f t="shared" si="166"/>
        <v>258</v>
      </c>
      <c r="F2073" t="str">
        <f>"85"</f>
        <v>85</v>
      </c>
    </row>
    <row r="2074" spans="1:6">
      <c r="A2074" t="str">
        <f>"E1231-54"</f>
        <v>E1231-54</v>
      </c>
      <c r="B2074" t="str">
        <f t="shared" si="167"/>
        <v>VIA VIRGILIO BROCCHI  56-</v>
      </c>
      <c r="C2074" t="str">
        <f t="shared" si="168"/>
        <v>RIV</v>
      </c>
      <c r="D2074">
        <v>23</v>
      </c>
      <c r="E2074" t="str">
        <f t="shared" si="166"/>
        <v>258</v>
      </c>
      <c r="F2074" t="str">
        <f>"97"</f>
        <v>97</v>
      </c>
    </row>
    <row r="2075" spans="1:6">
      <c r="A2075" t="str">
        <f>"E1231-55"</f>
        <v>E1231-55</v>
      </c>
      <c r="B2075" t="str">
        <f t="shared" si="167"/>
        <v>VIA VIRGILIO BROCCHI  56-</v>
      </c>
      <c r="C2075" t="str">
        <f t="shared" si="168"/>
        <v>RIV</v>
      </c>
      <c r="D2075">
        <v>23</v>
      </c>
      <c r="E2075" t="str">
        <f t="shared" si="166"/>
        <v>258</v>
      </c>
      <c r="F2075" t="str">
        <f>"98"</f>
        <v>98</v>
      </c>
    </row>
    <row r="2076" spans="1:6">
      <c r="A2076" t="str">
        <f>"E1231-56"</f>
        <v>E1231-56</v>
      </c>
      <c r="B2076" t="str">
        <f t="shared" si="167"/>
        <v>VIA VIRGILIO BROCCHI  56-</v>
      </c>
      <c r="C2076" t="str">
        <f t="shared" si="168"/>
        <v>RIV</v>
      </c>
      <c r="D2076">
        <v>23</v>
      </c>
      <c r="E2076" t="str">
        <f t="shared" si="166"/>
        <v>258</v>
      </c>
      <c r="F2076" t="str">
        <f>"99"</f>
        <v>99</v>
      </c>
    </row>
    <row r="2077" spans="1:6">
      <c r="A2077" t="str">
        <f>"E1231-57"</f>
        <v>E1231-57</v>
      </c>
      <c r="B2077" t="str">
        <f t="shared" si="167"/>
        <v>VIA VIRGILIO BROCCHI  56-</v>
      </c>
      <c r="C2077" t="str">
        <f>"4"</f>
        <v>4</v>
      </c>
      <c r="D2077">
        <v>23</v>
      </c>
      <c r="E2077" t="str">
        <f t="shared" si="166"/>
        <v>258</v>
      </c>
      <c r="F2077" t="str">
        <f>"0000"</f>
        <v>0000</v>
      </c>
    </row>
    <row r="2078" spans="1:6">
      <c r="A2078" t="str">
        <f>"E1231-58"</f>
        <v>E1231-58</v>
      </c>
      <c r="B2078" t="str">
        <f t="shared" si="167"/>
        <v>VIA VIRGILIO BROCCHI  56-</v>
      </c>
      <c r="C2078" t="str">
        <f>"4"</f>
        <v>4</v>
      </c>
      <c r="D2078">
        <v>23</v>
      </c>
      <c r="E2078" t="str">
        <f t="shared" si="166"/>
        <v>258</v>
      </c>
      <c r="F2078" t="str">
        <f>"0000"</f>
        <v>0000</v>
      </c>
    </row>
    <row r="2079" spans="1:6">
      <c r="A2079" t="str">
        <f>"E1231-59"</f>
        <v>E1231-59</v>
      </c>
      <c r="B2079" t="str">
        <f t="shared" si="167"/>
        <v>VIA VIRGILIO BROCCHI  56-</v>
      </c>
      <c r="C2079" t="str">
        <f>"4"</f>
        <v>4</v>
      </c>
      <c r="D2079">
        <v>23</v>
      </c>
      <c r="E2079" t="str">
        <f t="shared" si="166"/>
        <v>258</v>
      </c>
      <c r="F2079" t="str">
        <f>"0000"</f>
        <v>0000</v>
      </c>
    </row>
    <row r="2080" spans="1:6">
      <c r="A2080" t="str">
        <f>"E1231-64"</f>
        <v>E1231-64</v>
      </c>
      <c r="B2080" t="str">
        <f t="shared" ref="B2080:B2127" si="169">"VIA VIRGILIO BROCCHI  58-"</f>
        <v>VIA VIRGILIO BROCCHI  58-</v>
      </c>
      <c r="C2080" t="str">
        <f t="shared" ref="C2080:C2098" si="170">"RIV"</f>
        <v>RIV</v>
      </c>
      <c r="D2080">
        <v>23</v>
      </c>
      <c r="E2080" t="str">
        <f t="shared" si="166"/>
        <v>258</v>
      </c>
      <c r="F2080" t="str">
        <f>"33"</f>
        <v>33</v>
      </c>
    </row>
    <row r="2081" spans="1:6">
      <c r="A2081" t="str">
        <f>"E1231-65"</f>
        <v>E1231-65</v>
      </c>
      <c r="B2081" t="str">
        <f t="shared" si="169"/>
        <v>VIA VIRGILIO BROCCHI  58-</v>
      </c>
      <c r="C2081" t="str">
        <f t="shared" si="170"/>
        <v>RIV</v>
      </c>
      <c r="D2081">
        <v>23</v>
      </c>
      <c r="E2081" t="str">
        <f t="shared" si="166"/>
        <v>258</v>
      </c>
      <c r="F2081" t="str">
        <f>"34"</f>
        <v>34</v>
      </c>
    </row>
    <row r="2082" spans="1:6">
      <c r="A2082" t="str">
        <f>"E1231-66"</f>
        <v>E1231-66</v>
      </c>
      <c r="B2082" t="str">
        <f t="shared" si="169"/>
        <v>VIA VIRGILIO BROCCHI  58-</v>
      </c>
      <c r="C2082" t="str">
        <f t="shared" si="170"/>
        <v>RIV</v>
      </c>
      <c r="D2082">
        <v>23</v>
      </c>
      <c r="E2082" t="str">
        <f t="shared" si="166"/>
        <v>258</v>
      </c>
      <c r="F2082" t="str">
        <f>"35"</f>
        <v>35</v>
      </c>
    </row>
    <row r="2083" spans="1:6">
      <c r="A2083" t="str">
        <f>"E1231-67"</f>
        <v>E1231-67</v>
      </c>
      <c r="B2083" t="str">
        <f t="shared" si="169"/>
        <v>VIA VIRGILIO BROCCHI  58-</v>
      </c>
      <c r="C2083" t="str">
        <f t="shared" si="170"/>
        <v>RIV</v>
      </c>
      <c r="D2083">
        <v>23</v>
      </c>
      <c r="E2083" t="str">
        <f t="shared" si="166"/>
        <v>258</v>
      </c>
      <c r="F2083" t="str">
        <f>"51"</f>
        <v>51</v>
      </c>
    </row>
    <row r="2084" spans="1:6">
      <c r="A2084" t="str">
        <f>"E1231-68"</f>
        <v>E1231-68</v>
      </c>
      <c r="B2084" t="str">
        <f t="shared" si="169"/>
        <v>VIA VIRGILIO BROCCHI  58-</v>
      </c>
      <c r="C2084" t="str">
        <f t="shared" si="170"/>
        <v>RIV</v>
      </c>
      <c r="D2084">
        <v>23</v>
      </c>
      <c r="E2084" t="str">
        <f t="shared" si="166"/>
        <v>258</v>
      </c>
      <c r="F2084" t="str">
        <f>"52"</f>
        <v>52</v>
      </c>
    </row>
    <row r="2085" spans="1:6">
      <c r="A2085" t="str">
        <f>"E1231-69"</f>
        <v>E1231-69</v>
      </c>
      <c r="B2085" t="str">
        <f t="shared" si="169"/>
        <v>VIA VIRGILIO BROCCHI  58-</v>
      </c>
      <c r="C2085" t="str">
        <f t="shared" si="170"/>
        <v>RIV</v>
      </c>
      <c r="D2085">
        <v>23</v>
      </c>
      <c r="E2085" t="str">
        <f t="shared" si="166"/>
        <v>258</v>
      </c>
      <c r="F2085" t="str">
        <f>"53"</f>
        <v>53</v>
      </c>
    </row>
    <row r="2086" spans="1:6">
      <c r="A2086" t="str">
        <f>"E1231-70"</f>
        <v>E1231-70</v>
      </c>
      <c r="B2086" t="str">
        <f t="shared" si="169"/>
        <v>VIA VIRGILIO BROCCHI  58-</v>
      </c>
      <c r="C2086" t="str">
        <f t="shared" si="170"/>
        <v>RIV</v>
      </c>
      <c r="D2086">
        <v>23</v>
      </c>
      <c r="E2086" t="str">
        <f t="shared" si="166"/>
        <v>258</v>
      </c>
      <c r="F2086" t="str">
        <f>"54"</f>
        <v>54</v>
      </c>
    </row>
    <row r="2087" spans="1:6">
      <c r="A2087" t="str">
        <f>"E1231-71"</f>
        <v>E1231-71</v>
      </c>
      <c r="B2087" t="str">
        <f t="shared" si="169"/>
        <v>VIA VIRGILIO BROCCHI  58-</v>
      </c>
      <c r="C2087" t="str">
        <f t="shared" si="170"/>
        <v>RIV</v>
      </c>
      <c r="D2087">
        <v>23</v>
      </c>
      <c r="E2087" t="str">
        <f t="shared" si="166"/>
        <v>258</v>
      </c>
      <c r="F2087" t="str">
        <f>"65"</f>
        <v>65</v>
      </c>
    </row>
    <row r="2088" spans="1:6">
      <c r="A2088" t="str">
        <f>"E1231-72"</f>
        <v>E1231-72</v>
      </c>
      <c r="B2088" t="str">
        <f t="shared" si="169"/>
        <v>VIA VIRGILIO BROCCHI  58-</v>
      </c>
      <c r="C2088" t="str">
        <f t="shared" si="170"/>
        <v>RIV</v>
      </c>
      <c r="D2088">
        <v>23</v>
      </c>
      <c r="E2088" t="str">
        <f t="shared" si="166"/>
        <v>258</v>
      </c>
      <c r="F2088" t="str">
        <f>"66"</f>
        <v>66</v>
      </c>
    </row>
    <row r="2089" spans="1:6">
      <c r="A2089" t="str">
        <f>"E1231-73"</f>
        <v>E1231-73</v>
      </c>
      <c r="B2089" t="str">
        <f t="shared" si="169"/>
        <v>VIA VIRGILIO BROCCHI  58-</v>
      </c>
      <c r="C2089" t="str">
        <f t="shared" si="170"/>
        <v>RIV</v>
      </c>
      <c r="D2089">
        <v>23</v>
      </c>
      <c r="E2089" t="str">
        <f t="shared" ref="E2089:E2120" si="171">"258"</f>
        <v>258</v>
      </c>
      <c r="F2089" t="str">
        <f>"67"</f>
        <v>67</v>
      </c>
    </row>
    <row r="2090" spans="1:6">
      <c r="A2090" t="str">
        <f>"E1231-74"</f>
        <v>E1231-74</v>
      </c>
      <c r="B2090" t="str">
        <f t="shared" si="169"/>
        <v>VIA VIRGILIO BROCCHI  58-</v>
      </c>
      <c r="C2090" t="str">
        <f t="shared" si="170"/>
        <v>RIV</v>
      </c>
      <c r="D2090">
        <v>23</v>
      </c>
      <c r="E2090" t="str">
        <f t="shared" si="171"/>
        <v>258</v>
      </c>
      <c r="F2090" t="str">
        <f>"68"</f>
        <v>68</v>
      </c>
    </row>
    <row r="2091" spans="1:6">
      <c r="A2091" t="str">
        <f>"E1231-75"</f>
        <v>E1231-75</v>
      </c>
      <c r="B2091" t="str">
        <f t="shared" si="169"/>
        <v>VIA VIRGILIO BROCCHI  58-</v>
      </c>
      <c r="C2091" t="str">
        <f t="shared" si="170"/>
        <v>RIV</v>
      </c>
      <c r="D2091">
        <v>23</v>
      </c>
      <c r="E2091" t="str">
        <f t="shared" si="171"/>
        <v>258</v>
      </c>
      <c r="F2091" t="str">
        <f>"79"</f>
        <v>79</v>
      </c>
    </row>
    <row r="2092" spans="1:6">
      <c r="A2092" t="str">
        <f>"E1231-76"</f>
        <v>E1231-76</v>
      </c>
      <c r="B2092" t="str">
        <f t="shared" si="169"/>
        <v>VIA VIRGILIO BROCCHI  58-</v>
      </c>
      <c r="C2092" t="str">
        <f t="shared" si="170"/>
        <v>RIV</v>
      </c>
      <c r="D2092">
        <v>23</v>
      </c>
      <c r="E2092" t="str">
        <f t="shared" si="171"/>
        <v>258</v>
      </c>
      <c r="F2092" t="str">
        <f>"80"</f>
        <v>80</v>
      </c>
    </row>
    <row r="2093" spans="1:6">
      <c r="A2093" t="str">
        <f>"E1231-77"</f>
        <v>E1231-77</v>
      </c>
      <c r="B2093" t="str">
        <f t="shared" si="169"/>
        <v>VIA VIRGILIO BROCCHI  58-</v>
      </c>
      <c r="C2093" t="str">
        <f t="shared" si="170"/>
        <v>RIV</v>
      </c>
      <c r="D2093">
        <v>23</v>
      </c>
      <c r="E2093" t="str">
        <f t="shared" si="171"/>
        <v>258</v>
      </c>
      <c r="F2093" t="str">
        <f>"81"</f>
        <v>81</v>
      </c>
    </row>
    <row r="2094" spans="1:6">
      <c r="A2094" t="str">
        <f>"E1231-78"</f>
        <v>E1231-78</v>
      </c>
      <c r="B2094" t="str">
        <f t="shared" si="169"/>
        <v>VIA VIRGILIO BROCCHI  58-</v>
      </c>
      <c r="C2094" t="str">
        <f t="shared" si="170"/>
        <v>RIV</v>
      </c>
      <c r="D2094">
        <v>23</v>
      </c>
      <c r="E2094" t="str">
        <f t="shared" si="171"/>
        <v>258</v>
      </c>
      <c r="F2094" t="str">
        <f>"82"</f>
        <v>82</v>
      </c>
    </row>
    <row r="2095" spans="1:6">
      <c r="A2095" t="str">
        <f>"E1231-79"</f>
        <v>E1231-79</v>
      </c>
      <c r="B2095" t="str">
        <f t="shared" si="169"/>
        <v>VIA VIRGILIO BROCCHI  58-</v>
      </c>
      <c r="C2095" t="str">
        <f t="shared" si="170"/>
        <v>RIV</v>
      </c>
      <c r="D2095">
        <v>23</v>
      </c>
      <c r="E2095" t="str">
        <f t="shared" si="171"/>
        <v>258</v>
      </c>
      <c r="F2095" t="str">
        <f>"93"</f>
        <v>93</v>
      </c>
    </row>
    <row r="2096" spans="1:6">
      <c r="A2096" t="str">
        <f>"E1231-80"</f>
        <v>E1231-80</v>
      </c>
      <c r="B2096" t="str">
        <f t="shared" si="169"/>
        <v>VIA VIRGILIO BROCCHI  58-</v>
      </c>
      <c r="C2096" t="str">
        <f t="shared" si="170"/>
        <v>RIV</v>
      </c>
      <c r="D2096">
        <v>23</v>
      </c>
      <c r="E2096" t="str">
        <f t="shared" si="171"/>
        <v>258</v>
      </c>
      <c r="F2096" t="str">
        <f>"94"</f>
        <v>94</v>
      </c>
    </row>
    <row r="2097" spans="1:6">
      <c r="A2097" t="str">
        <f>"E1231-81"</f>
        <v>E1231-81</v>
      </c>
      <c r="B2097" t="str">
        <f t="shared" si="169"/>
        <v>VIA VIRGILIO BROCCHI  58-</v>
      </c>
      <c r="C2097" t="str">
        <f t="shared" si="170"/>
        <v>RIV</v>
      </c>
      <c r="D2097">
        <v>23</v>
      </c>
      <c r="E2097" t="str">
        <f t="shared" si="171"/>
        <v>258</v>
      </c>
      <c r="F2097" t="str">
        <f>"95"</f>
        <v>95</v>
      </c>
    </row>
    <row r="2098" spans="1:6">
      <c r="A2098" t="str">
        <f>"E1231-82"</f>
        <v>E1231-82</v>
      </c>
      <c r="B2098" t="str">
        <f t="shared" si="169"/>
        <v>VIA VIRGILIO BROCCHI  58-</v>
      </c>
      <c r="C2098" t="str">
        <f t="shared" si="170"/>
        <v>RIV</v>
      </c>
      <c r="D2098">
        <v>23</v>
      </c>
      <c r="E2098" t="str">
        <f t="shared" si="171"/>
        <v>258</v>
      </c>
      <c r="F2098" t="str">
        <f>"96"</f>
        <v>96</v>
      </c>
    </row>
    <row r="2099" spans="1:6">
      <c r="A2099" t="str">
        <f>"E1231-83"</f>
        <v>E1231-83</v>
      </c>
      <c r="B2099" t="str">
        <f t="shared" si="169"/>
        <v>VIA VIRGILIO BROCCHI  58-</v>
      </c>
      <c r="C2099" t="str">
        <f>"4"</f>
        <v>4</v>
      </c>
      <c r="D2099">
        <v>23</v>
      </c>
      <c r="E2099" t="str">
        <f t="shared" si="171"/>
        <v>258</v>
      </c>
      <c r="F2099" t="str">
        <f>"0000"</f>
        <v>0000</v>
      </c>
    </row>
    <row r="2100" spans="1:6">
      <c r="A2100" t="str">
        <f>"E1231-84"</f>
        <v>E1231-84</v>
      </c>
      <c r="B2100" t="str">
        <f t="shared" si="169"/>
        <v>VIA VIRGILIO BROCCHI  58-</v>
      </c>
      <c r="C2100" t="str">
        <f>"4"</f>
        <v>4</v>
      </c>
      <c r="D2100">
        <v>23</v>
      </c>
      <c r="E2100" t="str">
        <f t="shared" si="171"/>
        <v>258</v>
      </c>
      <c r="F2100" t="str">
        <f>"0000"</f>
        <v>0000</v>
      </c>
    </row>
    <row r="2101" spans="1:6">
      <c r="A2101" t="str">
        <f>"E1231-85"</f>
        <v>E1231-85</v>
      </c>
      <c r="B2101" t="str">
        <f t="shared" si="169"/>
        <v>VIA VIRGILIO BROCCHI  58-</v>
      </c>
      <c r="C2101" t="str">
        <f>"4"</f>
        <v>4</v>
      </c>
      <c r="D2101">
        <v>23</v>
      </c>
      <c r="E2101" t="str">
        <f t="shared" si="171"/>
        <v>258</v>
      </c>
      <c r="F2101" t="str">
        <f>"0000"</f>
        <v>0000</v>
      </c>
    </row>
    <row r="2102" spans="1:6">
      <c r="A2102" t="str">
        <f>"E1231-86"</f>
        <v>E1231-86</v>
      </c>
      <c r="B2102" t="str">
        <f t="shared" si="169"/>
        <v>VIA VIRGILIO BROCCHI  58-</v>
      </c>
      <c r="C2102" t="str">
        <f>"4"</f>
        <v>4</v>
      </c>
      <c r="D2102">
        <v>23</v>
      </c>
      <c r="E2102" t="str">
        <f t="shared" si="171"/>
        <v>258</v>
      </c>
      <c r="F2102" t="str">
        <f>"0000"</f>
        <v>0000</v>
      </c>
    </row>
    <row r="2103" spans="1:6">
      <c r="A2103" t="str">
        <f>"E1231-87"</f>
        <v>E1231-87</v>
      </c>
      <c r="B2103" t="str">
        <f t="shared" si="169"/>
        <v>VIA VIRGILIO BROCCHI  58-</v>
      </c>
      <c r="C2103" t="str">
        <f t="shared" ref="C2103:C2166" si="172">"RIV"</f>
        <v>RIV</v>
      </c>
      <c r="D2103">
        <v>23</v>
      </c>
      <c r="E2103" t="str">
        <f t="shared" si="171"/>
        <v>258</v>
      </c>
      <c r="F2103" t="str">
        <f>"8"</f>
        <v>8</v>
      </c>
    </row>
    <row r="2104" spans="1:6">
      <c r="A2104" t="str">
        <f>"E1231-88"</f>
        <v>E1231-88</v>
      </c>
      <c r="B2104" t="str">
        <f t="shared" si="169"/>
        <v>VIA VIRGILIO BROCCHI  58-</v>
      </c>
      <c r="C2104" t="str">
        <f t="shared" si="172"/>
        <v>RIV</v>
      </c>
      <c r="D2104">
        <v>23</v>
      </c>
      <c r="E2104" t="str">
        <f t="shared" si="171"/>
        <v>258</v>
      </c>
      <c r="F2104" t="str">
        <f>"9"</f>
        <v>9</v>
      </c>
    </row>
    <row r="2105" spans="1:6">
      <c r="A2105" t="str">
        <f>"E1231-89"</f>
        <v>E1231-89</v>
      </c>
      <c r="B2105" t="str">
        <f t="shared" si="169"/>
        <v>VIA VIRGILIO BROCCHI  58-</v>
      </c>
      <c r="C2105" t="str">
        <f t="shared" si="172"/>
        <v>RIV</v>
      </c>
      <c r="D2105">
        <v>23</v>
      </c>
      <c r="E2105" t="str">
        <f t="shared" si="171"/>
        <v>258</v>
      </c>
      <c r="F2105" t="str">
        <f>"10"</f>
        <v>10</v>
      </c>
    </row>
    <row r="2106" spans="1:6">
      <c r="A2106" t="str">
        <f>"E1231-90"</f>
        <v>E1231-90</v>
      </c>
      <c r="B2106" t="str">
        <f t="shared" si="169"/>
        <v>VIA VIRGILIO BROCCHI  58-</v>
      </c>
      <c r="C2106" t="str">
        <f t="shared" si="172"/>
        <v>RIV</v>
      </c>
      <c r="D2106">
        <v>23</v>
      </c>
      <c r="E2106" t="str">
        <f t="shared" si="171"/>
        <v>258</v>
      </c>
      <c r="F2106" t="str">
        <f>"11"</f>
        <v>11</v>
      </c>
    </row>
    <row r="2107" spans="1:6">
      <c r="A2107" t="str">
        <f>"E1231-91"</f>
        <v>E1231-91</v>
      </c>
      <c r="B2107" t="str">
        <f t="shared" si="169"/>
        <v>VIA VIRGILIO BROCCHI  58-</v>
      </c>
      <c r="C2107" t="str">
        <f t="shared" si="172"/>
        <v>RIV</v>
      </c>
      <c r="D2107">
        <v>23</v>
      </c>
      <c r="E2107" t="str">
        <f t="shared" si="171"/>
        <v>258</v>
      </c>
      <c r="F2107" t="str">
        <f>"12"</f>
        <v>12</v>
      </c>
    </row>
    <row r="2108" spans="1:6">
      <c r="A2108" t="str">
        <f>"E1231-92"</f>
        <v>E1231-92</v>
      </c>
      <c r="B2108" t="str">
        <f t="shared" si="169"/>
        <v>VIA VIRGILIO BROCCHI  58-</v>
      </c>
      <c r="C2108" t="str">
        <f t="shared" si="172"/>
        <v>RIV</v>
      </c>
      <c r="D2108">
        <v>23</v>
      </c>
      <c r="E2108" t="str">
        <f t="shared" si="171"/>
        <v>258</v>
      </c>
      <c r="F2108" t="str">
        <f>"13"</f>
        <v>13</v>
      </c>
    </row>
    <row r="2109" spans="1:6">
      <c r="A2109" t="str">
        <f>"E1231-93"</f>
        <v>E1231-93</v>
      </c>
      <c r="B2109" t="str">
        <f t="shared" si="169"/>
        <v>VIA VIRGILIO BROCCHI  58-</v>
      </c>
      <c r="C2109" t="str">
        <f t="shared" si="172"/>
        <v>RIV</v>
      </c>
      <c r="D2109">
        <v>23</v>
      </c>
      <c r="E2109" t="str">
        <f t="shared" si="171"/>
        <v>258</v>
      </c>
      <c r="F2109" t="str">
        <f>"14"</f>
        <v>14</v>
      </c>
    </row>
    <row r="2110" spans="1:6">
      <c r="A2110" t="str">
        <f>"E1231-94"</f>
        <v>E1231-94</v>
      </c>
      <c r="B2110" t="str">
        <f t="shared" si="169"/>
        <v>VIA VIRGILIO BROCCHI  58-</v>
      </c>
      <c r="C2110" t="str">
        <f t="shared" si="172"/>
        <v>RIV</v>
      </c>
      <c r="D2110">
        <v>23</v>
      </c>
      <c r="E2110" t="str">
        <f t="shared" si="171"/>
        <v>258</v>
      </c>
      <c r="F2110" t="str">
        <f>"15"</f>
        <v>15</v>
      </c>
    </row>
    <row r="2111" spans="1:6">
      <c r="A2111" t="str">
        <f>"E1231-95"</f>
        <v>E1231-95</v>
      </c>
      <c r="B2111" t="str">
        <f t="shared" si="169"/>
        <v>VIA VIRGILIO BROCCHI  58-</v>
      </c>
      <c r="C2111" t="str">
        <f t="shared" si="172"/>
        <v>RIV</v>
      </c>
      <c r="D2111">
        <v>23</v>
      </c>
      <c r="E2111" t="str">
        <f t="shared" si="171"/>
        <v>258</v>
      </c>
      <c r="F2111" t="str">
        <f>"16"</f>
        <v>16</v>
      </c>
    </row>
    <row r="2112" spans="1:6">
      <c r="A2112" t="str">
        <f>"E1231-96"</f>
        <v>E1231-96</v>
      </c>
      <c r="B2112" t="str">
        <f t="shared" si="169"/>
        <v>VIA VIRGILIO BROCCHI  58-</v>
      </c>
      <c r="C2112" t="str">
        <f t="shared" si="172"/>
        <v>RIV</v>
      </c>
      <c r="D2112">
        <v>23</v>
      </c>
      <c r="E2112" t="str">
        <f t="shared" si="171"/>
        <v>258</v>
      </c>
      <c r="F2112" t="str">
        <f>"17"</f>
        <v>17</v>
      </c>
    </row>
    <row r="2113" spans="1:6">
      <c r="A2113" t="str">
        <f>"E1231-97"</f>
        <v>E1231-97</v>
      </c>
      <c r="B2113" t="str">
        <f t="shared" si="169"/>
        <v>VIA VIRGILIO BROCCHI  58-</v>
      </c>
      <c r="C2113" t="str">
        <f t="shared" si="172"/>
        <v>RIV</v>
      </c>
      <c r="D2113">
        <v>23</v>
      </c>
      <c r="E2113" t="str">
        <f t="shared" si="171"/>
        <v>258</v>
      </c>
      <c r="F2113" t="str">
        <f>"18"</f>
        <v>18</v>
      </c>
    </row>
    <row r="2114" spans="1:6">
      <c r="A2114" t="str">
        <f>"E1231-98"</f>
        <v>E1231-98</v>
      </c>
      <c r="B2114" t="str">
        <f t="shared" si="169"/>
        <v>VIA VIRGILIO BROCCHI  58-</v>
      </c>
      <c r="C2114" t="str">
        <f t="shared" si="172"/>
        <v>RIV</v>
      </c>
      <c r="D2114">
        <v>23</v>
      </c>
      <c r="E2114" t="str">
        <f t="shared" si="171"/>
        <v>258</v>
      </c>
      <c r="F2114" t="str">
        <f>"19"</f>
        <v>19</v>
      </c>
    </row>
    <row r="2115" spans="1:6">
      <c r="A2115" t="str">
        <f>"E1231-99"</f>
        <v>E1231-99</v>
      </c>
      <c r="B2115" t="str">
        <f t="shared" si="169"/>
        <v>VIA VIRGILIO BROCCHI  58-</v>
      </c>
      <c r="C2115" t="str">
        <f t="shared" si="172"/>
        <v>RIV</v>
      </c>
      <c r="D2115">
        <v>23</v>
      </c>
      <c r="E2115" t="str">
        <f t="shared" si="171"/>
        <v>258</v>
      </c>
      <c r="F2115" t="str">
        <f>"20"</f>
        <v>20</v>
      </c>
    </row>
    <row r="2116" spans="1:6">
      <c r="A2116" t="str">
        <f>"E1231-100"</f>
        <v>E1231-100</v>
      </c>
      <c r="B2116" t="str">
        <f t="shared" si="169"/>
        <v>VIA VIRGILIO BROCCHI  58-</v>
      </c>
      <c r="C2116" t="str">
        <f t="shared" si="172"/>
        <v>RIV</v>
      </c>
      <c r="D2116">
        <v>23</v>
      </c>
      <c r="E2116" t="str">
        <f t="shared" si="171"/>
        <v>258</v>
      </c>
      <c r="F2116" t="str">
        <f>"21"</f>
        <v>21</v>
      </c>
    </row>
    <row r="2117" spans="1:6">
      <c r="A2117" t="str">
        <f>"E1231-101"</f>
        <v>E1231-101</v>
      </c>
      <c r="B2117" t="str">
        <f t="shared" si="169"/>
        <v>VIA VIRGILIO BROCCHI  58-</v>
      </c>
      <c r="C2117" t="str">
        <f t="shared" si="172"/>
        <v>RIV</v>
      </c>
      <c r="D2117">
        <v>23</v>
      </c>
      <c r="E2117" t="str">
        <f t="shared" si="171"/>
        <v>258</v>
      </c>
      <c r="F2117" t="str">
        <f>"22"</f>
        <v>22</v>
      </c>
    </row>
    <row r="2118" spans="1:6">
      <c r="A2118" t="str">
        <f>"E1231-102"</f>
        <v>E1231-102</v>
      </c>
      <c r="B2118" t="str">
        <f t="shared" si="169"/>
        <v>VIA VIRGILIO BROCCHI  58-</v>
      </c>
      <c r="C2118" t="str">
        <f t="shared" si="172"/>
        <v>RIV</v>
      </c>
      <c r="D2118">
        <v>23</v>
      </c>
      <c r="E2118" t="str">
        <f t="shared" si="171"/>
        <v>258</v>
      </c>
      <c r="F2118" t="str">
        <f>"23"</f>
        <v>23</v>
      </c>
    </row>
    <row r="2119" spans="1:6">
      <c r="A2119" t="str">
        <f>"E1231-103"</f>
        <v>E1231-103</v>
      </c>
      <c r="B2119" t="str">
        <f t="shared" si="169"/>
        <v>VIA VIRGILIO BROCCHI  58-</v>
      </c>
      <c r="C2119" t="str">
        <f t="shared" si="172"/>
        <v>RIV</v>
      </c>
      <c r="D2119">
        <v>23</v>
      </c>
      <c r="E2119" t="str">
        <f t="shared" si="171"/>
        <v>258</v>
      </c>
      <c r="F2119" t="str">
        <f>"24"</f>
        <v>24</v>
      </c>
    </row>
    <row r="2120" spans="1:6">
      <c r="A2120" t="str">
        <f>"E1231-104"</f>
        <v>E1231-104</v>
      </c>
      <c r="B2120" t="str">
        <f t="shared" si="169"/>
        <v>VIA VIRGILIO BROCCHI  58-</v>
      </c>
      <c r="C2120" t="str">
        <f t="shared" si="172"/>
        <v>RIV</v>
      </c>
      <c r="D2120">
        <v>23</v>
      </c>
      <c r="E2120" t="str">
        <f t="shared" si="171"/>
        <v>258</v>
      </c>
      <c r="F2120" t="str">
        <f>"25"</f>
        <v>25</v>
      </c>
    </row>
    <row r="2121" spans="1:6">
      <c r="A2121" t="str">
        <f>"E1231-105"</f>
        <v>E1231-105</v>
      </c>
      <c r="B2121" t="str">
        <f t="shared" si="169"/>
        <v>VIA VIRGILIO BROCCHI  58-</v>
      </c>
      <c r="C2121" t="str">
        <f t="shared" si="172"/>
        <v>RIV</v>
      </c>
      <c r="D2121">
        <v>23</v>
      </c>
      <c r="E2121" t="str">
        <f t="shared" ref="E2121:E2152" si="173">"258"</f>
        <v>258</v>
      </c>
      <c r="F2121" t="str">
        <f>"26"</f>
        <v>26</v>
      </c>
    </row>
    <row r="2122" spans="1:6">
      <c r="A2122" t="str">
        <f>"E1231-106"</f>
        <v>E1231-106</v>
      </c>
      <c r="B2122" t="str">
        <f t="shared" si="169"/>
        <v>VIA VIRGILIO BROCCHI  58-</v>
      </c>
      <c r="C2122" t="str">
        <f t="shared" si="172"/>
        <v>RIV</v>
      </c>
      <c r="D2122">
        <v>23</v>
      </c>
      <c r="E2122" t="str">
        <f t="shared" si="173"/>
        <v>258</v>
      </c>
      <c r="F2122" t="str">
        <f>"27"</f>
        <v>27</v>
      </c>
    </row>
    <row r="2123" spans="1:6">
      <c r="A2123" t="str">
        <f>"E1231-107"</f>
        <v>E1231-107</v>
      </c>
      <c r="B2123" t="str">
        <f t="shared" si="169"/>
        <v>VIA VIRGILIO BROCCHI  58-</v>
      </c>
      <c r="C2123" t="str">
        <f t="shared" si="172"/>
        <v>RIV</v>
      </c>
      <c r="D2123">
        <v>23</v>
      </c>
      <c r="E2123" t="str">
        <f t="shared" si="173"/>
        <v>258</v>
      </c>
      <c r="F2123" t="str">
        <f>"28"</f>
        <v>28</v>
      </c>
    </row>
    <row r="2124" spans="1:6">
      <c r="A2124" t="str">
        <f>"E1231-108"</f>
        <v>E1231-108</v>
      </c>
      <c r="B2124" t="str">
        <f t="shared" si="169"/>
        <v>VIA VIRGILIO BROCCHI  58-</v>
      </c>
      <c r="C2124" t="str">
        <f t="shared" si="172"/>
        <v>RIV</v>
      </c>
      <c r="D2124">
        <v>23</v>
      </c>
      <c r="E2124" t="str">
        <f t="shared" si="173"/>
        <v>258</v>
      </c>
      <c r="F2124" t="str">
        <f>"29"</f>
        <v>29</v>
      </c>
    </row>
    <row r="2125" spans="1:6">
      <c r="A2125" t="str">
        <f>"E1231-109"</f>
        <v>E1231-109</v>
      </c>
      <c r="B2125" t="str">
        <f t="shared" si="169"/>
        <v>VIA VIRGILIO BROCCHI  58-</v>
      </c>
      <c r="C2125" t="str">
        <f t="shared" si="172"/>
        <v>RIV</v>
      </c>
      <c r="D2125">
        <v>23</v>
      </c>
      <c r="E2125" t="str">
        <f t="shared" si="173"/>
        <v>258</v>
      </c>
      <c r="F2125" t="str">
        <f>"30"</f>
        <v>30</v>
      </c>
    </row>
    <row r="2126" spans="1:6">
      <c r="A2126" t="str">
        <f>"E1231-110"</f>
        <v>E1231-110</v>
      </c>
      <c r="B2126" t="str">
        <f t="shared" si="169"/>
        <v>VIA VIRGILIO BROCCHI  58-</v>
      </c>
      <c r="C2126" t="str">
        <f t="shared" si="172"/>
        <v>RIV</v>
      </c>
      <c r="D2126">
        <v>23</v>
      </c>
      <c r="E2126" t="str">
        <f t="shared" si="173"/>
        <v>258</v>
      </c>
      <c r="F2126" t="str">
        <f>"31"</f>
        <v>31</v>
      </c>
    </row>
    <row r="2127" spans="1:6">
      <c r="A2127" t="str">
        <f>"E1231-111"</f>
        <v>E1231-111</v>
      </c>
      <c r="B2127" t="str">
        <f t="shared" si="169"/>
        <v>VIA VIRGILIO BROCCHI  58-</v>
      </c>
      <c r="C2127" t="str">
        <f t="shared" si="172"/>
        <v>RIV</v>
      </c>
      <c r="D2127">
        <v>23</v>
      </c>
      <c r="E2127" t="str">
        <f t="shared" si="173"/>
        <v>258</v>
      </c>
      <c r="F2127" t="str">
        <f>"32"</f>
        <v>32</v>
      </c>
    </row>
    <row r="2128" spans="1:6">
      <c r="A2128" t="str">
        <f>"E1231-149"</f>
        <v>E1231-149</v>
      </c>
      <c r="B2128" t="str">
        <f>"VIA VIRGILIO BROCCHI  52-"</f>
        <v>VIA VIRGILIO BROCCHI  52-</v>
      </c>
      <c r="C2128" t="str">
        <f t="shared" si="172"/>
        <v>RIV</v>
      </c>
      <c r="D2128">
        <v>23</v>
      </c>
      <c r="E2128" t="str">
        <f t="shared" si="173"/>
        <v>258</v>
      </c>
      <c r="F2128" t="str">
        <f>"205"</f>
        <v>205</v>
      </c>
    </row>
    <row r="2129" spans="1:6">
      <c r="A2129" t="str">
        <f>"E1231-150"</f>
        <v>E1231-150</v>
      </c>
      <c r="B2129" t="str">
        <f>"VIA VIRGILIO BROCCHI  54-"</f>
        <v>VIA VIRGILIO BROCCHI  54-</v>
      </c>
      <c r="C2129" t="str">
        <f t="shared" si="172"/>
        <v>RIV</v>
      </c>
      <c r="D2129">
        <v>23</v>
      </c>
      <c r="E2129" t="str">
        <f t="shared" si="173"/>
        <v>258</v>
      </c>
      <c r="F2129" t="str">
        <f>"206"</f>
        <v>206</v>
      </c>
    </row>
    <row r="2130" spans="1:6">
      <c r="A2130" t="str">
        <f>"E1231-151"</f>
        <v>E1231-151</v>
      </c>
      <c r="B2130" t="str">
        <f>"VIA VIRGILIO BROCCHI  56-"</f>
        <v>VIA VIRGILIO BROCCHI  56-</v>
      </c>
      <c r="C2130" t="str">
        <f t="shared" si="172"/>
        <v>RIV</v>
      </c>
      <c r="D2130">
        <v>23</v>
      </c>
      <c r="E2130" t="str">
        <f t="shared" si="173"/>
        <v>258</v>
      </c>
      <c r="F2130" t="str">
        <f>"207"</f>
        <v>207</v>
      </c>
    </row>
    <row r="2131" spans="1:6">
      <c r="A2131" t="str">
        <f>"E1231-152"</f>
        <v>E1231-152</v>
      </c>
      <c r="B2131" t="str">
        <f>"VIA VIRGILIO BROCCHI  58-"</f>
        <v>VIA VIRGILIO BROCCHI  58-</v>
      </c>
      <c r="C2131" t="str">
        <f t="shared" si="172"/>
        <v>RIV</v>
      </c>
      <c r="D2131">
        <v>23</v>
      </c>
      <c r="E2131" t="str">
        <f t="shared" si="173"/>
        <v>258</v>
      </c>
      <c r="F2131" t="str">
        <f>"208"</f>
        <v>208</v>
      </c>
    </row>
    <row r="2132" spans="1:6">
      <c r="A2132" t="str">
        <f>"E1231-153"</f>
        <v>E1231-153</v>
      </c>
      <c r="B2132" t="str">
        <f>"VIA VIRGILIO BROCCHI  50-"</f>
        <v>VIA VIRGILIO BROCCHI  50-</v>
      </c>
      <c r="C2132" t="str">
        <f t="shared" si="172"/>
        <v>RIV</v>
      </c>
      <c r="D2132">
        <v>23</v>
      </c>
      <c r="E2132" t="str">
        <f t="shared" si="173"/>
        <v>258</v>
      </c>
      <c r="F2132" t="str">
        <f>"156"</f>
        <v>156</v>
      </c>
    </row>
    <row r="2133" spans="1:6">
      <c r="A2133" t="str">
        <f>"E1231-154"</f>
        <v>E1231-154</v>
      </c>
      <c r="B2133" t="str">
        <f>"VIA VIRGILIO BROCCHI  50A-"</f>
        <v>VIA VIRGILIO BROCCHI  50A-</v>
      </c>
      <c r="C2133" t="str">
        <f t="shared" si="172"/>
        <v>RIV</v>
      </c>
      <c r="D2133">
        <v>23</v>
      </c>
      <c r="E2133" t="str">
        <f t="shared" si="173"/>
        <v>258</v>
      </c>
      <c r="F2133" t="str">
        <f>"157"</f>
        <v>157</v>
      </c>
    </row>
    <row r="2134" spans="1:6">
      <c r="A2134" t="str">
        <f>"E1231-155"</f>
        <v>E1231-155</v>
      </c>
      <c r="B2134" t="str">
        <f>"VIA VIRGILIO BROCCHI  50B-"</f>
        <v>VIA VIRGILIO BROCCHI  50B-</v>
      </c>
      <c r="C2134" t="str">
        <f t="shared" si="172"/>
        <v>RIV</v>
      </c>
      <c r="D2134">
        <v>23</v>
      </c>
      <c r="E2134" t="str">
        <f t="shared" si="173"/>
        <v>258</v>
      </c>
      <c r="F2134" t="str">
        <f>"158"</f>
        <v>158</v>
      </c>
    </row>
    <row r="2135" spans="1:6">
      <c r="A2135" t="str">
        <f>"E1231-156"</f>
        <v>E1231-156</v>
      </c>
      <c r="B2135" t="str">
        <f>"VIA VIRGILIO BROCCHI  52A-"</f>
        <v>VIA VIRGILIO BROCCHI  52A-</v>
      </c>
      <c r="C2135" t="str">
        <f t="shared" si="172"/>
        <v>RIV</v>
      </c>
      <c r="D2135">
        <v>23</v>
      </c>
      <c r="E2135" t="str">
        <f t="shared" si="173"/>
        <v>258</v>
      </c>
      <c r="F2135" t="str">
        <f>"159"</f>
        <v>159</v>
      </c>
    </row>
    <row r="2136" spans="1:6">
      <c r="A2136" t="str">
        <f>"E1231-157"</f>
        <v>E1231-157</v>
      </c>
      <c r="B2136" t="str">
        <f t="shared" ref="B2136:B2156" si="174">"VIA VIRGILIO BROCCHI  52-"</f>
        <v>VIA VIRGILIO BROCCHI  52-</v>
      </c>
      <c r="C2136" t="str">
        <f t="shared" si="172"/>
        <v>RIV</v>
      </c>
      <c r="D2136">
        <v>23</v>
      </c>
      <c r="E2136" t="str">
        <f t="shared" si="173"/>
        <v>258</v>
      </c>
      <c r="F2136" t="str">
        <f>"135"</f>
        <v>135</v>
      </c>
    </row>
    <row r="2137" spans="1:6">
      <c r="A2137" t="str">
        <f>"E1231-158"</f>
        <v>E1231-158</v>
      </c>
      <c r="B2137" t="str">
        <f t="shared" si="174"/>
        <v>VIA VIRGILIO BROCCHI  52-</v>
      </c>
      <c r="C2137" t="str">
        <f t="shared" si="172"/>
        <v>RIV</v>
      </c>
      <c r="D2137">
        <v>23</v>
      </c>
      <c r="E2137" t="str">
        <f t="shared" si="173"/>
        <v>258</v>
      </c>
      <c r="F2137" t="str">
        <f>"136"</f>
        <v>136</v>
      </c>
    </row>
    <row r="2138" spans="1:6">
      <c r="A2138" t="str">
        <f>"E1231-159"</f>
        <v>E1231-159</v>
      </c>
      <c r="B2138" t="str">
        <f t="shared" si="174"/>
        <v>VIA VIRGILIO BROCCHI  52-</v>
      </c>
      <c r="C2138" t="str">
        <f t="shared" si="172"/>
        <v>RIV</v>
      </c>
      <c r="D2138">
        <v>23</v>
      </c>
      <c r="E2138" t="str">
        <f t="shared" si="173"/>
        <v>258</v>
      </c>
      <c r="F2138" t="str">
        <f>"137"</f>
        <v>137</v>
      </c>
    </row>
    <row r="2139" spans="1:6">
      <c r="A2139" t="str">
        <f>"E1231-160"</f>
        <v>E1231-160</v>
      </c>
      <c r="B2139" t="str">
        <f t="shared" si="174"/>
        <v>VIA VIRGILIO BROCCHI  52-</v>
      </c>
      <c r="C2139" t="str">
        <f t="shared" si="172"/>
        <v>RIV</v>
      </c>
      <c r="D2139">
        <v>23</v>
      </c>
      <c r="E2139" t="str">
        <f t="shared" si="173"/>
        <v>258</v>
      </c>
      <c r="F2139" t="str">
        <f>"138"</f>
        <v>138</v>
      </c>
    </row>
    <row r="2140" spans="1:6">
      <c r="A2140" t="str">
        <f>"E1231-161"</f>
        <v>E1231-161</v>
      </c>
      <c r="B2140" t="str">
        <f t="shared" si="174"/>
        <v>VIA VIRGILIO BROCCHI  52-</v>
      </c>
      <c r="C2140" t="str">
        <f t="shared" si="172"/>
        <v>RIV</v>
      </c>
      <c r="D2140">
        <v>23</v>
      </c>
      <c r="E2140" t="str">
        <f t="shared" si="173"/>
        <v>258</v>
      </c>
      <c r="F2140" t="str">
        <f>"139"</f>
        <v>139</v>
      </c>
    </row>
    <row r="2141" spans="1:6">
      <c r="A2141" t="str">
        <f>"E1231-162"</f>
        <v>E1231-162</v>
      </c>
      <c r="B2141" t="str">
        <f t="shared" si="174"/>
        <v>VIA VIRGILIO BROCCHI  52-</v>
      </c>
      <c r="C2141" t="str">
        <f t="shared" si="172"/>
        <v>RIV</v>
      </c>
      <c r="D2141">
        <v>23</v>
      </c>
      <c r="E2141" t="str">
        <f t="shared" si="173"/>
        <v>258</v>
      </c>
      <c r="F2141" t="str">
        <f>"140"</f>
        <v>140</v>
      </c>
    </row>
    <row r="2142" spans="1:6">
      <c r="A2142" t="str">
        <f>"E1231-163"</f>
        <v>E1231-163</v>
      </c>
      <c r="B2142" t="str">
        <f t="shared" si="174"/>
        <v>VIA VIRGILIO BROCCHI  52-</v>
      </c>
      <c r="C2142" t="str">
        <f t="shared" si="172"/>
        <v>RIV</v>
      </c>
      <c r="D2142">
        <v>23</v>
      </c>
      <c r="E2142" t="str">
        <f t="shared" si="173"/>
        <v>258</v>
      </c>
      <c r="F2142" t="str">
        <f>"141"</f>
        <v>141</v>
      </c>
    </row>
    <row r="2143" spans="1:6">
      <c r="A2143" t="str">
        <f>"E1231-164"</f>
        <v>E1231-164</v>
      </c>
      <c r="B2143" t="str">
        <f t="shared" si="174"/>
        <v>VIA VIRGILIO BROCCHI  52-</v>
      </c>
      <c r="C2143" t="str">
        <f t="shared" si="172"/>
        <v>RIV</v>
      </c>
      <c r="D2143">
        <v>23</v>
      </c>
      <c r="E2143" t="str">
        <f t="shared" si="173"/>
        <v>258</v>
      </c>
      <c r="F2143" t="str">
        <f>"142"</f>
        <v>142</v>
      </c>
    </row>
    <row r="2144" spans="1:6">
      <c r="A2144" t="str">
        <f>"E1231-165"</f>
        <v>E1231-165</v>
      </c>
      <c r="B2144" t="str">
        <f t="shared" si="174"/>
        <v>VIA VIRGILIO BROCCHI  52-</v>
      </c>
      <c r="C2144" t="str">
        <f t="shared" si="172"/>
        <v>RIV</v>
      </c>
      <c r="D2144">
        <v>23</v>
      </c>
      <c r="E2144" t="str">
        <f t="shared" si="173"/>
        <v>258</v>
      </c>
      <c r="F2144" t="str">
        <f>"143"</f>
        <v>143</v>
      </c>
    </row>
    <row r="2145" spans="1:6">
      <c r="A2145" t="str">
        <f>"E1231-166"</f>
        <v>E1231-166</v>
      </c>
      <c r="B2145" t="str">
        <f t="shared" si="174"/>
        <v>VIA VIRGILIO BROCCHI  52-</v>
      </c>
      <c r="C2145" t="str">
        <f t="shared" si="172"/>
        <v>RIV</v>
      </c>
      <c r="D2145">
        <v>23</v>
      </c>
      <c r="E2145" t="str">
        <f t="shared" si="173"/>
        <v>258</v>
      </c>
      <c r="F2145" t="str">
        <f>"144"</f>
        <v>144</v>
      </c>
    </row>
    <row r="2146" spans="1:6">
      <c r="A2146" t="str">
        <f>"E1231-167"</f>
        <v>E1231-167</v>
      </c>
      <c r="B2146" t="str">
        <f t="shared" si="174"/>
        <v>VIA VIRGILIO BROCCHI  52-</v>
      </c>
      <c r="C2146" t="str">
        <f t="shared" si="172"/>
        <v>RIV</v>
      </c>
      <c r="D2146">
        <v>23</v>
      </c>
      <c r="E2146" t="str">
        <f t="shared" si="173"/>
        <v>258</v>
      </c>
      <c r="F2146" t="str">
        <f>"145"</f>
        <v>145</v>
      </c>
    </row>
    <row r="2147" spans="1:6">
      <c r="A2147" t="str">
        <f>"E1231-168"</f>
        <v>E1231-168</v>
      </c>
      <c r="B2147" t="str">
        <f t="shared" si="174"/>
        <v>VIA VIRGILIO BROCCHI  52-</v>
      </c>
      <c r="C2147" t="str">
        <f t="shared" si="172"/>
        <v>RIV</v>
      </c>
      <c r="D2147">
        <v>23</v>
      </c>
      <c r="E2147" t="str">
        <f t="shared" si="173"/>
        <v>258</v>
      </c>
      <c r="F2147" t="str">
        <f>"146"</f>
        <v>146</v>
      </c>
    </row>
    <row r="2148" spans="1:6">
      <c r="A2148" t="str">
        <f>"E1231-169"</f>
        <v>E1231-169</v>
      </c>
      <c r="B2148" t="str">
        <f t="shared" si="174"/>
        <v>VIA VIRGILIO BROCCHI  52-</v>
      </c>
      <c r="C2148" t="str">
        <f t="shared" si="172"/>
        <v>RIV</v>
      </c>
      <c r="D2148">
        <v>23</v>
      </c>
      <c r="E2148" t="str">
        <f t="shared" si="173"/>
        <v>258</v>
      </c>
      <c r="F2148" t="str">
        <f>"147"</f>
        <v>147</v>
      </c>
    </row>
    <row r="2149" spans="1:6">
      <c r="A2149" t="str">
        <f>"E1231-170"</f>
        <v>E1231-170</v>
      </c>
      <c r="B2149" t="str">
        <f t="shared" si="174"/>
        <v>VIA VIRGILIO BROCCHI  52-</v>
      </c>
      <c r="C2149" t="str">
        <f t="shared" si="172"/>
        <v>RIV</v>
      </c>
      <c r="D2149">
        <v>23</v>
      </c>
      <c r="E2149" t="str">
        <f t="shared" si="173"/>
        <v>258</v>
      </c>
      <c r="F2149" t="str">
        <f>"148"</f>
        <v>148</v>
      </c>
    </row>
    <row r="2150" spans="1:6">
      <c r="A2150" t="str">
        <f>"E1231-171"</f>
        <v>E1231-171</v>
      </c>
      <c r="B2150" t="str">
        <f t="shared" si="174"/>
        <v>VIA VIRGILIO BROCCHI  52-</v>
      </c>
      <c r="C2150" t="str">
        <f t="shared" si="172"/>
        <v>RIV</v>
      </c>
      <c r="D2150">
        <v>23</v>
      </c>
      <c r="E2150" t="str">
        <f t="shared" si="173"/>
        <v>258</v>
      </c>
      <c r="F2150" t="str">
        <f>"149"</f>
        <v>149</v>
      </c>
    </row>
    <row r="2151" spans="1:6">
      <c r="A2151" t="str">
        <f>"E1231-172"</f>
        <v>E1231-172</v>
      </c>
      <c r="B2151" t="str">
        <f t="shared" si="174"/>
        <v>VIA VIRGILIO BROCCHI  52-</v>
      </c>
      <c r="C2151" t="str">
        <f t="shared" si="172"/>
        <v>RIV</v>
      </c>
      <c r="D2151">
        <v>23</v>
      </c>
      <c r="E2151" t="str">
        <f t="shared" si="173"/>
        <v>258</v>
      </c>
      <c r="F2151" t="str">
        <f>"150"</f>
        <v>150</v>
      </c>
    </row>
    <row r="2152" spans="1:6">
      <c r="A2152" t="str">
        <f>"E1231-173"</f>
        <v>E1231-173</v>
      </c>
      <c r="B2152" t="str">
        <f t="shared" si="174"/>
        <v>VIA VIRGILIO BROCCHI  52-</v>
      </c>
      <c r="C2152" t="str">
        <f t="shared" si="172"/>
        <v>RIV</v>
      </c>
      <c r="D2152">
        <v>23</v>
      </c>
      <c r="E2152" t="str">
        <f t="shared" si="173"/>
        <v>258</v>
      </c>
      <c r="F2152" t="str">
        <f>"151"</f>
        <v>151</v>
      </c>
    </row>
    <row r="2153" spans="1:6">
      <c r="A2153" t="str">
        <f>"E1231-174"</f>
        <v>E1231-174</v>
      </c>
      <c r="B2153" t="str">
        <f t="shared" si="174"/>
        <v>VIA VIRGILIO BROCCHI  52-</v>
      </c>
      <c r="C2153" t="str">
        <f t="shared" si="172"/>
        <v>RIV</v>
      </c>
      <c r="D2153">
        <v>23</v>
      </c>
      <c r="E2153" t="str">
        <f t="shared" ref="E2153:E2184" si="175">"258"</f>
        <v>258</v>
      </c>
      <c r="F2153" t="str">
        <f>"152"</f>
        <v>152</v>
      </c>
    </row>
    <row r="2154" spans="1:6">
      <c r="A2154" t="str">
        <f>"E1231-175"</f>
        <v>E1231-175</v>
      </c>
      <c r="B2154" t="str">
        <f t="shared" si="174"/>
        <v>VIA VIRGILIO BROCCHI  52-</v>
      </c>
      <c r="C2154" t="str">
        <f t="shared" si="172"/>
        <v>RIV</v>
      </c>
      <c r="D2154">
        <v>23</v>
      </c>
      <c r="E2154" t="str">
        <f t="shared" si="175"/>
        <v>258</v>
      </c>
      <c r="F2154" t="str">
        <f>"153"</f>
        <v>153</v>
      </c>
    </row>
    <row r="2155" spans="1:6">
      <c r="A2155" t="str">
        <f>"E1231-176"</f>
        <v>E1231-176</v>
      </c>
      <c r="B2155" t="str">
        <f t="shared" si="174"/>
        <v>VIA VIRGILIO BROCCHI  52-</v>
      </c>
      <c r="C2155" t="str">
        <f t="shared" si="172"/>
        <v>RIV</v>
      </c>
      <c r="D2155">
        <v>23</v>
      </c>
      <c r="E2155" t="str">
        <f t="shared" si="175"/>
        <v>258</v>
      </c>
      <c r="F2155" t="str">
        <f>"154"</f>
        <v>154</v>
      </c>
    </row>
    <row r="2156" spans="1:6">
      <c r="A2156" t="str">
        <f>"E1231-177"</f>
        <v>E1231-177</v>
      </c>
      <c r="B2156" t="str">
        <f t="shared" si="174"/>
        <v>VIA VIRGILIO BROCCHI  52-</v>
      </c>
      <c r="C2156" t="str">
        <f t="shared" si="172"/>
        <v>RIV</v>
      </c>
      <c r="D2156">
        <v>23</v>
      </c>
      <c r="E2156" t="str">
        <f t="shared" si="175"/>
        <v>258</v>
      </c>
      <c r="F2156" t="str">
        <f>"155"</f>
        <v>155</v>
      </c>
    </row>
    <row r="2157" spans="1:6">
      <c r="A2157" t="str">
        <f>"E1231-178"</f>
        <v>E1231-178</v>
      </c>
      <c r="B2157" t="str">
        <f>"VIA VIRGILIO BROCCHI  52B-"</f>
        <v>VIA VIRGILIO BROCCHI  52B-</v>
      </c>
      <c r="C2157" t="str">
        <f t="shared" si="172"/>
        <v>RIV</v>
      </c>
      <c r="D2157">
        <v>23</v>
      </c>
      <c r="E2157" t="str">
        <f t="shared" si="175"/>
        <v>258</v>
      </c>
      <c r="F2157" t="str">
        <f>"176"</f>
        <v>176</v>
      </c>
    </row>
    <row r="2158" spans="1:6">
      <c r="A2158" t="str">
        <f>"E1231-179"</f>
        <v>E1231-179</v>
      </c>
      <c r="B2158" t="str">
        <f>"VIA VIRGILIO BROCCHI  54A-"</f>
        <v>VIA VIRGILIO BROCCHI  54A-</v>
      </c>
      <c r="C2158" t="str">
        <f t="shared" si="172"/>
        <v>RIV</v>
      </c>
      <c r="D2158">
        <v>23</v>
      </c>
      <c r="E2158" t="str">
        <f t="shared" si="175"/>
        <v>258</v>
      </c>
      <c r="F2158" t="str">
        <f>"177"</f>
        <v>177</v>
      </c>
    </row>
    <row r="2159" spans="1:6">
      <c r="A2159" t="str">
        <f>"E1231-180"</f>
        <v>E1231-180</v>
      </c>
      <c r="B2159" t="str">
        <f>"VIA VIRGILIO BROCCHI  54B-"</f>
        <v>VIA VIRGILIO BROCCHI  54B-</v>
      </c>
      <c r="C2159" t="str">
        <f t="shared" si="172"/>
        <v>RIV</v>
      </c>
      <c r="D2159">
        <v>23</v>
      </c>
      <c r="E2159" t="str">
        <f t="shared" si="175"/>
        <v>258</v>
      </c>
      <c r="F2159" t="str">
        <f>"178"</f>
        <v>178</v>
      </c>
    </row>
    <row r="2160" spans="1:6">
      <c r="A2160" t="str">
        <f>"E1231-181"</f>
        <v>E1231-181</v>
      </c>
      <c r="B2160" t="str">
        <f t="shared" ref="B2160:B2173" si="176">"VIA VIRGILIO BROCCHI  54-"</f>
        <v>VIA VIRGILIO BROCCHI  54-</v>
      </c>
      <c r="C2160" t="str">
        <f t="shared" si="172"/>
        <v>RIV</v>
      </c>
      <c r="D2160">
        <v>23</v>
      </c>
      <c r="E2160" t="str">
        <f t="shared" si="175"/>
        <v>258</v>
      </c>
      <c r="F2160" t="str">
        <f>"162"</f>
        <v>162</v>
      </c>
    </row>
    <row r="2161" spans="1:6">
      <c r="A2161" t="str">
        <f>"E1231-182"</f>
        <v>E1231-182</v>
      </c>
      <c r="B2161" t="str">
        <f t="shared" si="176"/>
        <v>VIA VIRGILIO BROCCHI  54-</v>
      </c>
      <c r="C2161" t="str">
        <f t="shared" si="172"/>
        <v>RIV</v>
      </c>
      <c r="D2161">
        <v>23</v>
      </c>
      <c r="E2161" t="str">
        <f t="shared" si="175"/>
        <v>258</v>
      </c>
      <c r="F2161" t="str">
        <f>"163"</f>
        <v>163</v>
      </c>
    </row>
    <row r="2162" spans="1:6">
      <c r="A2162" t="str">
        <f>"E1231-183"</f>
        <v>E1231-183</v>
      </c>
      <c r="B2162" t="str">
        <f t="shared" si="176"/>
        <v>VIA VIRGILIO BROCCHI  54-</v>
      </c>
      <c r="C2162" t="str">
        <f t="shared" si="172"/>
        <v>RIV</v>
      </c>
      <c r="D2162">
        <v>23</v>
      </c>
      <c r="E2162" t="str">
        <f t="shared" si="175"/>
        <v>258</v>
      </c>
      <c r="F2162" t="str">
        <f>"164"</f>
        <v>164</v>
      </c>
    </row>
    <row r="2163" spans="1:6">
      <c r="A2163" t="str">
        <f>"E1231-184"</f>
        <v>E1231-184</v>
      </c>
      <c r="B2163" t="str">
        <f t="shared" si="176"/>
        <v>VIA VIRGILIO BROCCHI  54-</v>
      </c>
      <c r="C2163" t="str">
        <f t="shared" si="172"/>
        <v>RIV</v>
      </c>
      <c r="D2163">
        <v>23</v>
      </c>
      <c r="E2163" t="str">
        <f t="shared" si="175"/>
        <v>258</v>
      </c>
      <c r="F2163" t="str">
        <f>"165"</f>
        <v>165</v>
      </c>
    </row>
    <row r="2164" spans="1:6">
      <c r="A2164" t="str">
        <f>"E1231-185"</f>
        <v>E1231-185</v>
      </c>
      <c r="B2164" t="str">
        <f t="shared" si="176"/>
        <v>VIA VIRGILIO BROCCHI  54-</v>
      </c>
      <c r="C2164" t="str">
        <f t="shared" si="172"/>
        <v>RIV</v>
      </c>
      <c r="D2164">
        <v>23</v>
      </c>
      <c r="E2164" t="str">
        <f t="shared" si="175"/>
        <v>258</v>
      </c>
      <c r="F2164" t="str">
        <f>"166"</f>
        <v>166</v>
      </c>
    </row>
    <row r="2165" spans="1:6">
      <c r="A2165" t="str">
        <f>"E1231-186"</f>
        <v>E1231-186</v>
      </c>
      <c r="B2165" t="str">
        <f t="shared" si="176"/>
        <v>VIA VIRGILIO BROCCHI  54-</v>
      </c>
      <c r="C2165" t="str">
        <f t="shared" si="172"/>
        <v>RIV</v>
      </c>
      <c r="D2165">
        <v>23</v>
      </c>
      <c r="E2165" t="str">
        <f t="shared" si="175"/>
        <v>258</v>
      </c>
      <c r="F2165" t="str">
        <f>"167"</f>
        <v>167</v>
      </c>
    </row>
    <row r="2166" spans="1:6">
      <c r="A2166" t="str">
        <f>"E1231-187"</f>
        <v>E1231-187</v>
      </c>
      <c r="B2166" t="str">
        <f t="shared" si="176"/>
        <v>VIA VIRGILIO BROCCHI  54-</v>
      </c>
      <c r="C2166" t="str">
        <f t="shared" si="172"/>
        <v>RIV</v>
      </c>
      <c r="D2166">
        <v>23</v>
      </c>
      <c r="E2166" t="str">
        <f t="shared" si="175"/>
        <v>258</v>
      </c>
      <c r="F2166" t="str">
        <f>"168"</f>
        <v>168</v>
      </c>
    </row>
    <row r="2167" spans="1:6">
      <c r="A2167" t="str">
        <f>"E1231-188"</f>
        <v>E1231-188</v>
      </c>
      <c r="B2167" t="str">
        <f t="shared" si="176"/>
        <v>VIA VIRGILIO BROCCHI  54-</v>
      </c>
      <c r="C2167" t="str">
        <f t="shared" ref="C2167:C2230" si="177">"RIV"</f>
        <v>RIV</v>
      </c>
      <c r="D2167">
        <v>23</v>
      </c>
      <c r="E2167" t="str">
        <f t="shared" si="175"/>
        <v>258</v>
      </c>
      <c r="F2167" t="str">
        <f>"169"</f>
        <v>169</v>
      </c>
    </row>
    <row r="2168" spans="1:6">
      <c r="A2168" t="str">
        <f>"E1231-189"</f>
        <v>E1231-189</v>
      </c>
      <c r="B2168" t="str">
        <f t="shared" si="176"/>
        <v>VIA VIRGILIO BROCCHI  54-</v>
      </c>
      <c r="C2168" t="str">
        <f t="shared" si="177"/>
        <v>RIV</v>
      </c>
      <c r="D2168">
        <v>23</v>
      </c>
      <c r="E2168" t="str">
        <f t="shared" si="175"/>
        <v>258</v>
      </c>
      <c r="F2168" t="str">
        <f>"170"</f>
        <v>170</v>
      </c>
    </row>
    <row r="2169" spans="1:6">
      <c r="A2169" t="str">
        <f>"E1231-190"</f>
        <v>E1231-190</v>
      </c>
      <c r="B2169" t="str">
        <f t="shared" si="176"/>
        <v>VIA VIRGILIO BROCCHI  54-</v>
      </c>
      <c r="C2169" t="str">
        <f t="shared" si="177"/>
        <v>RIV</v>
      </c>
      <c r="D2169">
        <v>23</v>
      </c>
      <c r="E2169" t="str">
        <f t="shared" si="175"/>
        <v>258</v>
      </c>
      <c r="F2169" t="str">
        <f>"171"</f>
        <v>171</v>
      </c>
    </row>
    <row r="2170" spans="1:6">
      <c r="A2170" t="str">
        <f>"E1231-191"</f>
        <v>E1231-191</v>
      </c>
      <c r="B2170" t="str">
        <f t="shared" si="176"/>
        <v>VIA VIRGILIO BROCCHI  54-</v>
      </c>
      <c r="C2170" t="str">
        <f t="shared" si="177"/>
        <v>RIV</v>
      </c>
      <c r="D2170">
        <v>23</v>
      </c>
      <c r="E2170" t="str">
        <f t="shared" si="175"/>
        <v>258</v>
      </c>
      <c r="F2170" t="str">
        <f>"172"</f>
        <v>172</v>
      </c>
    </row>
    <row r="2171" spans="1:6">
      <c r="A2171" t="str">
        <f>"E1231-192"</f>
        <v>E1231-192</v>
      </c>
      <c r="B2171" t="str">
        <f t="shared" si="176"/>
        <v>VIA VIRGILIO BROCCHI  54-</v>
      </c>
      <c r="C2171" t="str">
        <f t="shared" si="177"/>
        <v>RIV</v>
      </c>
      <c r="D2171">
        <v>23</v>
      </c>
      <c r="E2171" t="str">
        <f t="shared" si="175"/>
        <v>258</v>
      </c>
      <c r="F2171" t="str">
        <f>"173"</f>
        <v>173</v>
      </c>
    </row>
    <row r="2172" spans="1:6">
      <c r="A2172" t="str">
        <f>"E1231-193"</f>
        <v>E1231-193</v>
      </c>
      <c r="B2172" t="str">
        <f t="shared" si="176"/>
        <v>VIA VIRGILIO BROCCHI  54-</v>
      </c>
      <c r="C2172" t="str">
        <f t="shared" si="177"/>
        <v>RIV</v>
      </c>
      <c r="D2172">
        <v>23</v>
      </c>
      <c r="E2172" t="str">
        <f t="shared" si="175"/>
        <v>258</v>
      </c>
      <c r="F2172" t="str">
        <f>"174"</f>
        <v>174</v>
      </c>
    </row>
    <row r="2173" spans="1:6">
      <c r="A2173" t="str">
        <f>"E1231-194"</f>
        <v>E1231-194</v>
      </c>
      <c r="B2173" t="str">
        <f t="shared" si="176"/>
        <v>VIA VIRGILIO BROCCHI  54-</v>
      </c>
      <c r="C2173" t="str">
        <f t="shared" si="177"/>
        <v>RIV</v>
      </c>
      <c r="D2173">
        <v>23</v>
      </c>
      <c r="E2173" t="str">
        <f t="shared" si="175"/>
        <v>258</v>
      </c>
      <c r="F2173" t="str">
        <f>"175"</f>
        <v>175</v>
      </c>
    </row>
    <row r="2174" spans="1:6">
      <c r="A2174" t="str">
        <f>"E1231-195"</f>
        <v>E1231-195</v>
      </c>
      <c r="B2174" t="str">
        <f>"VIA VIRGILIO BROCCHI  54C-"</f>
        <v>VIA VIRGILIO BROCCHI  54C-</v>
      </c>
      <c r="C2174" t="str">
        <f t="shared" si="177"/>
        <v>RIV</v>
      </c>
      <c r="D2174">
        <v>23</v>
      </c>
      <c r="E2174" t="str">
        <f t="shared" si="175"/>
        <v>258</v>
      </c>
      <c r="F2174" t="str">
        <f>"195"</f>
        <v>195</v>
      </c>
    </row>
    <row r="2175" spans="1:6">
      <c r="A2175" t="str">
        <f>"E1231-196"</f>
        <v>E1231-196</v>
      </c>
      <c r="B2175" t="str">
        <f>"VIA VIRGILIO BROCCHI  54D-"</f>
        <v>VIA VIRGILIO BROCCHI  54D-</v>
      </c>
      <c r="C2175" t="str">
        <f t="shared" si="177"/>
        <v>RIV</v>
      </c>
      <c r="D2175">
        <v>23</v>
      </c>
      <c r="E2175" t="str">
        <f t="shared" si="175"/>
        <v>258</v>
      </c>
      <c r="F2175" t="str">
        <f>"196"</f>
        <v>196</v>
      </c>
    </row>
    <row r="2176" spans="1:6">
      <c r="A2176" t="str">
        <f>"E1231-197"</f>
        <v>E1231-197</v>
      </c>
      <c r="B2176" t="str">
        <f>"VIA VIRGILIO BROCCHI  56A-"</f>
        <v>VIA VIRGILIO BROCCHI  56A-</v>
      </c>
      <c r="C2176" t="str">
        <f t="shared" si="177"/>
        <v>RIV</v>
      </c>
      <c r="D2176">
        <v>23</v>
      </c>
      <c r="E2176" t="str">
        <f t="shared" si="175"/>
        <v>258</v>
      </c>
      <c r="F2176" t="str">
        <f>"197"</f>
        <v>197</v>
      </c>
    </row>
    <row r="2177" spans="1:6">
      <c r="A2177" t="str">
        <f>"E1231-198"</f>
        <v>E1231-198</v>
      </c>
      <c r="B2177" t="str">
        <f t="shared" ref="B2177:B2190" si="178">"VIA VIRGILIO BROCCHI  56-"</f>
        <v>VIA VIRGILIO BROCCHI  56-</v>
      </c>
      <c r="C2177" t="str">
        <f t="shared" si="177"/>
        <v>RIV</v>
      </c>
      <c r="D2177">
        <v>23</v>
      </c>
      <c r="E2177" t="str">
        <f t="shared" si="175"/>
        <v>258</v>
      </c>
      <c r="F2177" t="str">
        <f>"181"</f>
        <v>181</v>
      </c>
    </row>
    <row r="2178" spans="1:6">
      <c r="A2178" t="str">
        <f>"E1231-199"</f>
        <v>E1231-199</v>
      </c>
      <c r="B2178" t="str">
        <f t="shared" si="178"/>
        <v>VIA VIRGILIO BROCCHI  56-</v>
      </c>
      <c r="C2178" t="str">
        <f t="shared" si="177"/>
        <v>RIV</v>
      </c>
      <c r="D2178">
        <v>23</v>
      </c>
      <c r="E2178" t="str">
        <f t="shared" si="175"/>
        <v>258</v>
      </c>
      <c r="F2178" t="str">
        <f>"182"</f>
        <v>182</v>
      </c>
    </row>
    <row r="2179" spans="1:6">
      <c r="A2179" t="str">
        <f>"E1231-200"</f>
        <v>E1231-200</v>
      </c>
      <c r="B2179" t="str">
        <f t="shared" si="178"/>
        <v>VIA VIRGILIO BROCCHI  56-</v>
      </c>
      <c r="C2179" t="str">
        <f t="shared" si="177"/>
        <v>RIV</v>
      </c>
      <c r="D2179">
        <v>23</v>
      </c>
      <c r="E2179" t="str">
        <f t="shared" si="175"/>
        <v>258</v>
      </c>
      <c r="F2179" t="str">
        <f>"183"</f>
        <v>183</v>
      </c>
    </row>
    <row r="2180" spans="1:6">
      <c r="A2180" t="str">
        <f>"E1231-201"</f>
        <v>E1231-201</v>
      </c>
      <c r="B2180" t="str">
        <f t="shared" si="178"/>
        <v>VIA VIRGILIO BROCCHI  56-</v>
      </c>
      <c r="C2180" t="str">
        <f t="shared" si="177"/>
        <v>RIV</v>
      </c>
      <c r="D2180">
        <v>23</v>
      </c>
      <c r="E2180" t="str">
        <f t="shared" si="175"/>
        <v>258</v>
      </c>
      <c r="F2180" t="str">
        <f>"184"</f>
        <v>184</v>
      </c>
    </row>
    <row r="2181" spans="1:6">
      <c r="A2181" t="str">
        <f>"E1231-202"</f>
        <v>E1231-202</v>
      </c>
      <c r="B2181" t="str">
        <f t="shared" si="178"/>
        <v>VIA VIRGILIO BROCCHI  56-</v>
      </c>
      <c r="C2181" t="str">
        <f t="shared" si="177"/>
        <v>RIV</v>
      </c>
      <c r="D2181">
        <v>23</v>
      </c>
      <c r="E2181" t="str">
        <f t="shared" si="175"/>
        <v>258</v>
      </c>
      <c r="F2181" t="str">
        <f>"185"</f>
        <v>185</v>
      </c>
    </row>
    <row r="2182" spans="1:6">
      <c r="A2182" t="str">
        <f>"E1231-203"</f>
        <v>E1231-203</v>
      </c>
      <c r="B2182" t="str">
        <f t="shared" si="178"/>
        <v>VIA VIRGILIO BROCCHI  56-</v>
      </c>
      <c r="C2182" t="str">
        <f t="shared" si="177"/>
        <v>RIV</v>
      </c>
      <c r="D2182">
        <v>23</v>
      </c>
      <c r="E2182" t="str">
        <f t="shared" si="175"/>
        <v>258</v>
      </c>
      <c r="F2182" t="str">
        <f>"186"</f>
        <v>186</v>
      </c>
    </row>
    <row r="2183" spans="1:6">
      <c r="A2183" t="str">
        <f>"E1231-204"</f>
        <v>E1231-204</v>
      </c>
      <c r="B2183" t="str">
        <f t="shared" si="178"/>
        <v>VIA VIRGILIO BROCCHI  56-</v>
      </c>
      <c r="C2183" t="str">
        <f t="shared" si="177"/>
        <v>RIV</v>
      </c>
      <c r="D2183">
        <v>23</v>
      </c>
      <c r="E2183" t="str">
        <f t="shared" si="175"/>
        <v>258</v>
      </c>
      <c r="F2183" t="str">
        <f>"187"</f>
        <v>187</v>
      </c>
    </row>
    <row r="2184" spans="1:6">
      <c r="A2184" t="str">
        <f>"E1231-205"</f>
        <v>E1231-205</v>
      </c>
      <c r="B2184" t="str">
        <f t="shared" si="178"/>
        <v>VIA VIRGILIO BROCCHI  56-</v>
      </c>
      <c r="C2184" t="str">
        <f t="shared" si="177"/>
        <v>RIV</v>
      </c>
      <c r="D2184">
        <v>23</v>
      </c>
      <c r="E2184" t="str">
        <f t="shared" si="175"/>
        <v>258</v>
      </c>
      <c r="F2184" t="str">
        <f>"188"</f>
        <v>188</v>
      </c>
    </row>
    <row r="2185" spans="1:6">
      <c r="A2185" t="str">
        <f>"E1231-206"</f>
        <v>E1231-206</v>
      </c>
      <c r="B2185" t="str">
        <f t="shared" si="178"/>
        <v>VIA VIRGILIO BROCCHI  56-</v>
      </c>
      <c r="C2185" t="str">
        <f t="shared" si="177"/>
        <v>RIV</v>
      </c>
      <c r="D2185">
        <v>23</v>
      </c>
      <c r="E2185" t="str">
        <f t="shared" ref="E2185:E2218" si="179">"258"</f>
        <v>258</v>
      </c>
      <c r="F2185" t="str">
        <f>"189"</f>
        <v>189</v>
      </c>
    </row>
    <row r="2186" spans="1:6">
      <c r="A2186" t="str">
        <f>"E1231-207"</f>
        <v>E1231-207</v>
      </c>
      <c r="B2186" t="str">
        <f t="shared" si="178"/>
        <v>VIA VIRGILIO BROCCHI  56-</v>
      </c>
      <c r="C2186" t="str">
        <f t="shared" si="177"/>
        <v>RIV</v>
      </c>
      <c r="D2186">
        <v>23</v>
      </c>
      <c r="E2186" t="str">
        <f t="shared" si="179"/>
        <v>258</v>
      </c>
      <c r="F2186" t="str">
        <f>"190"</f>
        <v>190</v>
      </c>
    </row>
    <row r="2187" spans="1:6">
      <c r="A2187" t="str">
        <f>"E1231-208"</f>
        <v>E1231-208</v>
      </c>
      <c r="B2187" t="str">
        <f t="shared" si="178"/>
        <v>VIA VIRGILIO BROCCHI  56-</v>
      </c>
      <c r="C2187" t="str">
        <f t="shared" si="177"/>
        <v>RIV</v>
      </c>
      <c r="D2187">
        <v>23</v>
      </c>
      <c r="E2187" t="str">
        <f t="shared" si="179"/>
        <v>258</v>
      </c>
      <c r="F2187" t="str">
        <f>"191"</f>
        <v>191</v>
      </c>
    </row>
    <row r="2188" spans="1:6">
      <c r="A2188" t="str">
        <f>"E1231-209"</f>
        <v>E1231-209</v>
      </c>
      <c r="B2188" t="str">
        <f t="shared" si="178"/>
        <v>VIA VIRGILIO BROCCHI  56-</v>
      </c>
      <c r="C2188" t="str">
        <f t="shared" si="177"/>
        <v>RIV</v>
      </c>
      <c r="D2188">
        <v>23</v>
      </c>
      <c r="E2188" t="str">
        <f t="shared" si="179"/>
        <v>258</v>
      </c>
      <c r="F2188" t="str">
        <f>"192"</f>
        <v>192</v>
      </c>
    </row>
    <row r="2189" spans="1:6">
      <c r="A2189" t="str">
        <f>"E1231-210"</f>
        <v>E1231-210</v>
      </c>
      <c r="B2189" t="str">
        <f t="shared" si="178"/>
        <v>VIA VIRGILIO BROCCHI  56-</v>
      </c>
      <c r="C2189" t="str">
        <f t="shared" si="177"/>
        <v>RIV</v>
      </c>
      <c r="D2189">
        <v>23</v>
      </c>
      <c r="E2189" t="str">
        <f t="shared" si="179"/>
        <v>258</v>
      </c>
      <c r="F2189" t="str">
        <f>"193"</f>
        <v>193</v>
      </c>
    </row>
    <row r="2190" spans="1:6">
      <c r="A2190" t="str">
        <f>"E1231-211"</f>
        <v>E1231-211</v>
      </c>
      <c r="B2190" t="str">
        <f t="shared" si="178"/>
        <v>VIA VIRGILIO BROCCHI  56-</v>
      </c>
      <c r="C2190" t="str">
        <f t="shared" si="177"/>
        <v>RIV</v>
      </c>
      <c r="D2190">
        <v>23</v>
      </c>
      <c r="E2190" t="str">
        <f t="shared" si="179"/>
        <v>258</v>
      </c>
      <c r="F2190" t="str">
        <f>"194"</f>
        <v>194</v>
      </c>
    </row>
    <row r="2191" spans="1:6">
      <c r="A2191" t="str">
        <f>"E1231-212"</f>
        <v>E1231-212</v>
      </c>
      <c r="B2191" t="str">
        <f>"VIA VIRGILIO BROCCHI  58-"</f>
        <v>VIA VIRGILIO BROCCHI  58-</v>
      </c>
      <c r="C2191" t="str">
        <f t="shared" si="177"/>
        <v>RIV</v>
      </c>
      <c r="D2191">
        <v>23</v>
      </c>
      <c r="E2191" t="str">
        <f t="shared" si="179"/>
        <v>258</v>
      </c>
      <c r="F2191" t="str">
        <f>"200"</f>
        <v>200</v>
      </c>
    </row>
    <row r="2192" spans="1:6">
      <c r="A2192" t="str">
        <f>"E1231-213"</f>
        <v>E1231-213</v>
      </c>
      <c r="B2192" t="str">
        <f>"VIA VIRGILIO BROCCHI  58-"</f>
        <v>VIA VIRGILIO BROCCHI  58-</v>
      </c>
      <c r="C2192" t="str">
        <f t="shared" si="177"/>
        <v>RIV</v>
      </c>
      <c r="D2192">
        <v>23</v>
      </c>
      <c r="E2192" t="str">
        <f t="shared" si="179"/>
        <v>258</v>
      </c>
      <c r="F2192" t="str">
        <f>"201"</f>
        <v>201</v>
      </c>
    </row>
    <row r="2193" spans="1:6">
      <c r="A2193" t="str">
        <f>"E1231-214"</f>
        <v>E1231-214</v>
      </c>
      <c r="B2193" t="str">
        <f>"VIA VIRGILIO BROCCHI  56B-"</f>
        <v>VIA VIRGILIO BROCCHI  56B-</v>
      </c>
      <c r="C2193" t="str">
        <f t="shared" si="177"/>
        <v>RIV</v>
      </c>
      <c r="D2193">
        <v>23</v>
      </c>
      <c r="E2193" t="str">
        <f t="shared" si="179"/>
        <v>258</v>
      </c>
      <c r="F2193" t="str">
        <f>"202"</f>
        <v>202</v>
      </c>
    </row>
    <row r="2194" spans="1:6">
      <c r="A2194" t="str">
        <f>"E1232-1"</f>
        <v>E1232-1</v>
      </c>
      <c r="B2194" t="str">
        <f t="shared" ref="B2194:B2218" si="180">"VIA VIRGILIO BROCCHI  59-"</f>
        <v>VIA VIRGILIO BROCCHI  59-</v>
      </c>
      <c r="C2194" t="str">
        <f t="shared" si="177"/>
        <v>RIV</v>
      </c>
      <c r="D2194">
        <v>23</v>
      </c>
      <c r="E2194" t="str">
        <f t="shared" si="179"/>
        <v>258</v>
      </c>
      <c r="F2194" t="str">
        <f>"109"</f>
        <v>109</v>
      </c>
    </row>
    <row r="2195" spans="1:6">
      <c r="A2195" t="str">
        <f>"E1232-2"</f>
        <v>E1232-2</v>
      </c>
      <c r="B2195" t="str">
        <f t="shared" si="180"/>
        <v>VIA VIRGILIO BROCCHI  59-</v>
      </c>
      <c r="C2195" t="str">
        <f t="shared" si="177"/>
        <v>RIV</v>
      </c>
      <c r="D2195">
        <v>23</v>
      </c>
      <c r="E2195" t="str">
        <f t="shared" si="179"/>
        <v>258</v>
      </c>
      <c r="F2195" t="str">
        <f>"110"</f>
        <v>110</v>
      </c>
    </row>
    <row r="2196" spans="1:6">
      <c r="A2196" t="str">
        <f>"E1232-3"</f>
        <v>E1232-3</v>
      </c>
      <c r="B2196" t="str">
        <f t="shared" si="180"/>
        <v>VIA VIRGILIO BROCCHI  59-</v>
      </c>
      <c r="C2196" t="str">
        <f t="shared" si="177"/>
        <v>RIV</v>
      </c>
      <c r="D2196">
        <v>23</v>
      </c>
      <c r="E2196" t="str">
        <f t="shared" si="179"/>
        <v>258</v>
      </c>
      <c r="F2196" t="str">
        <f>"111"</f>
        <v>111</v>
      </c>
    </row>
    <row r="2197" spans="1:6">
      <c r="A2197" t="str">
        <f>"E1232-4"</f>
        <v>E1232-4</v>
      </c>
      <c r="B2197" t="str">
        <f t="shared" si="180"/>
        <v>VIA VIRGILIO BROCCHI  59-</v>
      </c>
      <c r="C2197" t="str">
        <f t="shared" si="177"/>
        <v>RIV</v>
      </c>
      <c r="D2197">
        <v>23</v>
      </c>
      <c r="E2197" t="str">
        <f t="shared" si="179"/>
        <v>258</v>
      </c>
      <c r="F2197" t="str">
        <f>"112"</f>
        <v>112</v>
      </c>
    </row>
    <row r="2198" spans="1:6">
      <c r="A2198" t="str">
        <f>"E1232-5"</f>
        <v>E1232-5</v>
      </c>
      <c r="B2198" t="str">
        <f t="shared" si="180"/>
        <v>VIA VIRGILIO BROCCHI  59-</v>
      </c>
      <c r="C2198" t="str">
        <f t="shared" si="177"/>
        <v>RIV</v>
      </c>
      <c r="D2198">
        <v>23</v>
      </c>
      <c r="E2198" t="str">
        <f t="shared" si="179"/>
        <v>258</v>
      </c>
      <c r="F2198" t="str">
        <f>"113"</f>
        <v>113</v>
      </c>
    </row>
    <row r="2199" spans="1:6">
      <c r="A2199" t="str">
        <f>"E1232-6"</f>
        <v>E1232-6</v>
      </c>
      <c r="B2199" t="str">
        <f t="shared" si="180"/>
        <v>VIA VIRGILIO BROCCHI  59-</v>
      </c>
      <c r="C2199" t="str">
        <f t="shared" si="177"/>
        <v>RIV</v>
      </c>
      <c r="D2199">
        <v>23</v>
      </c>
      <c r="E2199" t="str">
        <f t="shared" si="179"/>
        <v>258</v>
      </c>
      <c r="F2199" t="str">
        <f>"114"</f>
        <v>114</v>
      </c>
    </row>
    <row r="2200" spans="1:6">
      <c r="A2200" t="str">
        <f>"E1232-7"</f>
        <v>E1232-7</v>
      </c>
      <c r="B2200" t="str">
        <f t="shared" si="180"/>
        <v>VIA VIRGILIO BROCCHI  59-</v>
      </c>
      <c r="C2200" t="str">
        <f t="shared" si="177"/>
        <v>RIV</v>
      </c>
      <c r="D2200">
        <v>23</v>
      </c>
      <c r="E2200" t="str">
        <f t="shared" si="179"/>
        <v>258</v>
      </c>
      <c r="F2200" t="str">
        <f>"115"</f>
        <v>115</v>
      </c>
    </row>
    <row r="2201" spans="1:6">
      <c r="A2201" t="str">
        <f>"E1232-8"</f>
        <v>E1232-8</v>
      </c>
      <c r="B2201" t="str">
        <f t="shared" si="180"/>
        <v>VIA VIRGILIO BROCCHI  59-</v>
      </c>
      <c r="C2201" t="str">
        <f t="shared" si="177"/>
        <v>RIV</v>
      </c>
      <c r="D2201">
        <v>23</v>
      </c>
      <c r="E2201" t="str">
        <f t="shared" si="179"/>
        <v>258</v>
      </c>
      <c r="F2201" t="str">
        <f>"116"</f>
        <v>116</v>
      </c>
    </row>
    <row r="2202" spans="1:6">
      <c r="A2202" t="str">
        <f>"E1232-9"</f>
        <v>E1232-9</v>
      </c>
      <c r="B2202" t="str">
        <f t="shared" si="180"/>
        <v>VIA VIRGILIO BROCCHI  59-</v>
      </c>
      <c r="C2202" t="str">
        <f t="shared" si="177"/>
        <v>RIV</v>
      </c>
      <c r="D2202">
        <v>23</v>
      </c>
      <c r="E2202" t="str">
        <f t="shared" si="179"/>
        <v>258</v>
      </c>
      <c r="F2202" t="str">
        <f>"117"</f>
        <v>117</v>
      </c>
    </row>
    <row r="2203" spans="1:6">
      <c r="A2203" t="str">
        <f>"E1232-10"</f>
        <v>E1232-10</v>
      </c>
      <c r="B2203" t="str">
        <f t="shared" si="180"/>
        <v>VIA VIRGILIO BROCCHI  59-</v>
      </c>
      <c r="C2203" t="str">
        <f t="shared" si="177"/>
        <v>RIV</v>
      </c>
      <c r="D2203">
        <v>23</v>
      </c>
      <c r="E2203" t="str">
        <f t="shared" si="179"/>
        <v>258</v>
      </c>
      <c r="F2203" t="str">
        <f>"118"</f>
        <v>118</v>
      </c>
    </row>
    <row r="2204" spans="1:6">
      <c r="A2204" t="str">
        <f>"E1232-11"</f>
        <v>E1232-11</v>
      </c>
      <c r="B2204" t="str">
        <f t="shared" si="180"/>
        <v>VIA VIRGILIO BROCCHI  59-</v>
      </c>
      <c r="C2204" t="str">
        <f t="shared" si="177"/>
        <v>RIV</v>
      </c>
      <c r="D2204">
        <v>23</v>
      </c>
      <c r="E2204" t="str">
        <f t="shared" si="179"/>
        <v>258</v>
      </c>
      <c r="F2204" t="str">
        <f>"131"</f>
        <v>131</v>
      </c>
    </row>
    <row r="2205" spans="1:6">
      <c r="A2205" t="str">
        <f>"E1232-12"</f>
        <v>E1232-12</v>
      </c>
      <c r="B2205" t="str">
        <f t="shared" si="180"/>
        <v>VIA VIRGILIO BROCCHI  59-</v>
      </c>
      <c r="C2205" t="str">
        <f t="shared" si="177"/>
        <v>RIV</v>
      </c>
      <c r="D2205">
        <v>23</v>
      </c>
      <c r="E2205" t="str">
        <f t="shared" si="179"/>
        <v>258</v>
      </c>
      <c r="F2205" t="str">
        <f>"132"</f>
        <v>132</v>
      </c>
    </row>
    <row r="2206" spans="1:6">
      <c r="A2206" t="str">
        <f>"E1232-13"</f>
        <v>E1232-13</v>
      </c>
      <c r="B2206" t="str">
        <f t="shared" si="180"/>
        <v>VIA VIRGILIO BROCCHI  59-</v>
      </c>
      <c r="C2206" t="str">
        <f t="shared" si="177"/>
        <v>RIV</v>
      </c>
      <c r="D2206">
        <v>23</v>
      </c>
      <c r="E2206" t="str">
        <f t="shared" si="179"/>
        <v>258</v>
      </c>
      <c r="F2206" t="str">
        <f>"133"</f>
        <v>133</v>
      </c>
    </row>
    <row r="2207" spans="1:6">
      <c r="A2207" t="str">
        <f>"E1232-14"</f>
        <v>E1232-14</v>
      </c>
      <c r="B2207" t="str">
        <f t="shared" si="180"/>
        <v>VIA VIRGILIO BROCCHI  59-</v>
      </c>
      <c r="C2207" t="str">
        <f t="shared" si="177"/>
        <v>RIV</v>
      </c>
      <c r="D2207">
        <v>23</v>
      </c>
      <c r="E2207" t="str">
        <f t="shared" si="179"/>
        <v>258</v>
      </c>
      <c r="F2207" t="str">
        <f>"134"</f>
        <v>134</v>
      </c>
    </row>
    <row r="2208" spans="1:6">
      <c r="A2208" t="str">
        <f>"E1232-15"</f>
        <v>E1232-15</v>
      </c>
      <c r="B2208" t="str">
        <f t="shared" si="180"/>
        <v>VIA VIRGILIO BROCCHI  59-</v>
      </c>
      <c r="C2208" t="str">
        <f t="shared" si="177"/>
        <v>RIV</v>
      </c>
      <c r="D2208">
        <v>23</v>
      </c>
      <c r="E2208" t="str">
        <f t="shared" si="179"/>
        <v>258</v>
      </c>
      <c r="F2208" t="str">
        <f>"120"</f>
        <v>120</v>
      </c>
    </row>
    <row r="2209" spans="1:6">
      <c r="A2209" t="str">
        <f>"E1232-16"</f>
        <v>E1232-16</v>
      </c>
      <c r="B2209" t="str">
        <f t="shared" si="180"/>
        <v>VIA VIRGILIO BROCCHI  59-</v>
      </c>
      <c r="C2209" t="str">
        <f t="shared" si="177"/>
        <v>RIV</v>
      </c>
      <c r="D2209">
        <v>23</v>
      </c>
      <c r="E2209" t="str">
        <f t="shared" si="179"/>
        <v>258</v>
      </c>
      <c r="F2209" t="str">
        <f>"121"</f>
        <v>121</v>
      </c>
    </row>
    <row r="2210" spans="1:6">
      <c r="A2210" t="str">
        <f>"E1232-17"</f>
        <v>E1232-17</v>
      </c>
      <c r="B2210" t="str">
        <f t="shared" si="180"/>
        <v>VIA VIRGILIO BROCCHI  59-</v>
      </c>
      <c r="C2210" t="str">
        <f t="shared" si="177"/>
        <v>RIV</v>
      </c>
      <c r="D2210">
        <v>23</v>
      </c>
      <c r="E2210" t="str">
        <f t="shared" si="179"/>
        <v>258</v>
      </c>
      <c r="F2210" t="str">
        <f>"122"</f>
        <v>122</v>
      </c>
    </row>
    <row r="2211" spans="1:6">
      <c r="A2211" t="str">
        <f>"E1232-18"</f>
        <v>E1232-18</v>
      </c>
      <c r="B2211" t="str">
        <f t="shared" si="180"/>
        <v>VIA VIRGILIO BROCCHI  59-</v>
      </c>
      <c r="C2211" t="str">
        <f t="shared" si="177"/>
        <v>RIV</v>
      </c>
      <c r="D2211">
        <v>23</v>
      </c>
      <c r="E2211" t="str">
        <f t="shared" si="179"/>
        <v>258</v>
      </c>
      <c r="F2211" t="str">
        <f>"123"</f>
        <v>123</v>
      </c>
    </row>
    <row r="2212" spans="1:6">
      <c r="A2212" t="str">
        <f>"E1232-19"</f>
        <v>E1232-19</v>
      </c>
      <c r="B2212" t="str">
        <f t="shared" si="180"/>
        <v>VIA VIRGILIO BROCCHI  59-</v>
      </c>
      <c r="C2212" t="str">
        <f t="shared" si="177"/>
        <v>RIV</v>
      </c>
      <c r="D2212">
        <v>23</v>
      </c>
      <c r="E2212" t="str">
        <f t="shared" si="179"/>
        <v>258</v>
      </c>
      <c r="F2212" t="str">
        <f>"124"</f>
        <v>124</v>
      </c>
    </row>
    <row r="2213" spans="1:6">
      <c r="A2213" t="str">
        <f>"E1232-20"</f>
        <v>E1232-20</v>
      </c>
      <c r="B2213" t="str">
        <f t="shared" si="180"/>
        <v>VIA VIRGILIO BROCCHI  59-</v>
      </c>
      <c r="C2213" t="str">
        <f t="shared" si="177"/>
        <v>RIV</v>
      </c>
      <c r="D2213">
        <v>23</v>
      </c>
      <c r="E2213" t="str">
        <f t="shared" si="179"/>
        <v>258</v>
      </c>
      <c r="F2213" t="str">
        <f>"125"</f>
        <v>125</v>
      </c>
    </row>
    <row r="2214" spans="1:6">
      <c r="A2214" t="str">
        <f>"E1232-21"</f>
        <v>E1232-21</v>
      </c>
      <c r="B2214" t="str">
        <f t="shared" si="180"/>
        <v>VIA VIRGILIO BROCCHI  59-</v>
      </c>
      <c r="C2214" t="str">
        <f t="shared" si="177"/>
        <v>RIV</v>
      </c>
      <c r="D2214">
        <v>23</v>
      </c>
      <c r="E2214" t="str">
        <f t="shared" si="179"/>
        <v>258</v>
      </c>
      <c r="F2214" t="str">
        <f>"126"</f>
        <v>126</v>
      </c>
    </row>
    <row r="2215" spans="1:6">
      <c r="A2215" t="str">
        <f>"E1232-22"</f>
        <v>E1232-22</v>
      </c>
      <c r="B2215" t="str">
        <f t="shared" si="180"/>
        <v>VIA VIRGILIO BROCCHI  59-</v>
      </c>
      <c r="C2215" t="str">
        <f t="shared" si="177"/>
        <v>RIV</v>
      </c>
      <c r="D2215">
        <v>23</v>
      </c>
      <c r="E2215" t="str">
        <f t="shared" si="179"/>
        <v>258</v>
      </c>
      <c r="F2215" t="str">
        <f>"127"</f>
        <v>127</v>
      </c>
    </row>
    <row r="2216" spans="1:6">
      <c r="A2216" t="str">
        <f>"E1232-23"</f>
        <v>E1232-23</v>
      </c>
      <c r="B2216" t="str">
        <f t="shared" si="180"/>
        <v>VIA VIRGILIO BROCCHI  59-</v>
      </c>
      <c r="C2216" t="str">
        <f t="shared" si="177"/>
        <v>RIV</v>
      </c>
      <c r="D2216">
        <v>23</v>
      </c>
      <c r="E2216" t="str">
        <f t="shared" si="179"/>
        <v>258</v>
      </c>
      <c r="F2216" t="str">
        <f>"128"</f>
        <v>128</v>
      </c>
    </row>
    <row r="2217" spans="1:6">
      <c r="A2217" t="str">
        <f>"E1232-24"</f>
        <v>E1232-24</v>
      </c>
      <c r="B2217" t="str">
        <f t="shared" si="180"/>
        <v>VIA VIRGILIO BROCCHI  59-</v>
      </c>
      <c r="C2217" t="str">
        <f t="shared" si="177"/>
        <v>RIV</v>
      </c>
      <c r="D2217">
        <v>23</v>
      </c>
      <c r="E2217" t="str">
        <f t="shared" si="179"/>
        <v>258</v>
      </c>
      <c r="F2217" t="str">
        <f>"129"</f>
        <v>129</v>
      </c>
    </row>
    <row r="2218" spans="1:6">
      <c r="A2218" t="str">
        <f>"E1232-25"</f>
        <v>E1232-25</v>
      </c>
      <c r="B2218" t="str">
        <f t="shared" si="180"/>
        <v>VIA VIRGILIO BROCCHI  59-</v>
      </c>
      <c r="C2218" t="str">
        <f t="shared" si="177"/>
        <v>RIV</v>
      </c>
      <c r="D2218">
        <v>23</v>
      </c>
      <c r="E2218" t="str">
        <f t="shared" si="179"/>
        <v>258</v>
      </c>
      <c r="F2218" t="str">
        <f>"130"</f>
        <v>130</v>
      </c>
    </row>
    <row r="2219" spans="1:6">
      <c r="A2219" t="str">
        <f>"E1233-1"</f>
        <v>E1233-1</v>
      </c>
      <c r="B2219" t="str">
        <f t="shared" ref="B2219:B2251" si="181">"VIA VIRGILIO BROCCHI  60-"</f>
        <v>VIA VIRGILIO BROCCHI  60-</v>
      </c>
      <c r="C2219" t="str">
        <f t="shared" si="177"/>
        <v>RIV</v>
      </c>
      <c r="D2219">
        <v>23</v>
      </c>
      <c r="E2219" t="str">
        <f t="shared" ref="E2219:E2251" si="182">"193"</f>
        <v>193</v>
      </c>
      <c r="F2219" t="str">
        <f>"2"</f>
        <v>2</v>
      </c>
    </row>
    <row r="2220" spans="1:6">
      <c r="A2220" t="str">
        <f>"E1233-2"</f>
        <v>E1233-2</v>
      </c>
      <c r="B2220" t="str">
        <f t="shared" si="181"/>
        <v>VIA VIRGILIO BROCCHI  60-</v>
      </c>
      <c r="C2220" t="str">
        <f t="shared" si="177"/>
        <v>RIV</v>
      </c>
      <c r="D2220">
        <v>23</v>
      </c>
      <c r="E2220" t="str">
        <f t="shared" si="182"/>
        <v>193</v>
      </c>
      <c r="F2220" t="str">
        <f>"3"</f>
        <v>3</v>
      </c>
    </row>
    <row r="2221" spans="1:6">
      <c r="A2221" t="str">
        <f>"E1233-3"</f>
        <v>E1233-3</v>
      </c>
      <c r="B2221" t="str">
        <f t="shared" si="181"/>
        <v>VIA VIRGILIO BROCCHI  60-</v>
      </c>
      <c r="C2221" t="str">
        <f t="shared" si="177"/>
        <v>RIV</v>
      </c>
      <c r="D2221">
        <v>23</v>
      </c>
      <c r="E2221" t="str">
        <f t="shared" si="182"/>
        <v>193</v>
      </c>
      <c r="F2221" t="str">
        <f>"4"</f>
        <v>4</v>
      </c>
    </row>
    <row r="2222" spans="1:6">
      <c r="A2222" t="str">
        <f>"E1233-4"</f>
        <v>E1233-4</v>
      </c>
      <c r="B2222" t="str">
        <f t="shared" si="181"/>
        <v>VIA VIRGILIO BROCCHI  60-</v>
      </c>
      <c r="C2222" t="str">
        <f t="shared" si="177"/>
        <v>RIV</v>
      </c>
      <c r="D2222">
        <v>23</v>
      </c>
      <c r="E2222" t="str">
        <f t="shared" si="182"/>
        <v>193</v>
      </c>
      <c r="F2222" t="str">
        <f>"5"</f>
        <v>5</v>
      </c>
    </row>
    <row r="2223" spans="1:6">
      <c r="A2223" t="str">
        <f>"E1233-5"</f>
        <v>E1233-5</v>
      </c>
      <c r="B2223" t="str">
        <f t="shared" si="181"/>
        <v>VIA VIRGILIO BROCCHI  60-</v>
      </c>
      <c r="C2223" t="str">
        <f t="shared" si="177"/>
        <v>RIV</v>
      </c>
      <c r="D2223">
        <v>23</v>
      </c>
      <c r="E2223" t="str">
        <f t="shared" si="182"/>
        <v>193</v>
      </c>
      <c r="F2223" t="str">
        <f>"6"</f>
        <v>6</v>
      </c>
    </row>
    <row r="2224" spans="1:6">
      <c r="A2224" t="str">
        <f>"E1233-6"</f>
        <v>E1233-6</v>
      </c>
      <c r="B2224" t="str">
        <f t="shared" si="181"/>
        <v>VIA VIRGILIO BROCCHI  60-</v>
      </c>
      <c r="C2224" t="str">
        <f t="shared" si="177"/>
        <v>RIV</v>
      </c>
      <c r="D2224">
        <v>23</v>
      </c>
      <c r="E2224" t="str">
        <f t="shared" si="182"/>
        <v>193</v>
      </c>
      <c r="F2224" t="str">
        <f>"7"</f>
        <v>7</v>
      </c>
    </row>
    <row r="2225" spans="1:6">
      <c r="A2225" t="str">
        <f>"E1233-7"</f>
        <v>E1233-7</v>
      </c>
      <c r="B2225" t="str">
        <f t="shared" si="181"/>
        <v>VIA VIRGILIO BROCCHI  60-</v>
      </c>
      <c r="C2225" t="str">
        <f t="shared" si="177"/>
        <v>RIV</v>
      </c>
      <c r="D2225">
        <v>23</v>
      </c>
      <c r="E2225" t="str">
        <f t="shared" si="182"/>
        <v>193</v>
      </c>
      <c r="F2225" t="str">
        <f>"8"</f>
        <v>8</v>
      </c>
    </row>
    <row r="2226" spans="1:6">
      <c r="A2226" t="str">
        <f>"E1233-8"</f>
        <v>E1233-8</v>
      </c>
      <c r="B2226" t="str">
        <f t="shared" si="181"/>
        <v>VIA VIRGILIO BROCCHI  60-</v>
      </c>
      <c r="C2226" t="str">
        <f t="shared" si="177"/>
        <v>RIV</v>
      </c>
      <c r="D2226">
        <v>23</v>
      </c>
      <c r="E2226" t="str">
        <f t="shared" si="182"/>
        <v>193</v>
      </c>
      <c r="F2226" t="str">
        <f>"11"</f>
        <v>11</v>
      </c>
    </row>
    <row r="2227" spans="1:6">
      <c r="A2227" t="str">
        <f>"E1233-9"</f>
        <v>E1233-9</v>
      </c>
      <c r="B2227" t="str">
        <f t="shared" si="181"/>
        <v>VIA VIRGILIO BROCCHI  60-</v>
      </c>
      <c r="C2227" t="str">
        <f t="shared" si="177"/>
        <v>RIV</v>
      </c>
      <c r="D2227">
        <v>23</v>
      </c>
      <c r="E2227" t="str">
        <f t="shared" si="182"/>
        <v>193</v>
      </c>
      <c r="F2227" t="str">
        <f>"32"</f>
        <v>32</v>
      </c>
    </row>
    <row r="2228" spans="1:6">
      <c r="A2228" t="str">
        <f>"E1233-10"</f>
        <v>E1233-10</v>
      </c>
      <c r="B2228" t="str">
        <f t="shared" si="181"/>
        <v>VIA VIRGILIO BROCCHI  60-</v>
      </c>
      <c r="C2228" t="str">
        <f t="shared" si="177"/>
        <v>RIV</v>
      </c>
      <c r="D2228">
        <v>23</v>
      </c>
      <c r="E2228" t="str">
        <f t="shared" si="182"/>
        <v>193</v>
      </c>
      <c r="F2228" t="str">
        <f>"33"</f>
        <v>33</v>
      </c>
    </row>
    <row r="2229" spans="1:6">
      <c r="A2229" t="str">
        <f>"E1233-11"</f>
        <v>E1233-11</v>
      </c>
      <c r="B2229" t="str">
        <f t="shared" si="181"/>
        <v>VIA VIRGILIO BROCCHI  60-</v>
      </c>
      <c r="C2229" t="str">
        <f t="shared" si="177"/>
        <v>RIV</v>
      </c>
      <c r="D2229">
        <v>23</v>
      </c>
      <c r="E2229" t="str">
        <f t="shared" si="182"/>
        <v>193</v>
      </c>
      <c r="F2229" t="str">
        <f>"34"</f>
        <v>34</v>
      </c>
    </row>
    <row r="2230" spans="1:6">
      <c r="A2230" t="str">
        <f>"E1233-12"</f>
        <v>E1233-12</v>
      </c>
      <c r="B2230" t="str">
        <f t="shared" si="181"/>
        <v>VIA VIRGILIO BROCCHI  60-</v>
      </c>
      <c r="C2230" t="str">
        <f t="shared" si="177"/>
        <v>RIV</v>
      </c>
      <c r="D2230">
        <v>23</v>
      </c>
      <c r="E2230" t="str">
        <f t="shared" si="182"/>
        <v>193</v>
      </c>
      <c r="F2230" t="str">
        <f>"35"</f>
        <v>35</v>
      </c>
    </row>
    <row r="2231" spans="1:6">
      <c r="A2231" t="str">
        <f>"E1233-13"</f>
        <v>E1233-13</v>
      </c>
      <c r="B2231" t="str">
        <f t="shared" si="181"/>
        <v>VIA VIRGILIO BROCCHI  60-</v>
      </c>
      <c r="C2231" t="str">
        <f t="shared" ref="C2231:C2294" si="183">"RIV"</f>
        <v>RIV</v>
      </c>
      <c r="D2231">
        <v>23</v>
      </c>
      <c r="E2231" t="str">
        <f t="shared" si="182"/>
        <v>193</v>
      </c>
      <c r="F2231" t="str">
        <f>"9"</f>
        <v>9</v>
      </c>
    </row>
    <row r="2232" spans="1:6">
      <c r="A2232" t="str">
        <f>"E1233-14"</f>
        <v>E1233-14</v>
      </c>
      <c r="B2232" t="str">
        <f t="shared" si="181"/>
        <v>VIA VIRGILIO BROCCHI  60-</v>
      </c>
      <c r="C2232" t="str">
        <f t="shared" si="183"/>
        <v>RIV</v>
      </c>
      <c r="D2232">
        <v>23</v>
      </c>
      <c r="E2232" t="str">
        <f t="shared" si="182"/>
        <v>193</v>
      </c>
      <c r="F2232" t="str">
        <f>"10"</f>
        <v>10</v>
      </c>
    </row>
    <row r="2233" spans="1:6">
      <c r="A2233" t="str">
        <f>"E1233-15"</f>
        <v>E1233-15</v>
      </c>
      <c r="B2233" t="str">
        <f t="shared" si="181"/>
        <v>VIA VIRGILIO BROCCHI  60-</v>
      </c>
      <c r="C2233" t="str">
        <f t="shared" si="183"/>
        <v>RIV</v>
      </c>
      <c r="D2233">
        <v>23</v>
      </c>
      <c r="E2233" t="str">
        <f t="shared" si="182"/>
        <v>193</v>
      </c>
      <c r="F2233" t="str">
        <f>"13"</f>
        <v>13</v>
      </c>
    </row>
    <row r="2234" spans="1:6">
      <c r="A2234" t="str">
        <f>"E1233-16"</f>
        <v>E1233-16</v>
      </c>
      <c r="B2234" t="str">
        <f t="shared" si="181"/>
        <v>VIA VIRGILIO BROCCHI  60-</v>
      </c>
      <c r="C2234" t="str">
        <f t="shared" si="183"/>
        <v>RIV</v>
      </c>
      <c r="D2234">
        <v>23</v>
      </c>
      <c r="E2234" t="str">
        <f t="shared" si="182"/>
        <v>193</v>
      </c>
      <c r="F2234" t="str">
        <f>"14"</f>
        <v>14</v>
      </c>
    </row>
    <row r="2235" spans="1:6">
      <c r="A2235" t="str">
        <f>"E1233-17"</f>
        <v>E1233-17</v>
      </c>
      <c r="B2235" t="str">
        <f t="shared" si="181"/>
        <v>VIA VIRGILIO BROCCHI  60-</v>
      </c>
      <c r="C2235" t="str">
        <f t="shared" si="183"/>
        <v>RIV</v>
      </c>
      <c r="D2235">
        <v>23</v>
      </c>
      <c r="E2235" t="str">
        <f t="shared" si="182"/>
        <v>193</v>
      </c>
      <c r="F2235" t="str">
        <f>"15"</f>
        <v>15</v>
      </c>
    </row>
    <row r="2236" spans="1:6">
      <c r="A2236" t="str">
        <f>"E1233-18"</f>
        <v>E1233-18</v>
      </c>
      <c r="B2236" t="str">
        <f t="shared" si="181"/>
        <v>VIA VIRGILIO BROCCHI  60-</v>
      </c>
      <c r="C2236" t="str">
        <f t="shared" si="183"/>
        <v>RIV</v>
      </c>
      <c r="D2236">
        <v>23</v>
      </c>
      <c r="E2236" t="str">
        <f t="shared" si="182"/>
        <v>193</v>
      </c>
      <c r="F2236" t="str">
        <f>"16"</f>
        <v>16</v>
      </c>
    </row>
    <row r="2237" spans="1:6">
      <c r="A2237" t="str">
        <f>"E1233-19"</f>
        <v>E1233-19</v>
      </c>
      <c r="B2237" t="str">
        <f t="shared" si="181"/>
        <v>VIA VIRGILIO BROCCHI  60-</v>
      </c>
      <c r="C2237" t="str">
        <f t="shared" si="183"/>
        <v>RIV</v>
      </c>
      <c r="D2237">
        <v>23</v>
      </c>
      <c r="E2237" t="str">
        <f t="shared" si="182"/>
        <v>193</v>
      </c>
      <c r="F2237" t="str">
        <f>"17"</f>
        <v>17</v>
      </c>
    </row>
    <row r="2238" spans="1:6">
      <c r="A2238" t="str">
        <f>"E1233-20"</f>
        <v>E1233-20</v>
      </c>
      <c r="B2238" t="str">
        <f t="shared" si="181"/>
        <v>VIA VIRGILIO BROCCHI  60-</v>
      </c>
      <c r="C2238" t="str">
        <f t="shared" si="183"/>
        <v>RIV</v>
      </c>
      <c r="D2238">
        <v>23</v>
      </c>
      <c r="E2238" t="str">
        <f t="shared" si="182"/>
        <v>193</v>
      </c>
      <c r="F2238" t="str">
        <f>"18"</f>
        <v>18</v>
      </c>
    </row>
    <row r="2239" spans="1:6">
      <c r="A2239" t="str">
        <f>"E1233-21"</f>
        <v>E1233-21</v>
      </c>
      <c r="B2239" t="str">
        <f t="shared" si="181"/>
        <v>VIA VIRGILIO BROCCHI  60-</v>
      </c>
      <c r="C2239" t="str">
        <f t="shared" si="183"/>
        <v>RIV</v>
      </c>
      <c r="D2239">
        <v>23</v>
      </c>
      <c r="E2239" t="str">
        <f t="shared" si="182"/>
        <v>193</v>
      </c>
      <c r="F2239" t="str">
        <f>"19"</f>
        <v>19</v>
      </c>
    </row>
    <row r="2240" spans="1:6">
      <c r="A2240" t="str">
        <f>"E1233-22"</f>
        <v>E1233-22</v>
      </c>
      <c r="B2240" t="str">
        <f t="shared" si="181"/>
        <v>VIA VIRGILIO BROCCHI  60-</v>
      </c>
      <c r="C2240" t="str">
        <f t="shared" si="183"/>
        <v>RIV</v>
      </c>
      <c r="D2240">
        <v>23</v>
      </c>
      <c r="E2240" t="str">
        <f t="shared" si="182"/>
        <v>193</v>
      </c>
      <c r="F2240" t="str">
        <f>"20"</f>
        <v>20</v>
      </c>
    </row>
    <row r="2241" spans="1:6">
      <c r="A2241" t="str">
        <f>"E1233-23"</f>
        <v>E1233-23</v>
      </c>
      <c r="B2241" t="str">
        <f t="shared" si="181"/>
        <v>VIA VIRGILIO BROCCHI  60-</v>
      </c>
      <c r="C2241" t="str">
        <f t="shared" si="183"/>
        <v>RIV</v>
      </c>
      <c r="D2241">
        <v>23</v>
      </c>
      <c r="E2241" t="str">
        <f t="shared" si="182"/>
        <v>193</v>
      </c>
      <c r="F2241" t="str">
        <f>"21"</f>
        <v>21</v>
      </c>
    </row>
    <row r="2242" spans="1:6">
      <c r="A2242" t="str">
        <f>"E1233-24"</f>
        <v>E1233-24</v>
      </c>
      <c r="B2242" t="str">
        <f t="shared" si="181"/>
        <v>VIA VIRGILIO BROCCHI  60-</v>
      </c>
      <c r="C2242" t="str">
        <f t="shared" si="183"/>
        <v>RIV</v>
      </c>
      <c r="D2242">
        <v>23</v>
      </c>
      <c r="E2242" t="str">
        <f t="shared" si="182"/>
        <v>193</v>
      </c>
      <c r="F2242" t="str">
        <f>"22"</f>
        <v>22</v>
      </c>
    </row>
    <row r="2243" spans="1:6">
      <c r="A2243" t="str">
        <f>"E1233-25"</f>
        <v>E1233-25</v>
      </c>
      <c r="B2243" t="str">
        <f t="shared" si="181"/>
        <v>VIA VIRGILIO BROCCHI  60-</v>
      </c>
      <c r="C2243" t="str">
        <f t="shared" si="183"/>
        <v>RIV</v>
      </c>
      <c r="D2243">
        <v>23</v>
      </c>
      <c r="E2243" t="str">
        <f t="shared" si="182"/>
        <v>193</v>
      </c>
      <c r="F2243" t="str">
        <f>"23"</f>
        <v>23</v>
      </c>
    </row>
    <row r="2244" spans="1:6">
      <c r="A2244" t="str">
        <f>"E1233-26"</f>
        <v>E1233-26</v>
      </c>
      <c r="B2244" t="str">
        <f t="shared" si="181"/>
        <v>VIA VIRGILIO BROCCHI  60-</v>
      </c>
      <c r="C2244" t="str">
        <f t="shared" si="183"/>
        <v>RIV</v>
      </c>
      <c r="D2244">
        <v>23</v>
      </c>
      <c r="E2244" t="str">
        <f t="shared" si="182"/>
        <v>193</v>
      </c>
      <c r="F2244" t="str">
        <f>"24"</f>
        <v>24</v>
      </c>
    </row>
    <row r="2245" spans="1:6">
      <c r="A2245" t="str">
        <f>"E1233-27"</f>
        <v>E1233-27</v>
      </c>
      <c r="B2245" t="str">
        <f t="shared" si="181"/>
        <v>VIA VIRGILIO BROCCHI  60-</v>
      </c>
      <c r="C2245" t="str">
        <f t="shared" si="183"/>
        <v>RIV</v>
      </c>
      <c r="D2245">
        <v>23</v>
      </c>
      <c r="E2245" t="str">
        <f t="shared" si="182"/>
        <v>193</v>
      </c>
      <c r="F2245" t="str">
        <f>"25"</f>
        <v>25</v>
      </c>
    </row>
    <row r="2246" spans="1:6">
      <c r="A2246" t="str">
        <f>"E1233-28"</f>
        <v>E1233-28</v>
      </c>
      <c r="B2246" t="str">
        <f t="shared" si="181"/>
        <v>VIA VIRGILIO BROCCHI  60-</v>
      </c>
      <c r="C2246" t="str">
        <f t="shared" si="183"/>
        <v>RIV</v>
      </c>
      <c r="D2246">
        <v>23</v>
      </c>
      <c r="E2246" t="str">
        <f t="shared" si="182"/>
        <v>193</v>
      </c>
      <c r="F2246" t="str">
        <f>"26"</f>
        <v>26</v>
      </c>
    </row>
    <row r="2247" spans="1:6">
      <c r="A2247" t="str">
        <f>"E1233-29"</f>
        <v>E1233-29</v>
      </c>
      <c r="B2247" t="str">
        <f t="shared" si="181"/>
        <v>VIA VIRGILIO BROCCHI  60-</v>
      </c>
      <c r="C2247" t="str">
        <f t="shared" si="183"/>
        <v>RIV</v>
      </c>
      <c r="D2247">
        <v>23</v>
      </c>
      <c r="E2247" t="str">
        <f t="shared" si="182"/>
        <v>193</v>
      </c>
      <c r="F2247" t="str">
        <f>"27"</f>
        <v>27</v>
      </c>
    </row>
    <row r="2248" spans="1:6">
      <c r="A2248" t="str">
        <f>"E1233-30"</f>
        <v>E1233-30</v>
      </c>
      <c r="B2248" t="str">
        <f t="shared" si="181"/>
        <v>VIA VIRGILIO BROCCHI  60-</v>
      </c>
      <c r="C2248" t="str">
        <f t="shared" si="183"/>
        <v>RIV</v>
      </c>
      <c r="D2248">
        <v>23</v>
      </c>
      <c r="E2248" t="str">
        <f t="shared" si="182"/>
        <v>193</v>
      </c>
      <c r="F2248" t="str">
        <f>"28"</f>
        <v>28</v>
      </c>
    </row>
    <row r="2249" spans="1:6">
      <c r="A2249" t="str">
        <f>"E1233-31"</f>
        <v>E1233-31</v>
      </c>
      <c r="B2249" t="str">
        <f t="shared" si="181"/>
        <v>VIA VIRGILIO BROCCHI  60-</v>
      </c>
      <c r="C2249" t="str">
        <f t="shared" si="183"/>
        <v>RIV</v>
      </c>
      <c r="D2249">
        <v>23</v>
      </c>
      <c r="E2249" t="str">
        <f t="shared" si="182"/>
        <v>193</v>
      </c>
      <c r="F2249" t="str">
        <f>"29"</f>
        <v>29</v>
      </c>
    </row>
    <row r="2250" spans="1:6">
      <c r="A2250" t="str">
        <f>"E1233-32"</f>
        <v>E1233-32</v>
      </c>
      <c r="B2250" t="str">
        <f t="shared" si="181"/>
        <v>VIA VIRGILIO BROCCHI  60-</v>
      </c>
      <c r="C2250" t="str">
        <f t="shared" si="183"/>
        <v>RIV</v>
      </c>
      <c r="D2250">
        <v>23</v>
      </c>
      <c r="E2250" t="str">
        <f t="shared" si="182"/>
        <v>193</v>
      </c>
      <c r="F2250" t="str">
        <f>"30"</f>
        <v>30</v>
      </c>
    </row>
    <row r="2251" spans="1:6">
      <c r="A2251" t="str">
        <f>"E1233-33"</f>
        <v>E1233-33</v>
      </c>
      <c r="B2251" t="str">
        <f t="shared" si="181"/>
        <v>VIA VIRGILIO BROCCHI  60-</v>
      </c>
      <c r="C2251" t="str">
        <f t="shared" si="183"/>
        <v>RIV</v>
      </c>
      <c r="D2251">
        <v>23</v>
      </c>
      <c r="E2251" t="str">
        <f t="shared" si="182"/>
        <v>193</v>
      </c>
      <c r="F2251" t="str">
        <f>"31"</f>
        <v>31</v>
      </c>
    </row>
    <row r="2252" spans="1:6">
      <c r="A2252" t="str">
        <f>"E1235-1"</f>
        <v>E1235-1</v>
      </c>
      <c r="B2252" t="str">
        <f t="shared" ref="B2252:B2283" si="184">"VIA FELICE MARITANO  80-"</f>
        <v>VIA FELICE MARITANO  80-</v>
      </c>
      <c r="C2252" t="str">
        <f t="shared" si="183"/>
        <v>RIV</v>
      </c>
      <c r="D2252">
        <v>27</v>
      </c>
      <c r="E2252" t="str">
        <f t="shared" ref="E2252:E2315" si="185">"124"</f>
        <v>124</v>
      </c>
      <c r="F2252" t="str">
        <f>"5"</f>
        <v>5</v>
      </c>
    </row>
    <row r="2253" spans="1:6">
      <c r="A2253" t="str">
        <f>"E1235-2"</f>
        <v>E1235-2</v>
      </c>
      <c r="B2253" t="str">
        <f t="shared" si="184"/>
        <v>VIA FELICE MARITANO  80-</v>
      </c>
      <c r="C2253" t="str">
        <f t="shared" si="183"/>
        <v>RIV</v>
      </c>
      <c r="D2253">
        <v>27</v>
      </c>
      <c r="E2253" t="str">
        <f t="shared" si="185"/>
        <v>124</v>
      </c>
      <c r="F2253" t="str">
        <f>"6"</f>
        <v>6</v>
      </c>
    </row>
    <row r="2254" spans="1:6">
      <c r="A2254" t="str">
        <f>"E1235-3"</f>
        <v>E1235-3</v>
      </c>
      <c r="B2254" t="str">
        <f t="shared" si="184"/>
        <v>VIA FELICE MARITANO  80-</v>
      </c>
      <c r="C2254" t="str">
        <f t="shared" si="183"/>
        <v>RIV</v>
      </c>
      <c r="D2254">
        <v>27</v>
      </c>
      <c r="E2254" t="str">
        <f t="shared" si="185"/>
        <v>124</v>
      </c>
      <c r="F2254" t="str">
        <f>"7"</f>
        <v>7</v>
      </c>
    </row>
    <row r="2255" spans="1:6">
      <c r="A2255" t="str">
        <f>"E1235-4"</f>
        <v>E1235-4</v>
      </c>
      <c r="B2255" t="str">
        <f t="shared" si="184"/>
        <v>VIA FELICE MARITANO  80-</v>
      </c>
      <c r="C2255" t="str">
        <f t="shared" si="183"/>
        <v>RIV</v>
      </c>
      <c r="D2255">
        <v>27</v>
      </c>
      <c r="E2255" t="str">
        <f t="shared" si="185"/>
        <v>124</v>
      </c>
      <c r="F2255" t="str">
        <f>"8"</f>
        <v>8</v>
      </c>
    </row>
    <row r="2256" spans="1:6">
      <c r="A2256" t="str">
        <f>"E1235-5"</f>
        <v>E1235-5</v>
      </c>
      <c r="B2256" t="str">
        <f t="shared" si="184"/>
        <v>VIA FELICE MARITANO  80-</v>
      </c>
      <c r="C2256" t="str">
        <f t="shared" si="183"/>
        <v>RIV</v>
      </c>
      <c r="D2256">
        <v>27</v>
      </c>
      <c r="E2256" t="str">
        <f t="shared" si="185"/>
        <v>124</v>
      </c>
      <c r="F2256" t="str">
        <f>"9"</f>
        <v>9</v>
      </c>
    </row>
    <row r="2257" spans="1:6">
      <c r="A2257" t="str">
        <f>"E1235-6"</f>
        <v>E1235-6</v>
      </c>
      <c r="B2257" t="str">
        <f t="shared" si="184"/>
        <v>VIA FELICE MARITANO  80-</v>
      </c>
      <c r="C2257" t="str">
        <f t="shared" si="183"/>
        <v>RIV</v>
      </c>
      <c r="D2257">
        <v>27</v>
      </c>
      <c r="E2257" t="str">
        <f t="shared" si="185"/>
        <v>124</v>
      </c>
      <c r="F2257" t="str">
        <f>"17"</f>
        <v>17</v>
      </c>
    </row>
    <row r="2258" spans="1:6">
      <c r="A2258" t="str">
        <f>"E1235-7"</f>
        <v>E1235-7</v>
      </c>
      <c r="B2258" t="str">
        <f t="shared" si="184"/>
        <v>VIA FELICE MARITANO  80-</v>
      </c>
      <c r="C2258" t="str">
        <f t="shared" si="183"/>
        <v>RIV</v>
      </c>
      <c r="D2258">
        <v>27</v>
      </c>
      <c r="E2258" t="str">
        <f t="shared" si="185"/>
        <v>124</v>
      </c>
      <c r="F2258" t="str">
        <f>"16"</f>
        <v>16</v>
      </c>
    </row>
    <row r="2259" spans="1:6">
      <c r="A2259" t="str">
        <f>"E1235-8"</f>
        <v>E1235-8</v>
      </c>
      <c r="B2259" t="str">
        <f t="shared" si="184"/>
        <v>VIA FELICE MARITANO  80-</v>
      </c>
      <c r="C2259" t="str">
        <f t="shared" si="183"/>
        <v>RIV</v>
      </c>
      <c r="D2259">
        <v>27</v>
      </c>
      <c r="E2259" t="str">
        <f t="shared" si="185"/>
        <v>124</v>
      </c>
      <c r="F2259" t="str">
        <f>"13"</f>
        <v>13</v>
      </c>
    </row>
    <row r="2260" spans="1:6">
      <c r="A2260" t="str">
        <f>"E1235-9"</f>
        <v>E1235-9</v>
      </c>
      <c r="B2260" t="str">
        <f t="shared" si="184"/>
        <v>VIA FELICE MARITANO  80-</v>
      </c>
      <c r="C2260" t="str">
        <f t="shared" si="183"/>
        <v>RIV</v>
      </c>
      <c r="D2260">
        <v>27</v>
      </c>
      <c r="E2260" t="str">
        <f t="shared" si="185"/>
        <v>124</v>
      </c>
      <c r="F2260" t="str">
        <f>"14"</f>
        <v>14</v>
      </c>
    </row>
    <row r="2261" spans="1:6">
      <c r="A2261" t="str">
        <f>"E1235-10"</f>
        <v>E1235-10</v>
      </c>
      <c r="B2261" t="str">
        <f t="shared" si="184"/>
        <v>VIA FELICE MARITANO  80-</v>
      </c>
      <c r="C2261" t="str">
        <f t="shared" si="183"/>
        <v>RIV</v>
      </c>
      <c r="D2261">
        <v>27</v>
      </c>
      <c r="E2261" t="str">
        <f t="shared" si="185"/>
        <v>124</v>
      </c>
      <c r="F2261" t="str">
        <f>"15"</f>
        <v>15</v>
      </c>
    </row>
    <row r="2262" spans="1:6">
      <c r="A2262" t="str">
        <f>"E1235-11"</f>
        <v>E1235-11</v>
      </c>
      <c r="B2262" t="str">
        <f t="shared" si="184"/>
        <v>VIA FELICE MARITANO  80-</v>
      </c>
      <c r="C2262" t="str">
        <f t="shared" si="183"/>
        <v>RIV</v>
      </c>
      <c r="D2262">
        <v>27</v>
      </c>
      <c r="E2262" t="str">
        <f t="shared" si="185"/>
        <v>124</v>
      </c>
      <c r="F2262" t="str">
        <f>"21"</f>
        <v>21</v>
      </c>
    </row>
    <row r="2263" spans="1:6">
      <c r="A2263" t="str">
        <f>"E1235-12"</f>
        <v>E1235-12</v>
      </c>
      <c r="B2263" t="str">
        <f t="shared" si="184"/>
        <v>VIA FELICE MARITANO  80-</v>
      </c>
      <c r="C2263" t="str">
        <f t="shared" si="183"/>
        <v>RIV</v>
      </c>
      <c r="D2263">
        <v>27</v>
      </c>
      <c r="E2263" t="str">
        <f t="shared" si="185"/>
        <v>124</v>
      </c>
      <c r="F2263" t="str">
        <f>"22"</f>
        <v>22</v>
      </c>
    </row>
    <row r="2264" spans="1:6">
      <c r="A2264" t="str">
        <f>"E1235-13"</f>
        <v>E1235-13</v>
      </c>
      <c r="B2264" t="str">
        <f t="shared" si="184"/>
        <v>VIA FELICE MARITANO  80-</v>
      </c>
      <c r="C2264" t="str">
        <f t="shared" si="183"/>
        <v>RIV</v>
      </c>
      <c r="D2264">
        <v>27</v>
      </c>
      <c r="E2264" t="str">
        <f t="shared" si="185"/>
        <v>124</v>
      </c>
      <c r="F2264" t="str">
        <f>"23"</f>
        <v>23</v>
      </c>
    </row>
    <row r="2265" spans="1:6">
      <c r="A2265" t="str">
        <f>"E1235-14"</f>
        <v>E1235-14</v>
      </c>
      <c r="B2265" t="str">
        <f t="shared" si="184"/>
        <v>VIA FELICE MARITANO  80-</v>
      </c>
      <c r="C2265" t="str">
        <f t="shared" si="183"/>
        <v>RIV</v>
      </c>
      <c r="D2265">
        <v>27</v>
      </c>
      <c r="E2265" t="str">
        <f t="shared" si="185"/>
        <v>124</v>
      </c>
      <c r="F2265" t="str">
        <f>"30"</f>
        <v>30</v>
      </c>
    </row>
    <row r="2266" spans="1:6">
      <c r="A2266" t="str">
        <f>"E1235-15"</f>
        <v>E1235-15</v>
      </c>
      <c r="B2266" t="str">
        <f t="shared" si="184"/>
        <v>VIA FELICE MARITANO  80-</v>
      </c>
      <c r="C2266" t="str">
        <f t="shared" si="183"/>
        <v>RIV</v>
      </c>
      <c r="D2266">
        <v>27</v>
      </c>
      <c r="E2266" t="str">
        <f t="shared" si="185"/>
        <v>124</v>
      </c>
      <c r="F2266" t="str">
        <f>"31"</f>
        <v>31</v>
      </c>
    </row>
    <row r="2267" spans="1:6">
      <c r="A2267" t="str">
        <f>"E1235-16"</f>
        <v>E1235-16</v>
      </c>
      <c r="B2267" t="str">
        <f t="shared" si="184"/>
        <v>VIA FELICE MARITANO  80-</v>
      </c>
      <c r="C2267" t="str">
        <f t="shared" si="183"/>
        <v>RIV</v>
      </c>
      <c r="D2267">
        <v>27</v>
      </c>
      <c r="E2267" t="str">
        <f t="shared" si="185"/>
        <v>124</v>
      </c>
      <c r="F2267" t="str">
        <f>"32"</f>
        <v>32</v>
      </c>
    </row>
    <row r="2268" spans="1:6">
      <c r="A2268" t="str">
        <f>"E1235-17"</f>
        <v>E1235-17</v>
      </c>
      <c r="B2268" t="str">
        <f t="shared" si="184"/>
        <v>VIA FELICE MARITANO  80-</v>
      </c>
      <c r="C2268" t="str">
        <f t="shared" si="183"/>
        <v>RIV</v>
      </c>
      <c r="D2268">
        <v>27</v>
      </c>
      <c r="E2268" t="str">
        <f t="shared" si="185"/>
        <v>124</v>
      </c>
      <c r="F2268" t="str">
        <f>"33"</f>
        <v>33</v>
      </c>
    </row>
    <row r="2269" spans="1:6">
      <c r="A2269" t="str">
        <f>"E1235-18"</f>
        <v>E1235-18</v>
      </c>
      <c r="B2269" t="str">
        <f t="shared" si="184"/>
        <v>VIA FELICE MARITANO  80-</v>
      </c>
      <c r="C2269" t="str">
        <f t="shared" si="183"/>
        <v>RIV</v>
      </c>
      <c r="D2269">
        <v>27</v>
      </c>
      <c r="E2269" t="str">
        <f t="shared" si="185"/>
        <v>124</v>
      </c>
      <c r="F2269" t="str">
        <f>"34"</f>
        <v>34</v>
      </c>
    </row>
    <row r="2270" spans="1:6">
      <c r="A2270" t="str">
        <f>"E1235-19"</f>
        <v>E1235-19</v>
      </c>
      <c r="B2270" t="str">
        <f t="shared" si="184"/>
        <v>VIA FELICE MARITANO  80-</v>
      </c>
      <c r="C2270" t="str">
        <f t="shared" si="183"/>
        <v>RIV</v>
      </c>
      <c r="D2270">
        <v>27</v>
      </c>
      <c r="E2270" t="str">
        <f t="shared" si="185"/>
        <v>124</v>
      </c>
      <c r="F2270" t="str">
        <f>"25"</f>
        <v>25</v>
      </c>
    </row>
    <row r="2271" spans="1:6">
      <c r="A2271" t="str">
        <f>"E1235-20"</f>
        <v>E1235-20</v>
      </c>
      <c r="B2271" t="str">
        <f t="shared" si="184"/>
        <v>VIA FELICE MARITANO  80-</v>
      </c>
      <c r="C2271" t="str">
        <f t="shared" si="183"/>
        <v>RIV</v>
      </c>
      <c r="D2271">
        <v>27</v>
      </c>
      <c r="E2271" t="str">
        <f t="shared" si="185"/>
        <v>124</v>
      </c>
      <c r="F2271" t="str">
        <f>"24"</f>
        <v>24</v>
      </c>
    </row>
    <row r="2272" spans="1:6">
      <c r="A2272" t="str">
        <f>"E1235-21"</f>
        <v>E1235-21</v>
      </c>
      <c r="B2272" t="str">
        <f t="shared" si="184"/>
        <v>VIA FELICE MARITANO  80-</v>
      </c>
      <c r="C2272" t="str">
        <f t="shared" si="183"/>
        <v>RIV</v>
      </c>
      <c r="D2272">
        <v>27</v>
      </c>
      <c r="E2272" t="str">
        <f t="shared" si="185"/>
        <v>124</v>
      </c>
      <c r="F2272" t="str">
        <f>"43"</f>
        <v>43</v>
      </c>
    </row>
    <row r="2273" spans="1:6">
      <c r="A2273" t="str">
        <f>"E1235-22"</f>
        <v>E1235-22</v>
      </c>
      <c r="B2273" t="str">
        <f t="shared" si="184"/>
        <v>VIA FELICE MARITANO  80-</v>
      </c>
      <c r="C2273" t="str">
        <f t="shared" si="183"/>
        <v>RIV</v>
      </c>
      <c r="D2273">
        <v>27</v>
      </c>
      <c r="E2273" t="str">
        <f t="shared" si="185"/>
        <v>124</v>
      </c>
      <c r="F2273" t="str">
        <f>"42"</f>
        <v>42</v>
      </c>
    </row>
    <row r="2274" spans="1:6">
      <c r="A2274" t="str">
        <f>"E1235-23"</f>
        <v>E1235-23</v>
      </c>
      <c r="B2274" t="str">
        <f t="shared" si="184"/>
        <v>VIA FELICE MARITANO  80-</v>
      </c>
      <c r="C2274" t="str">
        <f t="shared" si="183"/>
        <v>RIV</v>
      </c>
      <c r="D2274">
        <v>27</v>
      </c>
      <c r="E2274" t="str">
        <f t="shared" si="185"/>
        <v>124</v>
      </c>
      <c r="F2274" t="str">
        <f>"39"</f>
        <v>39</v>
      </c>
    </row>
    <row r="2275" spans="1:6">
      <c r="A2275" t="str">
        <f>"E1235-24"</f>
        <v>E1235-24</v>
      </c>
      <c r="B2275" t="str">
        <f t="shared" si="184"/>
        <v>VIA FELICE MARITANO  80-</v>
      </c>
      <c r="C2275" t="str">
        <f t="shared" si="183"/>
        <v>RIV</v>
      </c>
      <c r="D2275">
        <v>27</v>
      </c>
      <c r="E2275" t="str">
        <f t="shared" si="185"/>
        <v>124</v>
      </c>
      <c r="F2275" t="str">
        <f>"40"</f>
        <v>40</v>
      </c>
    </row>
    <row r="2276" spans="1:6">
      <c r="A2276" t="str">
        <f>"E1235-25"</f>
        <v>E1235-25</v>
      </c>
      <c r="B2276" t="str">
        <f t="shared" si="184"/>
        <v>VIA FELICE MARITANO  80-</v>
      </c>
      <c r="C2276" t="str">
        <f t="shared" si="183"/>
        <v>RIV</v>
      </c>
      <c r="D2276">
        <v>27</v>
      </c>
      <c r="E2276" t="str">
        <f t="shared" si="185"/>
        <v>124</v>
      </c>
      <c r="F2276" t="str">
        <f>"41"</f>
        <v>41</v>
      </c>
    </row>
    <row r="2277" spans="1:6">
      <c r="A2277" t="str">
        <f>"E1235-26"</f>
        <v>E1235-26</v>
      </c>
      <c r="B2277" t="str">
        <f t="shared" si="184"/>
        <v>VIA FELICE MARITANO  80-</v>
      </c>
      <c r="C2277" t="str">
        <f t="shared" si="183"/>
        <v>RIV</v>
      </c>
      <c r="D2277">
        <v>27</v>
      </c>
      <c r="E2277" t="str">
        <f t="shared" si="185"/>
        <v>124</v>
      </c>
      <c r="F2277" t="str">
        <f>"50"</f>
        <v>50</v>
      </c>
    </row>
    <row r="2278" spans="1:6">
      <c r="A2278" t="str">
        <f>"E1235-27"</f>
        <v>E1235-27</v>
      </c>
      <c r="B2278" t="str">
        <f t="shared" si="184"/>
        <v>VIA FELICE MARITANO  80-</v>
      </c>
      <c r="C2278" t="str">
        <f t="shared" si="183"/>
        <v>RIV</v>
      </c>
      <c r="D2278">
        <v>27</v>
      </c>
      <c r="E2278" t="str">
        <f t="shared" si="185"/>
        <v>124</v>
      </c>
      <c r="F2278" t="str">
        <f>"51"</f>
        <v>51</v>
      </c>
    </row>
    <row r="2279" spans="1:6">
      <c r="A2279" t="str">
        <f>"E1235-28"</f>
        <v>E1235-28</v>
      </c>
      <c r="B2279" t="str">
        <f t="shared" si="184"/>
        <v>VIA FELICE MARITANO  80-</v>
      </c>
      <c r="C2279" t="str">
        <f t="shared" si="183"/>
        <v>RIV</v>
      </c>
      <c r="D2279">
        <v>27</v>
      </c>
      <c r="E2279" t="str">
        <f t="shared" si="185"/>
        <v>124</v>
      </c>
      <c r="F2279" t="str">
        <f>"52"</f>
        <v>52</v>
      </c>
    </row>
    <row r="2280" spans="1:6">
      <c r="A2280" t="str">
        <f>"E1235-29"</f>
        <v>E1235-29</v>
      </c>
      <c r="B2280" t="str">
        <f t="shared" si="184"/>
        <v>VIA FELICE MARITANO  80-</v>
      </c>
      <c r="C2280" t="str">
        <f t="shared" si="183"/>
        <v>RIV</v>
      </c>
      <c r="D2280">
        <v>27</v>
      </c>
      <c r="E2280" t="str">
        <f t="shared" si="185"/>
        <v>124</v>
      </c>
      <c r="F2280" t="str">
        <f>"61"</f>
        <v>61</v>
      </c>
    </row>
    <row r="2281" spans="1:6">
      <c r="A2281" t="str">
        <f>"E1235-30"</f>
        <v>E1235-30</v>
      </c>
      <c r="B2281" t="str">
        <f t="shared" si="184"/>
        <v>VIA FELICE MARITANO  80-</v>
      </c>
      <c r="C2281" t="str">
        <f t="shared" si="183"/>
        <v>RIV</v>
      </c>
      <c r="D2281">
        <v>27</v>
      </c>
      <c r="E2281" t="str">
        <f t="shared" si="185"/>
        <v>124</v>
      </c>
      <c r="F2281" t="str">
        <f>"62"</f>
        <v>62</v>
      </c>
    </row>
    <row r="2282" spans="1:6">
      <c r="A2282" t="str">
        <f>"E1235-31"</f>
        <v>E1235-31</v>
      </c>
      <c r="B2282" t="str">
        <f t="shared" si="184"/>
        <v>VIA FELICE MARITANO  80-</v>
      </c>
      <c r="C2282" t="str">
        <f t="shared" si="183"/>
        <v>RIV</v>
      </c>
      <c r="D2282">
        <v>27</v>
      </c>
      <c r="E2282" t="str">
        <f t="shared" si="185"/>
        <v>124</v>
      </c>
      <c r="F2282" t="str">
        <f>"63"</f>
        <v>63</v>
      </c>
    </row>
    <row r="2283" spans="1:6">
      <c r="A2283" t="str">
        <f>"E1235-32"</f>
        <v>E1235-32</v>
      </c>
      <c r="B2283" t="str">
        <f t="shared" si="184"/>
        <v>VIA FELICE MARITANO  80-</v>
      </c>
      <c r="C2283" t="str">
        <f t="shared" si="183"/>
        <v>RIV</v>
      </c>
      <c r="D2283">
        <v>27</v>
      </c>
      <c r="E2283" t="str">
        <f t="shared" si="185"/>
        <v>124</v>
      </c>
      <c r="F2283" t="str">
        <f>"64"</f>
        <v>64</v>
      </c>
    </row>
    <row r="2284" spans="1:6">
      <c r="A2284" t="str">
        <f>"E1235-33"</f>
        <v>E1235-33</v>
      </c>
      <c r="B2284" t="str">
        <f t="shared" ref="B2284:B2315" si="186">"VIA FELICE MARITANO  80-"</f>
        <v>VIA FELICE MARITANO  80-</v>
      </c>
      <c r="C2284" t="str">
        <f t="shared" si="183"/>
        <v>RIV</v>
      </c>
      <c r="D2284">
        <v>27</v>
      </c>
      <c r="E2284" t="str">
        <f t="shared" si="185"/>
        <v>124</v>
      </c>
      <c r="F2284" t="str">
        <f>"65"</f>
        <v>65</v>
      </c>
    </row>
    <row r="2285" spans="1:6">
      <c r="A2285" t="str">
        <f>"E1235-34"</f>
        <v>E1235-34</v>
      </c>
      <c r="B2285" t="str">
        <f t="shared" si="186"/>
        <v>VIA FELICE MARITANO  80-</v>
      </c>
      <c r="C2285" t="str">
        <f t="shared" si="183"/>
        <v>RIV</v>
      </c>
      <c r="D2285">
        <v>27</v>
      </c>
      <c r="E2285" t="str">
        <f t="shared" si="185"/>
        <v>124</v>
      </c>
      <c r="F2285" t="str">
        <f>"54"</f>
        <v>54</v>
      </c>
    </row>
    <row r="2286" spans="1:6">
      <c r="A2286" t="str">
        <f>"E1235-35"</f>
        <v>E1235-35</v>
      </c>
      <c r="B2286" t="str">
        <f t="shared" si="186"/>
        <v>VIA FELICE MARITANO  80-</v>
      </c>
      <c r="C2286" t="str">
        <f t="shared" si="183"/>
        <v>RIV</v>
      </c>
      <c r="D2286">
        <v>27</v>
      </c>
      <c r="E2286" t="str">
        <f t="shared" si="185"/>
        <v>124</v>
      </c>
      <c r="F2286" t="str">
        <f>"53"</f>
        <v>53</v>
      </c>
    </row>
    <row r="2287" spans="1:6">
      <c r="A2287" t="str">
        <f>"E1235-36"</f>
        <v>E1235-36</v>
      </c>
      <c r="B2287" t="str">
        <f t="shared" si="186"/>
        <v>VIA FELICE MARITANO  80-</v>
      </c>
      <c r="C2287" t="str">
        <f t="shared" si="183"/>
        <v>RIV</v>
      </c>
      <c r="D2287">
        <v>27</v>
      </c>
      <c r="E2287" t="str">
        <f t="shared" si="185"/>
        <v>124</v>
      </c>
      <c r="F2287" t="str">
        <f>"78"</f>
        <v>78</v>
      </c>
    </row>
    <row r="2288" spans="1:6">
      <c r="A2288" t="str">
        <f>"E1235-37"</f>
        <v>E1235-37</v>
      </c>
      <c r="B2288" t="str">
        <f t="shared" si="186"/>
        <v>VIA FELICE MARITANO  80-</v>
      </c>
      <c r="C2288" t="str">
        <f t="shared" si="183"/>
        <v>RIV</v>
      </c>
      <c r="D2288">
        <v>27</v>
      </c>
      <c r="E2288" t="str">
        <f t="shared" si="185"/>
        <v>124</v>
      </c>
      <c r="F2288" t="str">
        <f>"77"</f>
        <v>77</v>
      </c>
    </row>
    <row r="2289" spans="1:6">
      <c r="A2289" t="str">
        <f>"E1235-38"</f>
        <v>E1235-38</v>
      </c>
      <c r="B2289" t="str">
        <f t="shared" si="186"/>
        <v>VIA FELICE MARITANO  80-</v>
      </c>
      <c r="C2289" t="str">
        <f t="shared" si="183"/>
        <v>RIV</v>
      </c>
      <c r="D2289">
        <v>27</v>
      </c>
      <c r="E2289" t="str">
        <f t="shared" si="185"/>
        <v>124</v>
      </c>
      <c r="F2289" t="str">
        <f>"74"</f>
        <v>74</v>
      </c>
    </row>
    <row r="2290" spans="1:6">
      <c r="A2290" t="str">
        <f>"E1235-39"</f>
        <v>E1235-39</v>
      </c>
      <c r="B2290" t="str">
        <f t="shared" si="186"/>
        <v>VIA FELICE MARITANO  80-</v>
      </c>
      <c r="C2290" t="str">
        <f t="shared" si="183"/>
        <v>RIV</v>
      </c>
      <c r="D2290">
        <v>27</v>
      </c>
      <c r="E2290" t="str">
        <f t="shared" si="185"/>
        <v>124</v>
      </c>
      <c r="F2290" t="str">
        <f>"75"</f>
        <v>75</v>
      </c>
    </row>
    <row r="2291" spans="1:6">
      <c r="A2291" t="str">
        <f>"E1235-40"</f>
        <v>E1235-40</v>
      </c>
      <c r="B2291" t="str">
        <f t="shared" si="186"/>
        <v>VIA FELICE MARITANO  80-</v>
      </c>
      <c r="C2291" t="str">
        <f t="shared" si="183"/>
        <v>RIV</v>
      </c>
      <c r="D2291">
        <v>27</v>
      </c>
      <c r="E2291" t="str">
        <f t="shared" si="185"/>
        <v>124</v>
      </c>
      <c r="F2291" t="str">
        <f>"76"</f>
        <v>76</v>
      </c>
    </row>
    <row r="2292" spans="1:6">
      <c r="A2292" t="str">
        <f>"E1235-41"</f>
        <v>E1235-41</v>
      </c>
      <c r="B2292" t="str">
        <f t="shared" si="186"/>
        <v>VIA FELICE MARITANO  80-</v>
      </c>
      <c r="C2292" t="str">
        <f t="shared" si="183"/>
        <v>RIV</v>
      </c>
      <c r="D2292">
        <v>27</v>
      </c>
      <c r="E2292" t="str">
        <f t="shared" si="185"/>
        <v>124</v>
      </c>
      <c r="F2292" t="str">
        <f>"91"</f>
        <v>91</v>
      </c>
    </row>
    <row r="2293" spans="1:6">
      <c r="A2293" t="str">
        <f>"E1235-42"</f>
        <v>E1235-42</v>
      </c>
      <c r="B2293" t="str">
        <f t="shared" si="186"/>
        <v>VIA FELICE MARITANO  80-</v>
      </c>
      <c r="C2293" t="str">
        <f t="shared" si="183"/>
        <v>RIV</v>
      </c>
      <c r="D2293">
        <v>27</v>
      </c>
      <c r="E2293" t="str">
        <f t="shared" si="185"/>
        <v>124</v>
      </c>
      <c r="F2293" t="str">
        <f>"92"</f>
        <v>92</v>
      </c>
    </row>
    <row r="2294" spans="1:6">
      <c r="A2294" t="str">
        <f>"E1235-43"</f>
        <v>E1235-43</v>
      </c>
      <c r="B2294" t="str">
        <f t="shared" si="186"/>
        <v>VIA FELICE MARITANO  80-</v>
      </c>
      <c r="C2294" t="str">
        <f t="shared" si="183"/>
        <v>RIV</v>
      </c>
      <c r="D2294">
        <v>27</v>
      </c>
      <c r="E2294" t="str">
        <f t="shared" si="185"/>
        <v>124</v>
      </c>
      <c r="F2294" t="str">
        <f>"93"</f>
        <v>93</v>
      </c>
    </row>
    <row r="2295" spans="1:6">
      <c r="A2295" t="str">
        <f>"E1235-44"</f>
        <v>E1235-44</v>
      </c>
      <c r="B2295" t="str">
        <f t="shared" si="186"/>
        <v>VIA FELICE MARITANO  80-</v>
      </c>
      <c r="C2295" t="str">
        <f t="shared" ref="C2295:C2358" si="187">"RIV"</f>
        <v>RIV</v>
      </c>
      <c r="D2295">
        <v>27</v>
      </c>
      <c r="E2295" t="str">
        <f t="shared" si="185"/>
        <v>124</v>
      </c>
      <c r="F2295" t="str">
        <f>"99"</f>
        <v>99</v>
      </c>
    </row>
    <row r="2296" spans="1:6">
      <c r="A2296" t="str">
        <f>"E1235-45"</f>
        <v>E1235-45</v>
      </c>
      <c r="B2296" t="str">
        <f t="shared" si="186"/>
        <v>VIA FELICE MARITANO  80-</v>
      </c>
      <c r="C2296" t="str">
        <f t="shared" si="187"/>
        <v>RIV</v>
      </c>
      <c r="D2296">
        <v>27</v>
      </c>
      <c r="E2296" t="str">
        <f t="shared" si="185"/>
        <v>124</v>
      </c>
      <c r="F2296" t="str">
        <f>"100"</f>
        <v>100</v>
      </c>
    </row>
    <row r="2297" spans="1:6">
      <c r="A2297" t="str">
        <f>"E1235-46"</f>
        <v>E1235-46</v>
      </c>
      <c r="B2297" t="str">
        <f t="shared" si="186"/>
        <v>VIA FELICE MARITANO  80-</v>
      </c>
      <c r="C2297" t="str">
        <f t="shared" si="187"/>
        <v>RIV</v>
      </c>
      <c r="D2297">
        <v>27</v>
      </c>
      <c r="E2297" t="str">
        <f t="shared" si="185"/>
        <v>124</v>
      </c>
      <c r="F2297" t="str">
        <f>"101"</f>
        <v>101</v>
      </c>
    </row>
    <row r="2298" spans="1:6">
      <c r="A2298" t="str">
        <f>"E1235-47"</f>
        <v>E1235-47</v>
      </c>
      <c r="B2298" t="str">
        <f t="shared" si="186"/>
        <v>VIA FELICE MARITANO  80-</v>
      </c>
      <c r="C2298" t="str">
        <f t="shared" si="187"/>
        <v>RIV</v>
      </c>
      <c r="D2298">
        <v>27</v>
      </c>
      <c r="E2298" t="str">
        <f t="shared" si="185"/>
        <v>124</v>
      </c>
      <c r="F2298" t="str">
        <f>"102"</f>
        <v>102</v>
      </c>
    </row>
    <row r="2299" spans="1:6">
      <c r="A2299" t="str">
        <f>"E1235-48"</f>
        <v>E1235-48</v>
      </c>
      <c r="B2299" t="str">
        <f t="shared" si="186"/>
        <v>VIA FELICE MARITANO  80-</v>
      </c>
      <c r="C2299" t="str">
        <f t="shared" si="187"/>
        <v>RIV</v>
      </c>
      <c r="D2299">
        <v>27</v>
      </c>
      <c r="E2299" t="str">
        <f t="shared" si="185"/>
        <v>124</v>
      </c>
      <c r="F2299" t="str">
        <f>"103"</f>
        <v>103</v>
      </c>
    </row>
    <row r="2300" spans="1:6">
      <c r="A2300" t="str">
        <f>"E1235-49"</f>
        <v>E1235-49</v>
      </c>
      <c r="B2300" t="str">
        <f t="shared" si="186"/>
        <v>VIA FELICE MARITANO  80-</v>
      </c>
      <c r="C2300" t="str">
        <f t="shared" si="187"/>
        <v>RIV</v>
      </c>
      <c r="D2300">
        <v>27</v>
      </c>
      <c r="E2300" t="str">
        <f t="shared" si="185"/>
        <v>124</v>
      </c>
      <c r="F2300" t="str">
        <f>"95"</f>
        <v>95</v>
      </c>
    </row>
    <row r="2301" spans="1:6">
      <c r="A2301" t="str">
        <f>"E1235-50"</f>
        <v>E1235-50</v>
      </c>
      <c r="B2301" t="str">
        <f t="shared" si="186"/>
        <v>VIA FELICE MARITANO  80-</v>
      </c>
      <c r="C2301" t="str">
        <f t="shared" si="187"/>
        <v>RIV</v>
      </c>
      <c r="D2301">
        <v>27</v>
      </c>
      <c r="E2301" t="str">
        <f t="shared" si="185"/>
        <v>124</v>
      </c>
      <c r="F2301" t="str">
        <f>"94"</f>
        <v>94</v>
      </c>
    </row>
    <row r="2302" spans="1:6">
      <c r="A2302" t="str">
        <f>"E1235-51"</f>
        <v>E1235-51</v>
      </c>
      <c r="B2302" t="str">
        <f t="shared" si="186"/>
        <v>VIA FELICE MARITANO  80-</v>
      </c>
      <c r="C2302" t="str">
        <f t="shared" si="187"/>
        <v>RIV</v>
      </c>
      <c r="D2302">
        <v>27</v>
      </c>
      <c r="E2302" t="str">
        <f t="shared" si="185"/>
        <v>124</v>
      </c>
      <c r="F2302" t="str">
        <f>"116"</f>
        <v>116</v>
      </c>
    </row>
    <row r="2303" spans="1:6">
      <c r="A2303" t="str">
        <f>"E1235-52"</f>
        <v>E1235-52</v>
      </c>
      <c r="B2303" t="str">
        <f t="shared" si="186"/>
        <v>VIA FELICE MARITANO  80-</v>
      </c>
      <c r="C2303" t="str">
        <f t="shared" si="187"/>
        <v>RIV</v>
      </c>
      <c r="D2303">
        <v>27</v>
      </c>
      <c r="E2303" t="str">
        <f t="shared" si="185"/>
        <v>124</v>
      </c>
      <c r="F2303" t="str">
        <f>"115"</f>
        <v>115</v>
      </c>
    </row>
    <row r="2304" spans="1:6">
      <c r="A2304" t="str">
        <f>"E1235-53"</f>
        <v>E1235-53</v>
      </c>
      <c r="B2304" t="str">
        <f t="shared" si="186"/>
        <v>VIA FELICE MARITANO  80-</v>
      </c>
      <c r="C2304" t="str">
        <f t="shared" si="187"/>
        <v>RIV</v>
      </c>
      <c r="D2304">
        <v>27</v>
      </c>
      <c r="E2304" t="str">
        <f t="shared" si="185"/>
        <v>124</v>
      </c>
      <c r="F2304" t="str">
        <f>"112"</f>
        <v>112</v>
      </c>
    </row>
    <row r="2305" spans="1:6">
      <c r="A2305" t="str">
        <f>"E1235-54"</f>
        <v>E1235-54</v>
      </c>
      <c r="B2305" t="str">
        <f t="shared" si="186"/>
        <v>VIA FELICE MARITANO  80-</v>
      </c>
      <c r="C2305" t="str">
        <f t="shared" si="187"/>
        <v>RIV</v>
      </c>
      <c r="D2305">
        <v>27</v>
      </c>
      <c r="E2305" t="str">
        <f t="shared" si="185"/>
        <v>124</v>
      </c>
      <c r="F2305" t="str">
        <f>"113"</f>
        <v>113</v>
      </c>
    </row>
    <row r="2306" spans="1:6">
      <c r="A2306" t="str">
        <f>"E1235-55"</f>
        <v>E1235-55</v>
      </c>
      <c r="B2306" t="str">
        <f t="shared" si="186"/>
        <v>VIA FELICE MARITANO  80-</v>
      </c>
      <c r="C2306" t="str">
        <f t="shared" si="187"/>
        <v>RIV</v>
      </c>
      <c r="D2306">
        <v>27</v>
      </c>
      <c r="E2306" t="str">
        <f t="shared" si="185"/>
        <v>124</v>
      </c>
      <c r="F2306" t="str">
        <f>"114"</f>
        <v>114</v>
      </c>
    </row>
    <row r="2307" spans="1:6">
      <c r="A2307" t="str">
        <f>"E1235-56"</f>
        <v>E1235-56</v>
      </c>
      <c r="B2307" t="str">
        <f t="shared" si="186"/>
        <v>VIA FELICE MARITANO  80-</v>
      </c>
      <c r="C2307" t="str">
        <f t="shared" si="187"/>
        <v>RIV</v>
      </c>
      <c r="D2307">
        <v>27</v>
      </c>
      <c r="E2307" t="str">
        <f t="shared" si="185"/>
        <v>124</v>
      </c>
      <c r="F2307" t="str">
        <f>"129"</f>
        <v>129</v>
      </c>
    </row>
    <row r="2308" spans="1:6">
      <c r="A2308" t="str">
        <f>"E1235-57"</f>
        <v>E1235-57</v>
      </c>
      <c r="B2308" t="str">
        <f t="shared" si="186"/>
        <v>VIA FELICE MARITANO  80-</v>
      </c>
      <c r="C2308" t="str">
        <f t="shared" si="187"/>
        <v>RIV</v>
      </c>
      <c r="D2308">
        <v>27</v>
      </c>
      <c r="E2308" t="str">
        <f t="shared" si="185"/>
        <v>124</v>
      </c>
      <c r="F2308" t="str">
        <f>"130"</f>
        <v>130</v>
      </c>
    </row>
    <row r="2309" spans="1:6">
      <c r="A2309" t="str">
        <f>"E1235-58"</f>
        <v>E1235-58</v>
      </c>
      <c r="B2309" t="str">
        <f t="shared" si="186"/>
        <v>VIA FELICE MARITANO  80-</v>
      </c>
      <c r="C2309" t="str">
        <f t="shared" si="187"/>
        <v>RIV</v>
      </c>
      <c r="D2309">
        <v>27</v>
      </c>
      <c r="E2309" t="str">
        <f t="shared" si="185"/>
        <v>124</v>
      </c>
      <c r="F2309" t="str">
        <f>"131"</f>
        <v>131</v>
      </c>
    </row>
    <row r="2310" spans="1:6">
      <c r="A2310" t="str">
        <f>"E1235-59"</f>
        <v>E1235-59</v>
      </c>
      <c r="B2310" t="str">
        <f t="shared" si="186"/>
        <v>VIA FELICE MARITANO  80-</v>
      </c>
      <c r="C2310" t="str">
        <f t="shared" si="187"/>
        <v>RIV</v>
      </c>
      <c r="D2310">
        <v>27</v>
      </c>
      <c r="E2310" t="str">
        <f t="shared" si="185"/>
        <v>124</v>
      </c>
      <c r="F2310" t="str">
        <f>"144"</f>
        <v>144</v>
      </c>
    </row>
    <row r="2311" spans="1:6">
      <c r="A2311" t="str">
        <f>"E1235-60"</f>
        <v>E1235-60</v>
      </c>
      <c r="B2311" t="str">
        <f t="shared" si="186"/>
        <v>VIA FELICE MARITANO  80-</v>
      </c>
      <c r="C2311" t="str">
        <f t="shared" si="187"/>
        <v>RIV</v>
      </c>
      <c r="D2311">
        <v>27</v>
      </c>
      <c r="E2311" t="str">
        <f t="shared" si="185"/>
        <v>124</v>
      </c>
      <c r="F2311" t="str">
        <f>"145"</f>
        <v>145</v>
      </c>
    </row>
    <row r="2312" spans="1:6">
      <c r="A2312" t="str">
        <f>"E1235-61"</f>
        <v>E1235-61</v>
      </c>
      <c r="B2312" t="str">
        <f t="shared" si="186"/>
        <v>VIA FELICE MARITANO  80-</v>
      </c>
      <c r="C2312" t="str">
        <f t="shared" si="187"/>
        <v>RIV</v>
      </c>
      <c r="D2312">
        <v>27</v>
      </c>
      <c r="E2312" t="str">
        <f t="shared" si="185"/>
        <v>124</v>
      </c>
      <c r="F2312" t="str">
        <f>"146"</f>
        <v>146</v>
      </c>
    </row>
    <row r="2313" spans="1:6">
      <c r="A2313" t="str">
        <f>"E1235-62"</f>
        <v>E1235-62</v>
      </c>
      <c r="B2313" t="str">
        <f t="shared" si="186"/>
        <v>VIA FELICE MARITANO  80-</v>
      </c>
      <c r="C2313" t="str">
        <f t="shared" si="187"/>
        <v>RIV</v>
      </c>
      <c r="D2313">
        <v>27</v>
      </c>
      <c r="E2313" t="str">
        <f t="shared" si="185"/>
        <v>124</v>
      </c>
      <c r="F2313" t="str">
        <f>"147"</f>
        <v>147</v>
      </c>
    </row>
    <row r="2314" spans="1:6">
      <c r="A2314" t="str">
        <f>"E1235-63"</f>
        <v>E1235-63</v>
      </c>
      <c r="B2314" t="str">
        <f t="shared" si="186"/>
        <v>VIA FELICE MARITANO  80-</v>
      </c>
      <c r="C2314" t="str">
        <f t="shared" si="187"/>
        <v>RIV</v>
      </c>
      <c r="D2314">
        <v>27</v>
      </c>
      <c r="E2314" t="str">
        <f t="shared" si="185"/>
        <v>124</v>
      </c>
      <c r="F2314" t="str">
        <f>"148"</f>
        <v>148</v>
      </c>
    </row>
    <row r="2315" spans="1:6">
      <c r="A2315" t="str">
        <f>"E1235-64"</f>
        <v>E1235-64</v>
      </c>
      <c r="B2315" t="str">
        <f t="shared" si="186"/>
        <v>VIA FELICE MARITANO  80-</v>
      </c>
      <c r="C2315" t="str">
        <f t="shared" si="187"/>
        <v>RIV</v>
      </c>
      <c r="D2315">
        <v>27</v>
      </c>
      <c r="E2315" t="str">
        <f t="shared" si="185"/>
        <v>124</v>
      </c>
      <c r="F2315" t="str">
        <f>"133"</f>
        <v>133</v>
      </c>
    </row>
    <row r="2316" spans="1:6">
      <c r="A2316" t="str">
        <f>"E1235-65"</f>
        <v>E1235-65</v>
      </c>
      <c r="B2316" t="str">
        <f t="shared" ref="B2316:B2347" si="188">"VIA FELICE MARITANO  80-"</f>
        <v>VIA FELICE MARITANO  80-</v>
      </c>
      <c r="C2316" t="str">
        <f t="shared" si="187"/>
        <v>RIV</v>
      </c>
      <c r="D2316">
        <v>27</v>
      </c>
      <c r="E2316" t="str">
        <f t="shared" ref="E2316:E2379" si="189">"124"</f>
        <v>124</v>
      </c>
      <c r="F2316" t="str">
        <f>"132"</f>
        <v>132</v>
      </c>
    </row>
    <row r="2317" spans="1:6">
      <c r="A2317" t="str">
        <f>"E1235-66"</f>
        <v>E1235-66</v>
      </c>
      <c r="B2317" t="str">
        <f t="shared" si="188"/>
        <v>VIA FELICE MARITANO  80-</v>
      </c>
      <c r="C2317" t="str">
        <f t="shared" si="187"/>
        <v>RIV</v>
      </c>
      <c r="D2317">
        <v>27</v>
      </c>
      <c r="E2317" t="str">
        <f t="shared" si="189"/>
        <v>124</v>
      </c>
      <c r="F2317" t="str">
        <f>"164"</f>
        <v>164</v>
      </c>
    </row>
    <row r="2318" spans="1:6">
      <c r="A2318" t="str">
        <f>"E1235-67"</f>
        <v>E1235-67</v>
      </c>
      <c r="B2318" t="str">
        <f t="shared" si="188"/>
        <v>VIA FELICE MARITANO  80-</v>
      </c>
      <c r="C2318" t="str">
        <f t="shared" si="187"/>
        <v>RIV</v>
      </c>
      <c r="D2318">
        <v>27</v>
      </c>
      <c r="E2318" t="str">
        <f t="shared" si="189"/>
        <v>124</v>
      </c>
      <c r="F2318" t="str">
        <f>"163"</f>
        <v>163</v>
      </c>
    </row>
    <row r="2319" spans="1:6">
      <c r="A2319" t="str">
        <f>"E1235-68"</f>
        <v>E1235-68</v>
      </c>
      <c r="B2319" t="str">
        <f t="shared" si="188"/>
        <v>VIA FELICE MARITANO  80-</v>
      </c>
      <c r="C2319" t="str">
        <f t="shared" si="187"/>
        <v>RIV</v>
      </c>
      <c r="D2319">
        <v>27</v>
      </c>
      <c r="E2319" t="str">
        <f t="shared" si="189"/>
        <v>124</v>
      </c>
      <c r="F2319" t="str">
        <f>"160"</f>
        <v>160</v>
      </c>
    </row>
    <row r="2320" spans="1:6">
      <c r="A2320" t="str">
        <f>"E1235-69"</f>
        <v>E1235-69</v>
      </c>
      <c r="B2320" t="str">
        <f t="shared" si="188"/>
        <v>VIA FELICE MARITANO  80-</v>
      </c>
      <c r="C2320" t="str">
        <f t="shared" si="187"/>
        <v>RIV</v>
      </c>
      <c r="D2320">
        <v>27</v>
      </c>
      <c r="E2320" t="str">
        <f t="shared" si="189"/>
        <v>124</v>
      </c>
      <c r="F2320" t="str">
        <f>"161"</f>
        <v>161</v>
      </c>
    </row>
    <row r="2321" spans="1:6">
      <c r="A2321" t="str">
        <f>"E1235-70"</f>
        <v>E1235-70</v>
      </c>
      <c r="B2321" t="str">
        <f t="shared" si="188"/>
        <v>VIA FELICE MARITANO  80-</v>
      </c>
      <c r="C2321" t="str">
        <f t="shared" si="187"/>
        <v>RIV</v>
      </c>
      <c r="D2321">
        <v>27</v>
      </c>
      <c r="E2321" t="str">
        <f t="shared" si="189"/>
        <v>124</v>
      </c>
      <c r="F2321" t="str">
        <f>"162"</f>
        <v>162</v>
      </c>
    </row>
    <row r="2322" spans="1:6">
      <c r="A2322" t="str">
        <f>"E1235-71"</f>
        <v>E1235-71</v>
      </c>
      <c r="B2322" t="str">
        <f t="shared" si="188"/>
        <v>VIA FELICE MARITANO  80-</v>
      </c>
      <c r="C2322" t="str">
        <f t="shared" si="187"/>
        <v>RIV</v>
      </c>
      <c r="D2322">
        <v>27</v>
      </c>
      <c r="E2322" t="str">
        <f t="shared" si="189"/>
        <v>124</v>
      </c>
      <c r="F2322" t="str">
        <f>"178"</f>
        <v>178</v>
      </c>
    </row>
    <row r="2323" spans="1:6">
      <c r="A2323" t="str">
        <f>"E1235-72"</f>
        <v>E1235-72</v>
      </c>
      <c r="B2323" t="str">
        <f t="shared" si="188"/>
        <v>VIA FELICE MARITANO  80-</v>
      </c>
      <c r="C2323" t="str">
        <f t="shared" si="187"/>
        <v>RIV</v>
      </c>
      <c r="D2323">
        <v>27</v>
      </c>
      <c r="E2323" t="str">
        <f t="shared" si="189"/>
        <v>124</v>
      </c>
      <c r="F2323" t="str">
        <f>"198"</f>
        <v>198</v>
      </c>
    </row>
    <row r="2324" spans="1:6">
      <c r="A2324" t="str">
        <f>"E1235-73"</f>
        <v>E1235-73</v>
      </c>
      <c r="B2324" t="str">
        <f t="shared" si="188"/>
        <v>VIA FELICE MARITANO  80-</v>
      </c>
      <c r="C2324" t="str">
        <f t="shared" si="187"/>
        <v>RIV</v>
      </c>
      <c r="D2324">
        <v>27</v>
      </c>
      <c r="E2324" t="str">
        <f t="shared" si="189"/>
        <v>124</v>
      </c>
      <c r="F2324" t="str">
        <f>"177"</f>
        <v>177</v>
      </c>
    </row>
    <row r="2325" spans="1:6">
      <c r="A2325" t="str">
        <f>"E1235-74"</f>
        <v>E1235-74</v>
      </c>
      <c r="B2325" t="str">
        <f t="shared" si="188"/>
        <v>VIA FELICE MARITANO  80-</v>
      </c>
      <c r="C2325" t="str">
        <f t="shared" si="187"/>
        <v>RIV</v>
      </c>
      <c r="D2325">
        <v>27</v>
      </c>
      <c r="E2325" t="str">
        <f t="shared" si="189"/>
        <v>124</v>
      </c>
      <c r="F2325" t="str">
        <f>"203"</f>
        <v>203</v>
      </c>
    </row>
    <row r="2326" spans="1:6">
      <c r="A2326" t="str">
        <f>"E1235-75"</f>
        <v>E1235-75</v>
      </c>
      <c r="B2326" t="str">
        <f t="shared" si="188"/>
        <v>VIA FELICE MARITANO  80-</v>
      </c>
      <c r="C2326" t="str">
        <f t="shared" si="187"/>
        <v>RIV</v>
      </c>
      <c r="D2326">
        <v>27</v>
      </c>
      <c r="E2326" t="str">
        <f t="shared" si="189"/>
        <v>124</v>
      </c>
      <c r="F2326" t="str">
        <f>"204"</f>
        <v>204</v>
      </c>
    </row>
    <row r="2327" spans="1:6">
      <c r="A2327" t="str">
        <f>"E1235-76"</f>
        <v>E1235-76</v>
      </c>
      <c r="B2327" t="str">
        <f t="shared" si="188"/>
        <v>VIA FELICE MARITANO  80-</v>
      </c>
      <c r="C2327" t="str">
        <f t="shared" si="187"/>
        <v>RIV</v>
      </c>
      <c r="D2327">
        <v>27</v>
      </c>
      <c r="E2327" t="str">
        <f t="shared" si="189"/>
        <v>124</v>
      </c>
      <c r="F2327" t="str">
        <f>"179"</f>
        <v>179</v>
      </c>
    </row>
    <row r="2328" spans="1:6">
      <c r="A2328" t="str">
        <f>"E1235-77"</f>
        <v>E1235-77</v>
      </c>
      <c r="B2328" t="str">
        <f t="shared" si="188"/>
        <v>VIA FELICE MARITANO  80-</v>
      </c>
      <c r="C2328" t="str">
        <f t="shared" si="187"/>
        <v>RIV</v>
      </c>
      <c r="D2328">
        <v>27</v>
      </c>
      <c r="E2328" t="str">
        <f t="shared" si="189"/>
        <v>124</v>
      </c>
      <c r="F2328" t="str">
        <f>"199"</f>
        <v>199</v>
      </c>
    </row>
    <row r="2329" spans="1:6">
      <c r="A2329" t="str">
        <f>"E1235-78"</f>
        <v>E1235-78</v>
      </c>
      <c r="B2329" t="str">
        <f t="shared" si="188"/>
        <v>VIA FELICE MARITANO  80-</v>
      </c>
      <c r="C2329" t="str">
        <f t="shared" si="187"/>
        <v>RIV</v>
      </c>
      <c r="D2329">
        <v>27</v>
      </c>
      <c r="E2329" t="str">
        <f t="shared" si="189"/>
        <v>124</v>
      </c>
      <c r="F2329" t="str">
        <f>"180"</f>
        <v>180</v>
      </c>
    </row>
    <row r="2330" spans="1:6">
      <c r="A2330" t="str">
        <f>"E1235-79"</f>
        <v>E1235-79</v>
      </c>
      <c r="B2330" t="str">
        <f t="shared" si="188"/>
        <v>VIA FELICE MARITANO  80-</v>
      </c>
      <c r="C2330" t="str">
        <f t="shared" si="187"/>
        <v>RIV</v>
      </c>
      <c r="D2330">
        <v>27</v>
      </c>
      <c r="E2330" t="str">
        <f t="shared" si="189"/>
        <v>124</v>
      </c>
      <c r="F2330" t="str">
        <f>"181"</f>
        <v>181</v>
      </c>
    </row>
    <row r="2331" spans="1:6">
      <c r="A2331" t="str">
        <f>"E1235-80"</f>
        <v>E1235-80</v>
      </c>
      <c r="B2331" t="str">
        <f t="shared" si="188"/>
        <v>VIA FELICE MARITANO  80-</v>
      </c>
      <c r="C2331" t="str">
        <f t="shared" si="187"/>
        <v>RIV</v>
      </c>
      <c r="D2331">
        <v>27</v>
      </c>
      <c r="E2331" t="str">
        <f t="shared" si="189"/>
        <v>124</v>
      </c>
      <c r="F2331" t="str">
        <f>"207"</f>
        <v>207</v>
      </c>
    </row>
    <row r="2332" spans="1:6">
      <c r="A2332" t="str">
        <f>"E1235-81"</f>
        <v>E1235-81</v>
      </c>
      <c r="B2332" t="str">
        <f t="shared" si="188"/>
        <v>VIA FELICE MARITANO  80-</v>
      </c>
      <c r="C2332" t="str">
        <f t="shared" si="187"/>
        <v>RIV</v>
      </c>
      <c r="D2332">
        <v>27</v>
      </c>
      <c r="E2332" t="str">
        <f t="shared" si="189"/>
        <v>124</v>
      </c>
      <c r="F2332" t="str">
        <f>"206"</f>
        <v>206</v>
      </c>
    </row>
    <row r="2333" spans="1:6">
      <c r="A2333" t="str">
        <f>"E1235-82"</f>
        <v>E1235-82</v>
      </c>
      <c r="B2333" t="str">
        <f t="shared" si="188"/>
        <v>VIA FELICE MARITANO  80-</v>
      </c>
      <c r="C2333" t="str">
        <f t="shared" si="187"/>
        <v>RIV</v>
      </c>
      <c r="D2333">
        <v>27</v>
      </c>
      <c r="E2333" t="str">
        <f t="shared" si="189"/>
        <v>124</v>
      </c>
      <c r="F2333" t="str">
        <f>"205"</f>
        <v>205</v>
      </c>
    </row>
    <row r="2334" spans="1:6">
      <c r="A2334" t="str">
        <f>"E1235-83"</f>
        <v>E1235-83</v>
      </c>
      <c r="B2334" t="str">
        <f t="shared" si="188"/>
        <v>VIA FELICE MARITANO  80-</v>
      </c>
      <c r="C2334" t="str">
        <f t="shared" si="187"/>
        <v>RIV</v>
      </c>
      <c r="D2334">
        <v>27</v>
      </c>
      <c r="E2334" t="str">
        <f t="shared" si="189"/>
        <v>124</v>
      </c>
      <c r="F2334" t="str">
        <f>"281"</f>
        <v>281</v>
      </c>
    </row>
    <row r="2335" spans="1:6">
      <c r="A2335" t="str">
        <f>"E1235-86"</f>
        <v>E1235-86</v>
      </c>
      <c r="B2335" t="str">
        <f t="shared" si="188"/>
        <v>VIA FELICE MARITANO  80-</v>
      </c>
      <c r="C2335" t="str">
        <f t="shared" si="187"/>
        <v>RIV</v>
      </c>
      <c r="D2335">
        <v>27</v>
      </c>
      <c r="E2335" t="str">
        <f t="shared" si="189"/>
        <v>124</v>
      </c>
      <c r="F2335" t="str">
        <f>"284"</f>
        <v>284</v>
      </c>
    </row>
    <row r="2336" spans="1:6">
      <c r="A2336" t="str">
        <f>"E1235-87"</f>
        <v>E1235-87</v>
      </c>
      <c r="B2336" t="str">
        <f t="shared" si="188"/>
        <v>VIA FELICE MARITANO  80-</v>
      </c>
      <c r="C2336" t="str">
        <f t="shared" si="187"/>
        <v>RIV</v>
      </c>
      <c r="D2336">
        <v>27</v>
      </c>
      <c r="E2336" t="str">
        <f t="shared" si="189"/>
        <v>124</v>
      </c>
      <c r="F2336" t="str">
        <f>"285"</f>
        <v>285</v>
      </c>
    </row>
    <row r="2337" spans="1:6">
      <c r="A2337" t="str">
        <f>"E1235-88"</f>
        <v>E1235-88</v>
      </c>
      <c r="B2337" t="str">
        <f t="shared" si="188"/>
        <v>VIA FELICE MARITANO  80-</v>
      </c>
      <c r="C2337" t="str">
        <f t="shared" si="187"/>
        <v>RIV</v>
      </c>
      <c r="D2337">
        <v>27</v>
      </c>
      <c r="E2337" t="str">
        <f t="shared" si="189"/>
        <v>124</v>
      </c>
      <c r="F2337" t="str">
        <f>"286"</f>
        <v>286</v>
      </c>
    </row>
    <row r="2338" spans="1:6">
      <c r="A2338" t="str">
        <f>"E1235-89"</f>
        <v>E1235-89</v>
      </c>
      <c r="B2338" t="str">
        <f t="shared" si="188"/>
        <v>VIA FELICE MARITANO  80-</v>
      </c>
      <c r="C2338" t="str">
        <f t="shared" si="187"/>
        <v>RIV</v>
      </c>
      <c r="D2338">
        <v>27</v>
      </c>
      <c r="E2338" t="str">
        <f t="shared" si="189"/>
        <v>124</v>
      </c>
      <c r="F2338" t="str">
        <f>"287"</f>
        <v>287</v>
      </c>
    </row>
    <row r="2339" spans="1:6">
      <c r="A2339" t="str">
        <f>"E1235-90"</f>
        <v>E1235-90</v>
      </c>
      <c r="B2339" t="str">
        <f t="shared" si="188"/>
        <v>VIA FELICE MARITANO  80-</v>
      </c>
      <c r="C2339" t="str">
        <f t="shared" si="187"/>
        <v>RIV</v>
      </c>
      <c r="D2339">
        <v>27</v>
      </c>
      <c r="E2339" t="str">
        <f t="shared" si="189"/>
        <v>124</v>
      </c>
      <c r="F2339" t="str">
        <f>"288"</f>
        <v>288</v>
      </c>
    </row>
    <row r="2340" spans="1:6">
      <c r="A2340" t="str">
        <f>"E1235-91"</f>
        <v>E1235-91</v>
      </c>
      <c r="B2340" t="str">
        <f t="shared" si="188"/>
        <v>VIA FELICE MARITANO  80-</v>
      </c>
      <c r="C2340" t="str">
        <f t="shared" si="187"/>
        <v>RIV</v>
      </c>
      <c r="D2340">
        <v>27</v>
      </c>
      <c r="E2340" t="str">
        <f t="shared" si="189"/>
        <v>124</v>
      </c>
      <c r="F2340" t="str">
        <f>"289"</f>
        <v>289</v>
      </c>
    </row>
    <row r="2341" spans="1:6">
      <c r="A2341" t="str">
        <f>"E1235-92"</f>
        <v>E1235-92</v>
      </c>
      <c r="B2341" t="str">
        <f t="shared" si="188"/>
        <v>VIA FELICE MARITANO  80-</v>
      </c>
      <c r="C2341" t="str">
        <f t="shared" si="187"/>
        <v>RIV</v>
      </c>
      <c r="D2341">
        <v>27</v>
      </c>
      <c r="E2341" t="str">
        <f t="shared" si="189"/>
        <v>124</v>
      </c>
      <c r="F2341" t="str">
        <f>"290"</f>
        <v>290</v>
      </c>
    </row>
    <row r="2342" spans="1:6">
      <c r="A2342" t="str">
        <f>"E1235-93"</f>
        <v>E1235-93</v>
      </c>
      <c r="B2342" t="str">
        <f t="shared" si="188"/>
        <v>VIA FELICE MARITANO  80-</v>
      </c>
      <c r="C2342" t="str">
        <f t="shared" si="187"/>
        <v>RIV</v>
      </c>
      <c r="D2342">
        <v>27</v>
      </c>
      <c r="E2342" t="str">
        <f t="shared" si="189"/>
        <v>124</v>
      </c>
      <c r="F2342" t="str">
        <f>"291"</f>
        <v>291</v>
      </c>
    </row>
    <row r="2343" spans="1:6">
      <c r="A2343" t="str">
        <f>"E1235-94"</f>
        <v>E1235-94</v>
      </c>
      <c r="B2343" t="str">
        <f t="shared" si="188"/>
        <v>VIA FELICE MARITANO  80-</v>
      </c>
      <c r="C2343" t="str">
        <f t="shared" si="187"/>
        <v>RIV</v>
      </c>
      <c r="D2343">
        <v>27</v>
      </c>
      <c r="E2343" t="str">
        <f t="shared" si="189"/>
        <v>124</v>
      </c>
      <c r="F2343" t="str">
        <f>"292"</f>
        <v>292</v>
      </c>
    </row>
    <row r="2344" spans="1:6">
      <c r="A2344" t="str">
        <f>"E1235-95"</f>
        <v>E1235-95</v>
      </c>
      <c r="B2344" t="str">
        <f t="shared" si="188"/>
        <v>VIA FELICE MARITANO  80-</v>
      </c>
      <c r="C2344" t="str">
        <f t="shared" si="187"/>
        <v>RIV</v>
      </c>
      <c r="D2344">
        <v>27</v>
      </c>
      <c r="E2344" t="str">
        <f t="shared" si="189"/>
        <v>124</v>
      </c>
      <c r="F2344" t="str">
        <f>"293"</f>
        <v>293</v>
      </c>
    </row>
    <row r="2345" spans="1:6">
      <c r="A2345" t="str">
        <f>"E1235-96"</f>
        <v>E1235-96</v>
      </c>
      <c r="B2345" t="str">
        <f t="shared" si="188"/>
        <v>VIA FELICE MARITANO  80-</v>
      </c>
      <c r="C2345" t="str">
        <f t="shared" si="187"/>
        <v>RIV</v>
      </c>
      <c r="D2345">
        <v>27</v>
      </c>
      <c r="E2345" t="str">
        <f t="shared" si="189"/>
        <v>124</v>
      </c>
      <c r="F2345" t="str">
        <f>"294"</f>
        <v>294</v>
      </c>
    </row>
    <row r="2346" spans="1:6">
      <c r="A2346" t="str">
        <f>"E1235-97"</f>
        <v>E1235-97</v>
      </c>
      <c r="B2346" t="str">
        <f t="shared" si="188"/>
        <v>VIA FELICE MARITANO  80-</v>
      </c>
      <c r="C2346" t="str">
        <f t="shared" si="187"/>
        <v>RIV</v>
      </c>
      <c r="D2346">
        <v>27</v>
      </c>
      <c r="E2346" t="str">
        <f t="shared" si="189"/>
        <v>124</v>
      </c>
      <c r="F2346" t="str">
        <f>"295"</f>
        <v>295</v>
      </c>
    </row>
    <row r="2347" spans="1:6">
      <c r="A2347" t="str">
        <f>"E1235-98"</f>
        <v>E1235-98</v>
      </c>
      <c r="B2347" t="str">
        <f t="shared" si="188"/>
        <v>VIA FELICE MARITANO  80-</v>
      </c>
      <c r="C2347" t="str">
        <f t="shared" si="187"/>
        <v>RIV</v>
      </c>
      <c r="D2347">
        <v>27</v>
      </c>
      <c r="E2347" t="str">
        <f t="shared" si="189"/>
        <v>124</v>
      </c>
      <c r="F2347" t="str">
        <f>"296"</f>
        <v>296</v>
      </c>
    </row>
    <row r="2348" spans="1:6">
      <c r="A2348" t="str">
        <f>"E1235-99"</f>
        <v>E1235-99</v>
      </c>
      <c r="B2348" t="str">
        <f t="shared" ref="B2348:B2379" si="190">"VIA FELICE MARITANO  80-"</f>
        <v>VIA FELICE MARITANO  80-</v>
      </c>
      <c r="C2348" t="str">
        <f t="shared" si="187"/>
        <v>RIV</v>
      </c>
      <c r="D2348">
        <v>27</v>
      </c>
      <c r="E2348" t="str">
        <f t="shared" si="189"/>
        <v>124</v>
      </c>
      <c r="F2348" t="str">
        <f>"297"</f>
        <v>297</v>
      </c>
    </row>
    <row r="2349" spans="1:6">
      <c r="A2349" t="str">
        <f>"E1235-100"</f>
        <v>E1235-100</v>
      </c>
      <c r="B2349" t="str">
        <f t="shared" si="190"/>
        <v>VIA FELICE MARITANO  80-</v>
      </c>
      <c r="C2349" t="str">
        <f t="shared" si="187"/>
        <v>RIV</v>
      </c>
      <c r="D2349">
        <v>27</v>
      </c>
      <c r="E2349" t="str">
        <f t="shared" si="189"/>
        <v>124</v>
      </c>
      <c r="F2349" t="str">
        <f>"298"</f>
        <v>298</v>
      </c>
    </row>
    <row r="2350" spans="1:6">
      <c r="A2350" t="str">
        <f>"E1235-101"</f>
        <v>E1235-101</v>
      </c>
      <c r="B2350" t="str">
        <f t="shared" si="190"/>
        <v>VIA FELICE MARITANO  80-</v>
      </c>
      <c r="C2350" t="str">
        <f t="shared" si="187"/>
        <v>RIV</v>
      </c>
      <c r="D2350">
        <v>27</v>
      </c>
      <c r="E2350" t="str">
        <f t="shared" si="189"/>
        <v>124</v>
      </c>
      <c r="F2350" t="str">
        <f>"299"</f>
        <v>299</v>
      </c>
    </row>
    <row r="2351" spans="1:6">
      <c r="A2351" t="str">
        <f>"E1235-102"</f>
        <v>E1235-102</v>
      </c>
      <c r="B2351" t="str">
        <f t="shared" si="190"/>
        <v>VIA FELICE MARITANO  80-</v>
      </c>
      <c r="C2351" t="str">
        <f t="shared" si="187"/>
        <v>RIV</v>
      </c>
      <c r="D2351">
        <v>27</v>
      </c>
      <c r="E2351" t="str">
        <f t="shared" si="189"/>
        <v>124</v>
      </c>
      <c r="F2351" t="str">
        <f>"300"</f>
        <v>300</v>
      </c>
    </row>
    <row r="2352" spans="1:6">
      <c r="A2352" t="str">
        <f>"E1235-103"</f>
        <v>E1235-103</v>
      </c>
      <c r="B2352" t="str">
        <f t="shared" si="190"/>
        <v>VIA FELICE MARITANO  80-</v>
      </c>
      <c r="C2352" t="str">
        <f t="shared" si="187"/>
        <v>RIV</v>
      </c>
      <c r="D2352">
        <v>27</v>
      </c>
      <c r="E2352" t="str">
        <f t="shared" si="189"/>
        <v>124</v>
      </c>
      <c r="F2352" t="str">
        <f>"323"</f>
        <v>323</v>
      </c>
    </row>
    <row r="2353" spans="1:6">
      <c r="A2353" t="str">
        <f>"E1235-104"</f>
        <v>E1235-104</v>
      </c>
      <c r="B2353" t="str">
        <f t="shared" si="190"/>
        <v>VIA FELICE MARITANO  80-</v>
      </c>
      <c r="C2353" t="str">
        <f t="shared" si="187"/>
        <v>RIV</v>
      </c>
      <c r="D2353">
        <v>27</v>
      </c>
      <c r="E2353" t="str">
        <f t="shared" si="189"/>
        <v>124</v>
      </c>
      <c r="F2353" t="str">
        <f>"324"</f>
        <v>324</v>
      </c>
    </row>
    <row r="2354" spans="1:6">
      <c r="A2354" t="str">
        <f>"E1235-105"</f>
        <v>E1235-105</v>
      </c>
      <c r="B2354" t="str">
        <f t="shared" si="190"/>
        <v>VIA FELICE MARITANO  80-</v>
      </c>
      <c r="C2354" t="str">
        <f t="shared" si="187"/>
        <v>RIV</v>
      </c>
      <c r="D2354">
        <v>27</v>
      </c>
      <c r="E2354" t="str">
        <f t="shared" si="189"/>
        <v>124</v>
      </c>
      <c r="F2354" t="str">
        <f>"325"</f>
        <v>325</v>
      </c>
    </row>
    <row r="2355" spans="1:6">
      <c r="A2355" t="str">
        <f>"E1235-106"</f>
        <v>E1235-106</v>
      </c>
      <c r="B2355" t="str">
        <f t="shared" si="190"/>
        <v>VIA FELICE MARITANO  80-</v>
      </c>
      <c r="C2355" t="str">
        <f t="shared" si="187"/>
        <v>RIV</v>
      </c>
      <c r="D2355">
        <v>27</v>
      </c>
      <c r="E2355" t="str">
        <f t="shared" si="189"/>
        <v>124</v>
      </c>
      <c r="F2355" t="str">
        <f>"326"</f>
        <v>326</v>
      </c>
    </row>
    <row r="2356" spans="1:6">
      <c r="A2356" t="str">
        <f>"E1235-107"</f>
        <v>E1235-107</v>
      </c>
      <c r="B2356" t="str">
        <f t="shared" si="190"/>
        <v>VIA FELICE MARITANO  80-</v>
      </c>
      <c r="C2356" t="str">
        <f t="shared" si="187"/>
        <v>RIV</v>
      </c>
      <c r="D2356">
        <v>27</v>
      </c>
      <c r="E2356" t="str">
        <f t="shared" si="189"/>
        <v>124</v>
      </c>
      <c r="F2356" t="str">
        <f>"327"</f>
        <v>327</v>
      </c>
    </row>
    <row r="2357" spans="1:6">
      <c r="A2357" t="str">
        <f>"E1235-108"</f>
        <v>E1235-108</v>
      </c>
      <c r="B2357" t="str">
        <f t="shared" si="190"/>
        <v>VIA FELICE MARITANO  80-</v>
      </c>
      <c r="C2357" t="str">
        <f t="shared" si="187"/>
        <v>RIV</v>
      </c>
      <c r="D2357">
        <v>27</v>
      </c>
      <c r="E2357" t="str">
        <f t="shared" si="189"/>
        <v>124</v>
      </c>
      <c r="F2357" t="str">
        <f>"328"</f>
        <v>328</v>
      </c>
    </row>
    <row r="2358" spans="1:6">
      <c r="A2358" t="str">
        <f>"E1235-109"</f>
        <v>E1235-109</v>
      </c>
      <c r="B2358" t="str">
        <f t="shared" si="190"/>
        <v>VIA FELICE MARITANO  80-</v>
      </c>
      <c r="C2358" t="str">
        <f t="shared" si="187"/>
        <v>RIV</v>
      </c>
      <c r="D2358">
        <v>27</v>
      </c>
      <c r="E2358" t="str">
        <f t="shared" si="189"/>
        <v>124</v>
      </c>
      <c r="F2358" t="str">
        <f>"329"</f>
        <v>329</v>
      </c>
    </row>
    <row r="2359" spans="1:6">
      <c r="A2359" t="str">
        <f>"E1235-110"</f>
        <v>E1235-110</v>
      </c>
      <c r="B2359" t="str">
        <f t="shared" si="190"/>
        <v>VIA FELICE MARITANO  80-</v>
      </c>
      <c r="C2359" t="str">
        <f t="shared" ref="C2359:C2422" si="191">"RIV"</f>
        <v>RIV</v>
      </c>
      <c r="D2359">
        <v>27</v>
      </c>
      <c r="E2359" t="str">
        <f t="shared" si="189"/>
        <v>124</v>
      </c>
      <c r="F2359" t="str">
        <f>"330"</f>
        <v>330</v>
      </c>
    </row>
    <row r="2360" spans="1:6">
      <c r="A2360" t="str">
        <f>"E1235-111"</f>
        <v>E1235-111</v>
      </c>
      <c r="B2360" t="str">
        <f t="shared" si="190"/>
        <v>VIA FELICE MARITANO  80-</v>
      </c>
      <c r="C2360" t="str">
        <f t="shared" si="191"/>
        <v>RIV</v>
      </c>
      <c r="D2360">
        <v>27</v>
      </c>
      <c r="E2360" t="str">
        <f t="shared" si="189"/>
        <v>124</v>
      </c>
      <c r="F2360" t="str">
        <f>"331"</f>
        <v>331</v>
      </c>
    </row>
    <row r="2361" spans="1:6">
      <c r="A2361" t="str">
        <f>"E1235-112"</f>
        <v>E1235-112</v>
      </c>
      <c r="B2361" t="str">
        <f t="shared" si="190"/>
        <v>VIA FELICE MARITANO  80-</v>
      </c>
      <c r="C2361" t="str">
        <f t="shared" si="191"/>
        <v>RIV</v>
      </c>
      <c r="D2361">
        <v>27</v>
      </c>
      <c r="E2361" t="str">
        <f t="shared" si="189"/>
        <v>124</v>
      </c>
      <c r="F2361" t="str">
        <f>"332"</f>
        <v>332</v>
      </c>
    </row>
    <row r="2362" spans="1:6">
      <c r="A2362" t="str">
        <f>"E1235-113"</f>
        <v>E1235-113</v>
      </c>
      <c r="B2362" t="str">
        <f t="shared" si="190"/>
        <v>VIA FELICE MARITANO  80-</v>
      </c>
      <c r="C2362" t="str">
        <f t="shared" si="191"/>
        <v>RIV</v>
      </c>
      <c r="D2362">
        <v>27</v>
      </c>
      <c r="E2362" t="str">
        <f t="shared" si="189"/>
        <v>124</v>
      </c>
      <c r="F2362" t="str">
        <f>"333"</f>
        <v>333</v>
      </c>
    </row>
    <row r="2363" spans="1:6">
      <c r="A2363" t="str">
        <f>"E1235-114"</f>
        <v>E1235-114</v>
      </c>
      <c r="B2363" t="str">
        <f t="shared" si="190"/>
        <v>VIA FELICE MARITANO  80-</v>
      </c>
      <c r="C2363" t="str">
        <f t="shared" si="191"/>
        <v>RIV</v>
      </c>
      <c r="D2363">
        <v>27</v>
      </c>
      <c r="E2363" t="str">
        <f t="shared" si="189"/>
        <v>124</v>
      </c>
      <c r="F2363" t="str">
        <f>"334"</f>
        <v>334</v>
      </c>
    </row>
    <row r="2364" spans="1:6">
      <c r="A2364" t="str">
        <f>"E1235-115"</f>
        <v>E1235-115</v>
      </c>
      <c r="B2364" t="str">
        <f t="shared" si="190"/>
        <v>VIA FELICE MARITANO  80-</v>
      </c>
      <c r="C2364" t="str">
        <f t="shared" si="191"/>
        <v>RIV</v>
      </c>
      <c r="D2364">
        <v>27</v>
      </c>
      <c r="E2364" t="str">
        <f t="shared" si="189"/>
        <v>124</v>
      </c>
      <c r="F2364" t="str">
        <f>"335"</f>
        <v>335</v>
      </c>
    </row>
    <row r="2365" spans="1:6">
      <c r="A2365" t="str">
        <f>"E1235-116"</f>
        <v>E1235-116</v>
      </c>
      <c r="B2365" t="str">
        <f t="shared" si="190"/>
        <v>VIA FELICE MARITANO  80-</v>
      </c>
      <c r="C2365" t="str">
        <f t="shared" si="191"/>
        <v>RIV</v>
      </c>
      <c r="D2365">
        <v>27</v>
      </c>
      <c r="E2365" t="str">
        <f t="shared" si="189"/>
        <v>124</v>
      </c>
      <c r="F2365" t="str">
        <f>"336"</f>
        <v>336</v>
      </c>
    </row>
    <row r="2366" spans="1:6">
      <c r="A2366" t="str">
        <f>"E1235-117"</f>
        <v>E1235-117</v>
      </c>
      <c r="B2366" t="str">
        <f t="shared" si="190"/>
        <v>VIA FELICE MARITANO  80-</v>
      </c>
      <c r="C2366" t="str">
        <f t="shared" si="191"/>
        <v>RIV</v>
      </c>
      <c r="D2366">
        <v>27</v>
      </c>
      <c r="E2366" t="str">
        <f t="shared" si="189"/>
        <v>124</v>
      </c>
      <c r="F2366" t="str">
        <f>"337"</f>
        <v>337</v>
      </c>
    </row>
    <row r="2367" spans="1:6">
      <c r="A2367" t="str">
        <f>"E1235-118"</f>
        <v>E1235-118</v>
      </c>
      <c r="B2367" t="str">
        <f t="shared" si="190"/>
        <v>VIA FELICE MARITANO  80-</v>
      </c>
      <c r="C2367" t="str">
        <f t="shared" si="191"/>
        <v>RIV</v>
      </c>
      <c r="D2367">
        <v>27</v>
      </c>
      <c r="E2367" t="str">
        <f t="shared" si="189"/>
        <v>124</v>
      </c>
      <c r="F2367" t="str">
        <f>"338"</f>
        <v>338</v>
      </c>
    </row>
    <row r="2368" spans="1:6">
      <c r="A2368" t="str">
        <f>"E1235-119"</f>
        <v>E1235-119</v>
      </c>
      <c r="B2368" t="str">
        <f t="shared" si="190"/>
        <v>VIA FELICE MARITANO  80-</v>
      </c>
      <c r="C2368" t="str">
        <f t="shared" si="191"/>
        <v>RIV</v>
      </c>
      <c r="D2368">
        <v>27</v>
      </c>
      <c r="E2368" t="str">
        <f t="shared" si="189"/>
        <v>124</v>
      </c>
      <c r="F2368" t="str">
        <f>"339"</f>
        <v>339</v>
      </c>
    </row>
    <row r="2369" spans="1:6">
      <c r="A2369" t="str">
        <f>"E1235-120"</f>
        <v>E1235-120</v>
      </c>
      <c r="B2369" t="str">
        <f t="shared" si="190"/>
        <v>VIA FELICE MARITANO  80-</v>
      </c>
      <c r="C2369" t="str">
        <f t="shared" si="191"/>
        <v>RIV</v>
      </c>
      <c r="D2369">
        <v>27</v>
      </c>
      <c r="E2369" t="str">
        <f t="shared" si="189"/>
        <v>124</v>
      </c>
      <c r="F2369" t="str">
        <f>"340"</f>
        <v>340</v>
      </c>
    </row>
    <row r="2370" spans="1:6">
      <c r="A2370" t="str">
        <f>"E1235-121"</f>
        <v>E1235-121</v>
      </c>
      <c r="B2370" t="str">
        <f t="shared" si="190"/>
        <v>VIA FELICE MARITANO  80-</v>
      </c>
      <c r="C2370" t="str">
        <f t="shared" si="191"/>
        <v>RIV</v>
      </c>
      <c r="D2370">
        <v>27</v>
      </c>
      <c r="E2370" t="str">
        <f t="shared" si="189"/>
        <v>124</v>
      </c>
      <c r="F2370" t="str">
        <f>"341"</f>
        <v>341</v>
      </c>
    </row>
    <row r="2371" spans="1:6">
      <c r="A2371" t="str">
        <f>"E1235-122"</f>
        <v>E1235-122</v>
      </c>
      <c r="B2371" t="str">
        <f t="shared" si="190"/>
        <v>VIA FELICE MARITANO  80-</v>
      </c>
      <c r="C2371" t="str">
        <f t="shared" si="191"/>
        <v>RIV</v>
      </c>
      <c r="D2371">
        <v>27</v>
      </c>
      <c r="E2371" t="str">
        <f t="shared" si="189"/>
        <v>124</v>
      </c>
      <c r="F2371" t="str">
        <f>"342"</f>
        <v>342</v>
      </c>
    </row>
    <row r="2372" spans="1:6">
      <c r="A2372" t="str">
        <f>"E1235-123"</f>
        <v>E1235-123</v>
      </c>
      <c r="B2372" t="str">
        <f t="shared" si="190"/>
        <v>VIA FELICE MARITANO  80-</v>
      </c>
      <c r="C2372" t="str">
        <f t="shared" si="191"/>
        <v>RIV</v>
      </c>
      <c r="D2372">
        <v>27</v>
      </c>
      <c r="E2372" t="str">
        <f t="shared" si="189"/>
        <v>124</v>
      </c>
      <c r="F2372" t="str">
        <f>"343"</f>
        <v>343</v>
      </c>
    </row>
    <row r="2373" spans="1:6">
      <c r="A2373" t="str">
        <f>"E1235-124"</f>
        <v>E1235-124</v>
      </c>
      <c r="B2373" t="str">
        <f t="shared" si="190"/>
        <v>VIA FELICE MARITANO  80-</v>
      </c>
      <c r="C2373" t="str">
        <f t="shared" si="191"/>
        <v>RIV</v>
      </c>
      <c r="D2373">
        <v>27</v>
      </c>
      <c r="E2373" t="str">
        <f t="shared" si="189"/>
        <v>124</v>
      </c>
      <c r="F2373" t="str">
        <f>"344"</f>
        <v>344</v>
      </c>
    </row>
    <row r="2374" spans="1:6">
      <c r="A2374" t="str">
        <f>"E1235-125"</f>
        <v>E1235-125</v>
      </c>
      <c r="B2374" t="str">
        <f t="shared" si="190"/>
        <v>VIA FELICE MARITANO  80-</v>
      </c>
      <c r="C2374" t="str">
        <f t="shared" si="191"/>
        <v>RIV</v>
      </c>
      <c r="D2374">
        <v>27</v>
      </c>
      <c r="E2374" t="str">
        <f t="shared" si="189"/>
        <v>124</v>
      </c>
      <c r="F2374" t="str">
        <f>"345"</f>
        <v>345</v>
      </c>
    </row>
    <row r="2375" spans="1:6">
      <c r="A2375" t="str">
        <f>"E1235-126"</f>
        <v>E1235-126</v>
      </c>
      <c r="B2375" t="str">
        <f t="shared" si="190"/>
        <v>VIA FELICE MARITANO  80-</v>
      </c>
      <c r="C2375" t="str">
        <f t="shared" si="191"/>
        <v>RIV</v>
      </c>
      <c r="D2375">
        <v>27</v>
      </c>
      <c r="E2375" t="str">
        <f t="shared" si="189"/>
        <v>124</v>
      </c>
      <c r="F2375" t="str">
        <f>"346"</f>
        <v>346</v>
      </c>
    </row>
    <row r="2376" spans="1:6">
      <c r="A2376" t="str">
        <f>"E1235-127"</f>
        <v>E1235-127</v>
      </c>
      <c r="B2376" t="str">
        <f t="shared" si="190"/>
        <v>VIA FELICE MARITANO  80-</v>
      </c>
      <c r="C2376" t="str">
        <f t="shared" si="191"/>
        <v>RIV</v>
      </c>
      <c r="D2376">
        <v>27</v>
      </c>
      <c r="E2376" t="str">
        <f t="shared" si="189"/>
        <v>124</v>
      </c>
      <c r="F2376" t="str">
        <f>"347"</f>
        <v>347</v>
      </c>
    </row>
    <row r="2377" spans="1:6">
      <c r="A2377" t="str">
        <f>"E1235-128"</f>
        <v>E1235-128</v>
      </c>
      <c r="B2377" t="str">
        <f t="shared" si="190"/>
        <v>VIA FELICE MARITANO  80-</v>
      </c>
      <c r="C2377" t="str">
        <f t="shared" si="191"/>
        <v>RIV</v>
      </c>
      <c r="D2377">
        <v>27</v>
      </c>
      <c r="E2377" t="str">
        <f t="shared" si="189"/>
        <v>124</v>
      </c>
      <c r="F2377" t="str">
        <f>"348"</f>
        <v>348</v>
      </c>
    </row>
    <row r="2378" spans="1:6">
      <c r="A2378" t="str">
        <f>"E1235-129"</f>
        <v>E1235-129</v>
      </c>
      <c r="B2378" t="str">
        <f t="shared" si="190"/>
        <v>VIA FELICE MARITANO  80-</v>
      </c>
      <c r="C2378" t="str">
        <f t="shared" si="191"/>
        <v>RIV</v>
      </c>
      <c r="D2378">
        <v>27</v>
      </c>
      <c r="E2378" t="str">
        <f t="shared" si="189"/>
        <v>124</v>
      </c>
      <c r="F2378" t="str">
        <f>"349"</f>
        <v>349</v>
      </c>
    </row>
    <row r="2379" spans="1:6">
      <c r="A2379" t="str">
        <f>"E1235-130"</f>
        <v>E1235-130</v>
      </c>
      <c r="B2379" t="str">
        <f t="shared" si="190"/>
        <v>VIA FELICE MARITANO  80-</v>
      </c>
      <c r="C2379" t="str">
        <f t="shared" si="191"/>
        <v>RIV</v>
      </c>
      <c r="D2379">
        <v>27</v>
      </c>
      <c r="E2379" t="str">
        <f t="shared" si="189"/>
        <v>124</v>
      </c>
      <c r="F2379" t="str">
        <f>"350"</f>
        <v>350</v>
      </c>
    </row>
    <row r="2380" spans="1:6">
      <c r="A2380" t="str">
        <f>"E1235-131"</f>
        <v>E1235-131</v>
      </c>
      <c r="B2380" t="str">
        <f t="shared" ref="B2380:B2391" si="192">"VIA FELICE MARITANO  80-"</f>
        <v>VIA FELICE MARITANO  80-</v>
      </c>
      <c r="C2380" t="str">
        <f t="shared" si="191"/>
        <v>RIV</v>
      </c>
      <c r="D2380">
        <v>27</v>
      </c>
      <c r="E2380" t="str">
        <f t="shared" ref="E2380:E2443" si="193">"124"</f>
        <v>124</v>
      </c>
      <c r="F2380" t="str">
        <f>"351"</f>
        <v>351</v>
      </c>
    </row>
    <row r="2381" spans="1:6">
      <c r="A2381" t="str">
        <f>"E1235-132"</f>
        <v>E1235-132</v>
      </c>
      <c r="B2381" t="str">
        <f t="shared" si="192"/>
        <v>VIA FELICE MARITANO  80-</v>
      </c>
      <c r="C2381" t="str">
        <f t="shared" si="191"/>
        <v>RIV</v>
      </c>
      <c r="D2381">
        <v>27</v>
      </c>
      <c r="E2381" t="str">
        <f t="shared" si="193"/>
        <v>124</v>
      </c>
      <c r="F2381" t="str">
        <f>"352"</f>
        <v>352</v>
      </c>
    </row>
    <row r="2382" spans="1:6">
      <c r="A2382" t="str">
        <f>"E1235-133"</f>
        <v>E1235-133</v>
      </c>
      <c r="B2382" t="str">
        <f t="shared" si="192"/>
        <v>VIA FELICE MARITANO  80-</v>
      </c>
      <c r="C2382" t="str">
        <f t="shared" si="191"/>
        <v>RIV</v>
      </c>
      <c r="D2382">
        <v>27</v>
      </c>
      <c r="E2382" t="str">
        <f t="shared" si="193"/>
        <v>124</v>
      </c>
      <c r="F2382" t="str">
        <f>"353"</f>
        <v>353</v>
      </c>
    </row>
    <row r="2383" spans="1:6">
      <c r="A2383" t="str">
        <f>"E1235-134"</f>
        <v>E1235-134</v>
      </c>
      <c r="B2383" t="str">
        <f t="shared" si="192"/>
        <v>VIA FELICE MARITANO  80-</v>
      </c>
      <c r="C2383" t="str">
        <f t="shared" si="191"/>
        <v>RIV</v>
      </c>
      <c r="D2383">
        <v>27</v>
      </c>
      <c r="E2383" t="str">
        <f t="shared" si="193"/>
        <v>124</v>
      </c>
      <c r="F2383" t="str">
        <f>"354"</f>
        <v>354</v>
      </c>
    </row>
    <row r="2384" spans="1:6">
      <c r="A2384" t="str">
        <f>"E1235-135"</f>
        <v>E1235-135</v>
      </c>
      <c r="B2384" t="str">
        <f t="shared" si="192"/>
        <v>VIA FELICE MARITANO  80-</v>
      </c>
      <c r="C2384" t="str">
        <f t="shared" si="191"/>
        <v>RIV</v>
      </c>
      <c r="D2384">
        <v>27</v>
      </c>
      <c r="E2384" t="str">
        <f t="shared" si="193"/>
        <v>124</v>
      </c>
      <c r="F2384" t="str">
        <f>"355"</f>
        <v>355</v>
      </c>
    </row>
    <row r="2385" spans="1:6">
      <c r="A2385" t="str">
        <f>"E1235-136"</f>
        <v>E1235-136</v>
      </c>
      <c r="B2385" t="str">
        <f t="shared" si="192"/>
        <v>VIA FELICE MARITANO  80-</v>
      </c>
      <c r="C2385" t="str">
        <f t="shared" si="191"/>
        <v>RIV</v>
      </c>
      <c r="D2385">
        <v>27</v>
      </c>
      <c r="E2385" t="str">
        <f t="shared" si="193"/>
        <v>124</v>
      </c>
      <c r="F2385" t="str">
        <f>"356"</f>
        <v>356</v>
      </c>
    </row>
    <row r="2386" spans="1:6">
      <c r="A2386" t="str">
        <f>"E1235-137"</f>
        <v>E1235-137</v>
      </c>
      <c r="B2386" t="str">
        <f t="shared" si="192"/>
        <v>VIA FELICE MARITANO  80-</v>
      </c>
      <c r="C2386" t="str">
        <f t="shared" si="191"/>
        <v>RIV</v>
      </c>
      <c r="D2386">
        <v>27</v>
      </c>
      <c r="E2386" t="str">
        <f t="shared" si="193"/>
        <v>124</v>
      </c>
      <c r="F2386" t="str">
        <f>"357"</f>
        <v>357</v>
      </c>
    </row>
    <row r="2387" spans="1:6">
      <c r="A2387" t="str">
        <f>"E1235-138"</f>
        <v>E1235-138</v>
      </c>
      <c r="B2387" t="str">
        <f t="shared" si="192"/>
        <v>VIA FELICE MARITANO  80-</v>
      </c>
      <c r="C2387" t="str">
        <f t="shared" si="191"/>
        <v>RIV</v>
      </c>
      <c r="D2387">
        <v>27</v>
      </c>
      <c r="E2387" t="str">
        <f t="shared" si="193"/>
        <v>124</v>
      </c>
      <c r="F2387" t="str">
        <f>"358"</f>
        <v>358</v>
      </c>
    </row>
    <row r="2388" spans="1:6">
      <c r="A2388" t="str">
        <f>"E1235-139"</f>
        <v>E1235-139</v>
      </c>
      <c r="B2388" t="str">
        <f t="shared" si="192"/>
        <v>VIA FELICE MARITANO  80-</v>
      </c>
      <c r="C2388" t="str">
        <f t="shared" si="191"/>
        <v>RIV</v>
      </c>
      <c r="D2388">
        <v>27</v>
      </c>
      <c r="E2388" t="str">
        <f t="shared" si="193"/>
        <v>124</v>
      </c>
      <c r="F2388" t="str">
        <f>"359"</f>
        <v>359</v>
      </c>
    </row>
    <row r="2389" spans="1:6">
      <c r="A2389" t="str">
        <f>"E1235-140"</f>
        <v>E1235-140</v>
      </c>
      <c r="B2389" t="str">
        <f t="shared" si="192"/>
        <v>VIA FELICE MARITANO  80-</v>
      </c>
      <c r="C2389" t="str">
        <f t="shared" si="191"/>
        <v>RIV</v>
      </c>
      <c r="D2389">
        <v>27</v>
      </c>
      <c r="E2389" t="str">
        <f t="shared" si="193"/>
        <v>124</v>
      </c>
      <c r="F2389" t="str">
        <f>"360"</f>
        <v>360</v>
      </c>
    </row>
    <row r="2390" spans="1:6">
      <c r="A2390" t="str">
        <f>"E1235-141"</f>
        <v>E1235-141</v>
      </c>
      <c r="B2390" t="str">
        <f t="shared" si="192"/>
        <v>VIA FELICE MARITANO  80-</v>
      </c>
      <c r="C2390" t="str">
        <f t="shared" si="191"/>
        <v>RIV</v>
      </c>
      <c r="D2390">
        <v>27</v>
      </c>
      <c r="E2390" t="str">
        <f t="shared" si="193"/>
        <v>124</v>
      </c>
      <c r="F2390" t="str">
        <f>"361"</f>
        <v>361</v>
      </c>
    </row>
    <row r="2391" spans="1:6">
      <c r="A2391" t="str">
        <f>"E1235-142"</f>
        <v>E1235-142</v>
      </c>
      <c r="B2391" t="str">
        <f t="shared" si="192"/>
        <v>VIA FELICE MARITANO  80-</v>
      </c>
      <c r="C2391" t="str">
        <f t="shared" si="191"/>
        <v>RIV</v>
      </c>
      <c r="D2391">
        <v>27</v>
      </c>
      <c r="E2391" t="str">
        <f t="shared" si="193"/>
        <v>124</v>
      </c>
      <c r="F2391" t="str">
        <f>"362"</f>
        <v>362</v>
      </c>
    </row>
    <row r="2392" spans="1:6">
      <c r="A2392" t="str">
        <f>"E1235-143"</f>
        <v>E1235-143</v>
      </c>
      <c r="B2392" t="str">
        <f t="shared" ref="B2392:B2408" si="194">"VIA FELICE MARITANO  90-"</f>
        <v>VIA FELICE MARITANO  90-</v>
      </c>
      <c r="C2392" t="str">
        <f t="shared" si="191"/>
        <v>RIV</v>
      </c>
      <c r="D2392">
        <v>27</v>
      </c>
      <c r="E2392" t="str">
        <f t="shared" si="193"/>
        <v>124</v>
      </c>
      <c r="F2392" t="str">
        <f>"12"</f>
        <v>12</v>
      </c>
    </row>
    <row r="2393" spans="1:6">
      <c r="A2393" t="str">
        <f>"E1235-144"</f>
        <v>E1235-144</v>
      </c>
      <c r="B2393" t="str">
        <f t="shared" si="194"/>
        <v>VIA FELICE MARITANO  90-</v>
      </c>
      <c r="C2393" t="str">
        <f t="shared" si="191"/>
        <v>RIV</v>
      </c>
      <c r="D2393">
        <v>27</v>
      </c>
      <c r="E2393" t="str">
        <f t="shared" si="193"/>
        <v>124</v>
      </c>
      <c r="F2393" t="str">
        <f>"11"</f>
        <v>11</v>
      </c>
    </row>
    <row r="2394" spans="1:6">
      <c r="A2394" t="str">
        <f>"E1235-145"</f>
        <v>E1235-145</v>
      </c>
      <c r="B2394" t="str">
        <f t="shared" si="194"/>
        <v>VIA FELICE MARITANO  90-</v>
      </c>
      <c r="C2394" t="str">
        <f t="shared" si="191"/>
        <v>RIV</v>
      </c>
      <c r="D2394">
        <v>27</v>
      </c>
      <c r="E2394" t="str">
        <f t="shared" si="193"/>
        <v>124</v>
      </c>
      <c r="F2394" t="str">
        <f>"10"</f>
        <v>10</v>
      </c>
    </row>
    <row r="2395" spans="1:6">
      <c r="A2395" t="str">
        <f>"E1235-146"</f>
        <v>E1235-146</v>
      </c>
      <c r="B2395" t="str">
        <f t="shared" si="194"/>
        <v>VIA FELICE MARITANO  90-</v>
      </c>
      <c r="C2395" t="str">
        <f t="shared" si="191"/>
        <v>RIV</v>
      </c>
      <c r="D2395">
        <v>27</v>
      </c>
      <c r="E2395" t="str">
        <f t="shared" si="193"/>
        <v>124</v>
      </c>
      <c r="F2395" t="str">
        <f>"19"</f>
        <v>19</v>
      </c>
    </row>
    <row r="2396" spans="1:6">
      <c r="A2396" t="str">
        <f>"E1235-147"</f>
        <v>E1235-147</v>
      </c>
      <c r="B2396" t="str">
        <f t="shared" si="194"/>
        <v>VIA FELICE MARITANO  90-</v>
      </c>
      <c r="C2396" t="str">
        <f t="shared" si="191"/>
        <v>RIV</v>
      </c>
      <c r="D2396">
        <v>27</v>
      </c>
      <c r="E2396" t="str">
        <f t="shared" si="193"/>
        <v>124</v>
      </c>
      <c r="F2396" t="str">
        <f>"18"</f>
        <v>18</v>
      </c>
    </row>
    <row r="2397" spans="1:6">
      <c r="A2397" t="str">
        <f>"E1235-148"</f>
        <v>E1235-148</v>
      </c>
      <c r="B2397" t="str">
        <f t="shared" si="194"/>
        <v>VIA FELICE MARITANO  90-</v>
      </c>
      <c r="C2397" t="str">
        <f t="shared" si="191"/>
        <v>RIV</v>
      </c>
      <c r="D2397">
        <v>27</v>
      </c>
      <c r="E2397" t="str">
        <f t="shared" si="193"/>
        <v>124</v>
      </c>
      <c r="F2397" t="str">
        <f>"20"</f>
        <v>20</v>
      </c>
    </row>
    <row r="2398" spans="1:6">
      <c r="A2398" t="str">
        <f>"E1235-149"</f>
        <v>E1235-149</v>
      </c>
      <c r="B2398" t="str">
        <f t="shared" si="194"/>
        <v>VIA FELICE MARITANO  90-</v>
      </c>
      <c r="C2398" t="str">
        <f t="shared" si="191"/>
        <v>RIV</v>
      </c>
      <c r="D2398">
        <v>27</v>
      </c>
      <c r="E2398" t="str">
        <f t="shared" si="193"/>
        <v>124</v>
      </c>
      <c r="F2398" t="str">
        <f>"29"</f>
        <v>29</v>
      </c>
    </row>
    <row r="2399" spans="1:6">
      <c r="A2399" t="str">
        <f>"E1235-150"</f>
        <v>E1235-150</v>
      </c>
      <c r="B2399" t="str">
        <f t="shared" si="194"/>
        <v>VIA FELICE MARITANO  90-</v>
      </c>
      <c r="C2399" t="str">
        <f t="shared" si="191"/>
        <v>RIV</v>
      </c>
      <c r="D2399">
        <v>27</v>
      </c>
      <c r="E2399" t="str">
        <f t="shared" si="193"/>
        <v>124</v>
      </c>
      <c r="F2399" t="str">
        <f>"28"</f>
        <v>28</v>
      </c>
    </row>
    <row r="2400" spans="1:6">
      <c r="A2400" t="str">
        <f>"E1235-151"</f>
        <v>E1235-151</v>
      </c>
      <c r="B2400" t="str">
        <f t="shared" si="194"/>
        <v>VIA FELICE MARITANO  90-</v>
      </c>
      <c r="C2400" t="str">
        <f t="shared" si="191"/>
        <v>RIV</v>
      </c>
      <c r="D2400">
        <v>27</v>
      </c>
      <c r="E2400" t="str">
        <f t="shared" si="193"/>
        <v>124</v>
      </c>
      <c r="F2400" t="str">
        <f>"38"</f>
        <v>38</v>
      </c>
    </row>
    <row r="2401" spans="1:6">
      <c r="A2401" t="str">
        <f>"E1235-152"</f>
        <v>E1235-152</v>
      </c>
      <c r="B2401" t="str">
        <f t="shared" si="194"/>
        <v>VIA FELICE MARITANO  90-</v>
      </c>
      <c r="C2401" t="str">
        <f t="shared" si="191"/>
        <v>RIV</v>
      </c>
      <c r="D2401">
        <v>27</v>
      </c>
      <c r="E2401" t="str">
        <f t="shared" si="193"/>
        <v>124</v>
      </c>
      <c r="F2401" t="str">
        <f>"37"</f>
        <v>37</v>
      </c>
    </row>
    <row r="2402" spans="1:6">
      <c r="A2402" t="str">
        <f>"E1235-153"</f>
        <v>E1235-153</v>
      </c>
      <c r="B2402" t="str">
        <f t="shared" si="194"/>
        <v>VIA FELICE MARITANO  90-</v>
      </c>
      <c r="C2402" t="str">
        <f t="shared" si="191"/>
        <v>RIV</v>
      </c>
      <c r="D2402">
        <v>27</v>
      </c>
      <c r="E2402" t="str">
        <f t="shared" si="193"/>
        <v>124</v>
      </c>
      <c r="F2402" t="str">
        <f>"36"</f>
        <v>36</v>
      </c>
    </row>
    <row r="2403" spans="1:6">
      <c r="A2403" t="str">
        <f>"E1235-154"</f>
        <v>E1235-154</v>
      </c>
      <c r="B2403" t="str">
        <f t="shared" si="194"/>
        <v>VIA FELICE MARITANO  90-</v>
      </c>
      <c r="C2403" t="str">
        <f t="shared" si="191"/>
        <v>RIV</v>
      </c>
      <c r="D2403">
        <v>27</v>
      </c>
      <c r="E2403" t="str">
        <f t="shared" si="193"/>
        <v>124</v>
      </c>
      <c r="F2403" t="str">
        <f>"35"</f>
        <v>35</v>
      </c>
    </row>
    <row r="2404" spans="1:6">
      <c r="A2404" t="str">
        <f>"E1235-155"</f>
        <v>E1235-155</v>
      </c>
      <c r="B2404" t="str">
        <f t="shared" si="194"/>
        <v>VIA FELICE MARITANO  90-</v>
      </c>
      <c r="C2404" t="str">
        <f t="shared" si="191"/>
        <v>RIV</v>
      </c>
      <c r="D2404">
        <v>27</v>
      </c>
      <c r="E2404" t="str">
        <f t="shared" si="193"/>
        <v>124</v>
      </c>
      <c r="F2404" t="str">
        <f>"27"</f>
        <v>27</v>
      </c>
    </row>
    <row r="2405" spans="1:6">
      <c r="A2405" t="str">
        <f>"E1235-156"</f>
        <v>E1235-156</v>
      </c>
      <c r="B2405" t="str">
        <f t="shared" si="194"/>
        <v>VIA FELICE MARITANO  90-</v>
      </c>
      <c r="C2405" t="str">
        <f t="shared" si="191"/>
        <v>RIV</v>
      </c>
      <c r="D2405">
        <v>27</v>
      </c>
      <c r="E2405" t="str">
        <f t="shared" si="193"/>
        <v>124</v>
      </c>
      <c r="F2405" t="str">
        <f>"26"</f>
        <v>26</v>
      </c>
    </row>
    <row r="2406" spans="1:6">
      <c r="A2406" t="str">
        <f>"E1235-157"</f>
        <v>E1235-157</v>
      </c>
      <c r="B2406" t="str">
        <f t="shared" si="194"/>
        <v>VIA FELICE MARITANO  90-</v>
      </c>
      <c r="C2406" t="str">
        <f t="shared" si="191"/>
        <v>RIV</v>
      </c>
      <c r="D2406">
        <v>27</v>
      </c>
      <c r="E2406" t="str">
        <f t="shared" si="193"/>
        <v>124</v>
      </c>
      <c r="F2406" t="str">
        <f>"45"</f>
        <v>45</v>
      </c>
    </row>
    <row r="2407" spans="1:6">
      <c r="A2407" t="str">
        <f>"E1235-158"</f>
        <v>E1235-158</v>
      </c>
      <c r="B2407" t="str">
        <f t="shared" si="194"/>
        <v>VIA FELICE MARITANO  90-</v>
      </c>
      <c r="C2407" t="str">
        <f t="shared" si="191"/>
        <v>RIV</v>
      </c>
      <c r="D2407">
        <v>27</v>
      </c>
      <c r="E2407" t="str">
        <f t="shared" si="193"/>
        <v>124</v>
      </c>
      <c r="F2407" t="str">
        <f>"44"</f>
        <v>44</v>
      </c>
    </row>
    <row r="2408" spans="1:6">
      <c r="A2408" t="str">
        <f>"E1235-159"</f>
        <v>E1235-159</v>
      </c>
      <c r="B2408" t="str">
        <f t="shared" si="194"/>
        <v>VIA FELICE MARITANO  90-</v>
      </c>
      <c r="C2408" t="str">
        <f t="shared" si="191"/>
        <v>RIV</v>
      </c>
      <c r="D2408">
        <v>27</v>
      </c>
      <c r="E2408" t="str">
        <f t="shared" si="193"/>
        <v>124</v>
      </c>
      <c r="F2408" t="str">
        <f>"48"</f>
        <v>48</v>
      </c>
    </row>
    <row r="2409" spans="1:6">
      <c r="A2409" t="str">
        <f>"E1235-160"</f>
        <v>E1235-160</v>
      </c>
      <c r="B2409" t="str">
        <f>"VIA FELICE MARITANO  92-"</f>
        <v>VIA FELICE MARITANO  92-</v>
      </c>
      <c r="C2409" t="str">
        <f t="shared" si="191"/>
        <v>RIV</v>
      </c>
      <c r="D2409">
        <v>27</v>
      </c>
      <c r="E2409" t="str">
        <f t="shared" si="193"/>
        <v>124</v>
      </c>
      <c r="F2409" t="str">
        <f>"49"</f>
        <v>49</v>
      </c>
    </row>
    <row r="2410" spans="1:6">
      <c r="A2410" t="str">
        <f>"E1235-161"</f>
        <v>E1235-161</v>
      </c>
      <c r="B2410" t="str">
        <f>"VIA FELICE MARITANO  92-"</f>
        <v>VIA FELICE MARITANO  92-</v>
      </c>
      <c r="C2410" t="str">
        <f t="shared" si="191"/>
        <v>RIV</v>
      </c>
      <c r="D2410">
        <v>27</v>
      </c>
      <c r="E2410" t="str">
        <f t="shared" si="193"/>
        <v>124</v>
      </c>
      <c r="F2410" t="str">
        <f>"60"</f>
        <v>60</v>
      </c>
    </row>
    <row r="2411" spans="1:6">
      <c r="A2411" t="str">
        <f>"E1235-162"</f>
        <v>E1235-162</v>
      </c>
      <c r="B2411" t="str">
        <f>"VIA FELICE MARITANO  92-"</f>
        <v>VIA FELICE MARITANO  92-</v>
      </c>
      <c r="C2411" t="str">
        <f t="shared" si="191"/>
        <v>RIV</v>
      </c>
      <c r="D2411">
        <v>27</v>
      </c>
      <c r="E2411" t="str">
        <f t="shared" si="193"/>
        <v>124</v>
      </c>
      <c r="F2411" t="str">
        <f>"59"</f>
        <v>59</v>
      </c>
    </row>
    <row r="2412" spans="1:6">
      <c r="A2412" t="str">
        <f>"E1235-163"</f>
        <v>E1235-163</v>
      </c>
      <c r="B2412" t="str">
        <f t="shared" ref="B2412:B2425" si="195">"VIA FELICE MARITANO  90-"</f>
        <v>VIA FELICE MARITANO  90-</v>
      </c>
      <c r="C2412" t="str">
        <f t="shared" si="191"/>
        <v>RIV</v>
      </c>
      <c r="D2412">
        <v>27</v>
      </c>
      <c r="E2412" t="str">
        <f t="shared" si="193"/>
        <v>124</v>
      </c>
      <c r="F2412" t="str">
        <f>"47"</f>
        <v>47</v>
      </c>
    </row>
    <row r="2413" spans="1:6">
      <c r="A2413" t="str">
        <f>"E1235-164"</f>
        <v>E1235-164</v>
      </c>
      <c r="B2413" t="str">
        <f t="shared" si="195"/>
        <v>VIA FELICE MARITANO  90-</v>
      </c>
      <c r="C2413" t="str">
        <f t="shared" si="191"/>
        <v>RIV</v>
      </c>
      <c r="D2413">
        <v>27</v>
      </c>
      <c r="E2413" t="str">
        <f t="shared" si="193"/>
        <v>124</v>
      </c>
      <c r="F2413" t="str">
        <f>"46"</f>
        <v>46</v>
      </c>
    </row>
    <row r="2414" spans="1:6">
      <c r="A2414" t="str">
        <f>"E1235-165"</f>
        <v>E1235-165</v>
      </c>
      <c r="B2414" t="str">
        <f t="shared" si="195"/>
        <v>VIA FELICE MARITANO  90-</v>
      </c>
      <c r="C2414" t="str">
        <f t="shared" si="191"/>
        <v>RIV</v>
      </c>
      <c r="D2414">
        <v>27</v>
      </c>
      <c r="E2414" t="str">
        <f t="shared" si="193"/>
        <v>124</v>
      </c>
      <c r="F2414" t="str">
        <f>"58"</f>
        <v>58</v>
      </c>
    </row>
    <row r="2415" spans="1:6">
      <c r="A2415" t="str">
        <f>"E1235-166"</f>
        <v>E1235-166</v>
      </c>
      <c r="B2415" t="str">
        <f t="shared" si="195"/>
        <v>VIA FELICE MARITANO  90-</v>
      </c>
      <c r="C2415" t="str">
        <f t="shared" si="191"/>
        <v>RIV</v>
      </c>
      <c r="D2415">
        <v>27</v>
      </c>
      <c r="E2415" t="str">
        <f t="shared" si="193"/>
        <v>124</v>
      </c>
      <c r="F2415" t="str">
        <f>"57"</f>
        <v>57</v>
      </c>
    </row>
    <row r="2416" spans="1:6">
      <c r="A2416" t="str">
        <f>"E1235-167"</f>
        <v>E1235-167</v>
      </c>
      <c r="B2416" t="str">
        <f t="shared" si="195"/>
        <v>VIA FELICE MARITANO  90-</v>
      </c>
      <c r="C2416" t="str">
        <f t="shared" si="191"/>
        <v>RIV</v>
      </c>
      <c r="D2416">
        <v>27</v>
      </c>
      <c r="E2416" t="str">
        <f t="shared" si="193"/>
        <v>124</v>
      </c>
      <c r="F2416" t="str">
        <f>"70"</f>
        <v>70</v>
      </c>
    </row>
    <row r="2417" spans="1:6">
      <c r="A2417" t="str">
        <f>"E1235-168"</f>
        <v>E1235-168</v>
      </c>
      <c r="B2417" t="str">
        <f t="shared" si="195"/>
        <v>VIA FELICE MARITANO  90-</v>
      </c>
      <c r="C2417" t="str">
        <f t="shared" si="191"/>
        <v>RIV</v>
      </c>
      <c r="D2417">
        <v>27</v>
      </c>
      <c r="E2417" t="str">
        <f t="shared" si="193"/>
        <v>124</v>
      </c>
      <c r="F2417" t="str">
        <f>"69"</f>
        <v>69</v>
      </c>
    </row>
    <row r="2418" spans="1:6">
      <c r="A2418" t="str">
        <f>"E1235-169"</f>
        <v>E1235-169</v>
      </c>
      <c r="B2418" t="str">
        <f t="shared" si="195"/>
        <v>VIA FELICE MARITANO  90-</v>
      </c>
      <c r="C2418" t="str">
        <f t="shared" si="191"/>
        <v>RIV</v>
      </c>
      <c r="D2418">
        <v>27</v>
      </c>
      <c r="E2418" t="str">
        <f t="shared" si="193"/>
        <v>124</v>
      </c>
      <c r="F2418" t="str">
        <f>"68"</f>
        <v>68</v>
      </c>
    </row>
    <row r="2419" spans="1:6">
      <c r="A2419" t="str">
        <f>"E1235-170"</f>
        <v>E1235-170</v>
      </c>
      <c r="B2419" t="str">
        <f t="shared" si="195"/>
        <v>VIA FELICE MARITANO  90-</v>
      </c>
      <c r="C2419" t="str">
        <f t="shared" si="191"/>
        <v>RIV</v>
      </c>
      <c r="D2419">
        <v>27</v>
      </c>
      <c r="E2419" t="str">
        <f t="shared" si="193"/>
        <v>124</v>
      </c>
      <c r="F2419" t="str">
        <f>"67"</f>
        <v>67</v>
      </c>
    </row>
    <row r="2420" spans="1:6">
      <c r="A2420" t="str">
        <f>"E1235-171"</f>
        <v>E1235-171</v>
      </c>
      <c r="B2420" t="str">
        <f t="shared" si="195"/>
        <v>VIA FELICE MARITANO  90-</v>
      </c>
      <c r="C2420" t="str">
        <f t="shared" si="191"/>
        <v>RIV</v>
      </c>
      <c r="D2420">
        <v>27</v>
      </c>
      <c r="E2420" t="str">
        <f t="shared" si="193"/>
        <v>124</v>
      </c>
      <c r="F2420" t="str">
        <f>"66"</f>
        <v>66</v>
      </c>
    </row>
    <row r="2421" spans="1:6">
      <c r="A2421" t="str">
        <f>"E1235-172"</f>
        <v>E1235-172</v>
      </c>
      <c r="B2421" t="str">
        <f t="shared" si="195"/>
        <v>VIA FELICE MARITANO  90-</v>
      </c>
      <c r="C2421" t="str">
        <f t="shared" si="191"/>
        <v>RIV</v>
      </c>
      <c r="D2421">
        <v>27</v>
      </c>
      <c r="E2421" t="str">
        <f t="shared" si="193"/>
        <v>124</v>
      </c>
      <c r="F2421" t="str">
        <f>"56"</f>
        <v>56</v>
      </c>
    </row>
    <row r="2422" spans="1:6">
      <c r="A2422" t="str">
        <f>"E1235-173"</f>
        <v>E1235-173</v>
      </c>
      <c r="B2422" t="str">
        <f t="shared" si="195"/>
        <v>VIA FELICE MARITANO  90-</v>
      </c>
      <c r="C2422" t="str">
        <f t="shared" si="191"/>
        <v>RIV</v>
      </c>
      <c r="D2422">
        <v>27</v>
      </c>
      <c r="E2422" t="str">
        <f t="shared" si="193"/>
        <v>124</v>
      </c>
      <c r="F2422" t="str">
        <f>"55"</f>
        <v>55</v>
      </c>
    </row>
    <row r="2423" spans="1:6">
      <c r="A2423" t="str">
        <f>"E1235-174"</f>
        <v>E1235-174</v>
      </c>
      <c r="B2423" t="str">
        <f t="shared" si="195"/>
        <v>VIA FELICE MARITANO  90-</v>
      </c>
      <c r="C2423" t="str">
        <f t="shared" ref="C2423:C2486" si="196">"RIV"</f>
        <v>RIV</v>
      </c>
      <c r="D2423">
        <v>27</v>
      </c>
      <c r="E2423" t="str">
        <f t="shared" si="193"/>
        <v>124</v>
      </c>
      <c r="F2423" t="str">
        <f>"80"</f>
        <v>80</v>
      </c>
    </row>
    <row r="2424" spans="1:6">
      <c r="A2424" t="str">
        <f>"E1235-175"</f>
        <v>E1235-175</v>
      </c>
      <c r="B2424" t="str">
        <f t="shared" si="195"/>
        <v>VIA FELICE MARITANO  90-</v>
      </c>
      <c r="C2424" t="str">
        <f t="shared" si="196"/>
        <v>RIV</v>
      </c>
      <c r="D2424">
        <v>27</v>
      </c>
      <c r="E2424" t="str">
        <f t="shared" si="193"/>
        <v>124</v>
      </c>
      <c r="F2424" t="str">
        <f>"79"</f>
        <v>79</v>
      </c>
    </row>
    <row r="2425" spans="1:6">
      <c r="A2425" t="str">
        <f>"E1235-176"</f>
        <v>E1235-176</v>
      </c>
      <c r="B2425" t="str">
        <f t="shared" si="195"/>
        <v>VIA FELICE MARITANO  90-</v>
      </c>
      <c r="C2425" t="str">
        <f t="shared" si="196"/>
        <v>RIV</v>
      </c>
      <c r="D2425">
        <v>27</v>
      </c>
      <c r="E2425" t="str">
        <f t="shared" si="193"/>
        <v>124</v>
      </c>
      <c r="F2425" t="str">
        <f>"83"</f>
        <v>83</v>
      </c>
    </row>
    <row r="2426" spans="1:6">
      <c r="A2426" t="str">
        <f>"E1235-177"</f>
        <v>E1235-177</v>
      </c>
      <c r="B2426" t="str">
        <f t="shared" ref="B2426:B2434" si="197">"VIA FELICE MARITANO  92-"</f>
        <v>VIA FELICE MARITANO  92-</v>
      </c>
      <c r="C2426" t="str">
        <f t="shared" si="196"/>
        <v>RIV</v>
      </c>
      <c r="D2426">
        <v>27</v>
      </c>
      <c r="E2426" t="str">
        <f t="shared" si="193"/>
        <v>124</v>
      </c>
      <c r="F2426" t="str">
        <f>"84"</f>
        <v>84</v>
      </c>
    </row>
    <row r="2427" spans="1:6">
      <c r="A2427" t="str">
        <f>"E1235-178"</f>
        <v>E1235-178</v>
      </c>
      <c r="B2427" t="str">
        <f t="shared" si="197"/>
        <v>VIA FELICE MARITANO  92-</v>
      </c>
      <c r="C2427" t="str">
        <f t="shared" si="196"/>
        <v>RIV</v>
      </c>
      <c r="D2427">
        <v>27</v>
      </c>
      <c r="E2427" t="str">
        <f t="shared" si="193"/>
        <v>124</v>
      </c>
      <c r="F2427" t="str">
        <f>"85"</f>
        <v>85</v>
      </c>
    </row>
    <row r="2428" spans="1:6">
      <c r="A2428" t="str">
        <f>"E1235-179"</f>
        <v>E1235-179</v>
      </c>
      <c r="B2428" t="str">
        <f t="shared" si="197"/>
        <v>VIA FELICE MARITANO  92-</v>
      </c>
      <c r="C2428" t="str">
        <f t="shared" si="196"/>
        <v>RIV</v>
      </c>
      <c r="D2428">
        <v>27</v>
      </c>
      <c r="E2428" t="str">
        <f t="shared" si="193"/>
        <v>124</v>
      </c>
      <c r="F2428" t="str">
        <f>"72"</f>
        <v>72</v>
      </c>
    </row>
    <row r="2429" spans="1:6">
      <c r="A2429" t="str">
        <f>"E1235-180"</f>
        <v>E1235-180</v>
      </c>
      <c r="B2429" t="str">
        <f t="shared" si="197"/>
        <v>VIA FELICE MARITANO  92-</v>
      </c>
      <c r="C2429" t="str">
        <f t="shared" si="196"/>
        <v>RIV</v>
      </c>
      <c r="D2429">
        <v>27</v>
      </c>
      <c r="E2429" t="str">
        <f t="shared" si="193"/>
        <v>124</v>
      </c>
      <c r="F2429" t="str">
        <f>"71"</f>
        <v>71</v>
      </c>
    </row>
    <row r="2430" spans="1:6">
      <c r="A2430" t="str">
        <f>"E1235-181"</f>
        <v>E1235-181</v>
      </c>
      <c r="B2430" t="str">
        <f t="shared" si="197"/>
        <v>VIA FELICE MARITANO  92-</v>
      </c>
      <c r="C2430" t="str">
        <f t="shared" si="196"/>
        <v>RIV</v>
      </c>
      <c r="D2430">
        <v>27</v>
      </c>
      <c r="E2430" t="str">
        <f t="shared" si="193"/>
        <v>124</v>
      </c>
      <c r="F2430" t="str">
        <f>"89"</f>
        <v>89</v>
      </c>
    </row>
    <row r="2431" spans="1:6">
      <c r="A2431" t="str">
        <f>"E1235-182"</f>
        <v>E1235-182</v>
      </c>
      <c r="B2431" t="str">
        <f t="shared" si="197"/>
        <v>VIA FELICE MARITANO  92-</v>
      </c>
      <c r="C2431" t="str">
        <f t="shared" si="196"/>
        <v>RIV</v>
      </c>
      <c r="D2431">
        <v>27</v>
      </c>
      <c r="E2431" t="str">
        <f t="shared" si="193"/>
        <v>124</v>
      </c>
      <c r="F2431" t="str">
        <f>"88"</f>
        <v>88</v>
      </c>
    </row>
    <row r="2432" spans="1:6">
      <c r="A2432" t="str">
        <f>"E1235-183"</f>
        <v>E1235-183</v>
      </c>
      <c r="B2432" t="str">
        <f t="shared" si="197"/>
        <v>VIA FELICE MARITANO  92-</v>
      </c>
      <c r="C2432" t="str">
        <f t="shared" si="196"/>
        <v>RIV</v>
      </c>
      <c r="D2432">
        <v>27</v>
      </c>
      <c r="E2432" t="str">
        <f t="shared" si="193"/>
        <v>124</v>
      </c>
      <c r="F2432" t="str">
        <f>"86"</f>
        <v>86</v>
      </c>
    </row>
    <row r="2433" spans="1:6">
      <c r="A2433" t="str">
        <f>"E1235-184"</f>
        <v>E1235-184</v>
      </c>
      <c r="B2433" t="str">
        <f t="shared" si="197"/>
        <v>VIA FELICE MARITANO  92-</v>
      </c>
      <c r="C2433" t="str">
        <f t="shared" si="196"/>
        <v>RIV</v>
      </c>
      <c r="D2433">
        <v>27</v>
      </c>
      <c r="E2433" t="str">
        <f t="shared" si="193"/>
        <v>124</v>
      </c>
      <c r="F2433" t="str">
        <f>"73"</f>
        <v>73</v>
      </c>
    </row>
    <row r="2434" spans="1:6">
      <c r="A2434" t="str">
        <f>"E1235-185"</f>
        <v>E1235-185</v>
      </c>
      <c r="B2434" t="str">
        <f t="shared" si="197"/>
        <v>VIA FELICE MARITANO  92-</v>
      </c>
      <c r="C2434" t="str">
        <f t="shared" si="196"/>
        <v>RIV</v>
      </c>
      <c r="D2434">
        <v>27</v>
      </c>
      <c r="E2434" t="str">
        <f t="shared" si="193"/>
        <v>124</v>
      </c>
      <c r="F2434" t="str">
        <f>"90"</f>
        <v>90</v>
      </c>
    </row>
    <row r="2435" spans="1:6">
      <c r="A2435" t="str">
        <f>"E1235-186"</f>
        <v>E1235-186</v>
      </c>
      <c r="B2435" t="str">
        <f t="shared" ref="B2435:B2448" si="198">"VIA FELICE MARITANO  90-"</f>
        <v>VIA FELICE MARITANO  90-</v>
      </c>
      <c r="C2435" t="str">
        <f t="shared" si="196"/>
        <v>RIV</v>
      </c>
      <c r="D2435">
        <v>27</v>
      </c>
      <c r="E2435" t="str">
        <f t="shared" si="193"/>
        <v>124</v>
      </c>
      <c r="F2435" t="str">
        <f>"82"</f>
        <v>82</v>
      </c>
    </row>
    <row r="2436" spans="1:6">
      <c r="A2436" t="str">
        <f>"E1235-187"</f>
        <v>E1235-187</v>
      </c>
      <c r="B2436" t="str">
        <f t="shared" si="198"/>
        <v>VIA FELICE MARITANO  90-</v>
      </c>
      <c r="C2436" t="str">
        <f t="shared" si="196"/>
        <v>RIV</v>
      </c>
      <c r="D2436">
        <v>27</v>
      </c>
      <c r="E2436" t="str">
        <f t="shared" si="193"/>
        <v>124</v>
      </c>
      <c r="F2436" t="str">
        <f>"81"</f>
        <v>81</v>
      </c>
    </row>
    <row r="2437" spans="1:6">
      <c r="A2437" t="str">
        <f>"E1235-188"</f>
        <v>E1235-188</v>
      </c>
      <c r="B2437" t="str">
        <f t="shared" si="198"/>
        <v>VIA FELICE MARITANO  90-</v>
      </c>
      <c r="C2437" t="str">
        <f t="shared" si="196"/>
        <v>RIV</v>
      </c>
      <c r="D2437">
        <v>27</v>
      </c>
      <c r="E2437" t="str">
        <f t="shared" si="193"/>
        <v>124</v>
      </c>
      <c r="F2437" t="str">
        <f>"87"</f>
        <v>87</v>
      </c>
    </row>
    <row r="2438" spans="1:6">
      <c r="A2438" t="str">
        <f>"E1235-189"</f>
        <v>E1235-189</v>
      </c>
      <c r="B2438" t="str">
        <f t="shared" si="198"/>
        <v>VIA FELICE MARITANO  90-</v>
      </c>
      <c r="C2438" t="str">
        <f t="shared" si="196"/>
        <v>RIV</v>
      </c>
      <c r="D2438">
        <v>27</v>
      </c>
      <c r="E2438" t="str">
        <f t="shared" si="193"/>
        <v>124</v>
      </c>
      <c r="F2438" t="str">
        <f>"98"</f>
        <v>98</v>
      </c>
    </row>
    <row r="2439" spans="1:6">
      <c r="A2439" t="str">
        <f>"E1235-190"</f>
        <v>E1235-190</v>
      </c>
      <c r="B2439" t="str">
        <f t="shared" si="198"/>
        <v>VIA FELICE MARITANO  90-</v>
      </c>
      <c r="C2439" t="str">
        <f t="shared" si="196"/>
        <v>RIV</v>
      </c>
      <c r="D2439">
        <v>27</v>
      </c>
      <c r="E2439" t="str">
        <f t="shared" si="193"/>
        <v>124</v>
      </c>
      <c r="F2439" t="str">
        <f>"108"</f>
        <v>108</v>
      </c>
    </row>
    <row r="2440" spans="1:6">
      <c r="A2440" t="str">
        <f>"E1235-191"</f>
        <v>E1235-191</v>
      </c>
      <c r="B2440" t="str">
        <f t="shared" si="198"/>
        <v>VIA FELICE MARITANO  90-</v>
      </c>
      <c r="C2440" t="str">
        <f t="shared" si="196"/>
        <v>RIV</v>
      </c>
      <c r="D2440">
        <v>27</v>
      </c>
      <c r="E2440" t="str">
        <f t="shared" si="193"/>
        <v>124</v>
      </c>
      <c r="F2440" t="str">
        <f>"107"</f>
        <v>107</v>
      </c>
    </row>
    <row r="2441" spans="1:6">
      <c r="A2441" t="str">
        <f>"E1235-192"</f>
        <v>E1235-192</v>
      </c>
      <c r="B2441" t="str">
        <f t="shared" si="198"/>
        <v>VIA FELICE MARITANO  90-</v>
      </c>
      <c r="C2441" t="str">
        <f t="shared" si="196"/>
        <v>RIV</v>
      </c>
      <c r="D2441">
        <v>27</v>
      </c>
      <c r="E2441" t="str">
        <f t="shared" si="193"/>
        <v>124</v>
      </c>
      <c r="F2441" t="str">
        <f>"106"</f>
        <v>106</v>
      </c>
    </row>
    <row r="2442" spans="1:6">
      <c r="A2442" t="str">
        <f>"E1235-193"</f>
        <v>E1235-193</v>
      </c>
      <c r="B2442" t="str">
        <f t="shared" si="198"/>
        <v>VIA FELICE MARITANO  90-</v>
      </c>
      <c r="C2442" t="str">
        <f t="shared" si="196"/>
        <v>RIV</v>
      </c>
      <c r="D2442">
        <v>27</v>
      </c>
      <c r="E2442" t="str">
        <f t="shared" si="193"/>
        <v>124</v>
      </c>
      <c r="F2442" t="str">
        <f>"105"</f>
        <v>105</v>
      </c>
    </row>
    <row r="2443" spans="1:6">
      <c r="A2443" t="str">
        <f>"E1235-194"</f>
        <v>E1235-194</v>
      </c>
      <c r="B2443" t="str">
        <f t="shared" si="198"/>
        <v>VIA FELICE MARITANO  90-</v>
      </c>
      <c r="C2443" t="str">
        <f t="shared" si="196"/>
        <v>RIV</v>
      </c>
      <c r="D2443">
        <v>27</v>
      </c>
      <c r="E2443" t="str">
        <f t="shared" si="193"/>
        <v>124</v>
      </c>
      <c r="F2443" t="str">
        <f>"104"</f>
        <v>104</v>
      </c>
    </row>
    <row r="2444" spans="1:6">
      <c r="A2444" t="str">
        <f>"E1235-195"</f>
        <v>E1235-195</v>
      </c>
      <c r="B2444" t="str">
        <f t="shared" si="198"/>
        <v>VIA FELICE MARITANO  90-</v>
      </c>
      <c r="C2444" t="str">
        <f t="shared" si="196"/>
        <v>RIV</v>
      </c>
      <c r="D2444">
        <v>27</v>
      </c>
      <c r="E2444" t="str">
        <f t="shared" ref="E2444:E2507" si="199">"124"</f>
        <v>124</v>
      </c>
      <c r="F2444" t="str">
        <f>"97"</f>
        <v>97</v>
      </c>
    </row>
    <row r="2445" spans="1:6">
      <c r="A2445" t="str">
        <f>"E1235-196"</f>
        <v>E1235-196</v>
      </c>
      <c r="B2445" t="str">
        <f t="shared" si="198"/>
        <v>VIA FELICE MARITANO  90-</v>
      </c>
      <c r="C2445" t="str">
        <f t="shared" si="196"/>
        <v>RIV</v>
      </c>
      <c r="D2445">
        <v>27</v>
      </c>
      <c r="E2445" t="str">
        <f t="shared" si="199"/>
        <v>124</v>
      </c>
      <c r="F2445" t="str">
        <f>"96"</f>
        <v>96</v>
      </c>
    </row>
    <row r="2446" spans="1:6">
      <c r="A2446" t="str">
        <f>"E1235-197"</f>
        <v>E1235-197</v>
      </c>
      <c r="B2446" t="str">
        <f t="shared" si="198"/>
        <v>VIA FELICE MARITANO  90-</v>
      </c>
      <c r="C2446" t="str">
        <f t="shared" si="196"/>
        <v>RIV</v>
      </c>
      <c r="D2446">
        <v>27</v>
      </c>
      <c r="E2446" t="str">
        <f t="shared" si="199"/>
        <v>124</v>
      </c>
      <c r="F2446" t="str">
        <f>"118"</f>
        <v>118</v>
      </c>
    </row>
    <row r="2447" spans="1:6">
      <c r="A2447" t="str">
        <f>"E1235-198"</f>
        <v>E1235-198</v>
      </c>
      <c r="B2447" t="str">
        <f t="shared" si="198"/>
        <v>VIA FELICE MARITANO  90-</v>
      </c>
      <c r="C2447" t="str">
        <f t="shared" si="196"/>
        <v>RIV</v>
      </c>
      <c r="D2447">
        <v>27</v>
      </c>
      <c r="E2447" t="str">
        <f t="shared" si="199"/>
        <v>124</v>
      </c>
      <c r="F2447" t="str">
        <f>"117"</f>
        <v>117</v>
      </c>
    </row>
    <row r="2448" spans="1:6">
      <c r="A2448" t="str">
        <f>"E1235-199"</f>
        <v>E1235-199</v>
      </c>
      <c r="B2448" t="str">
        <f t="shared" si="198"/>
        <v>VIA FELICE MARITANO  90-</v>
      </c>
      <c r="C2448" t="str">
        <f t="shared" si="196"/>
        <v>RIV</v>
      </c>
      <c r="D2448">
        <v>27</v>
      </c>
      <c r="E2448" t="str">
        <f t="shared" si="199"/>
        <v>124</v>
      </c>
      <c r="F2448" t="str">
        <f>"121"</f>
        <v>121</v>
      </c>
    </row>
    <row r="2449" spans="1:6">
      <c r="A2449" t="str">
        <f>"E1235-200"</f>
        <v>E1235-200</v>
      </c>
      <c r="B2449" t="str">
        <f t="shared" ref="B2449:B2454" si="200">"VIA FELICE MARITANO  92-"</f>
        <v>VIA FELICE MARITANO  92-</v>
      </c>
      <c r="C2449" t="str">
        <f t="shared" si="196"/>
        <v>RIV</v>
      </c>
      <c r="D2449">
        <v>27</v>
      </c>
      <c r="E2449" t="str">
        <f t="shared" si="199"/>
        <v>124</v>
      </c>
      <c r="F2449" t="str">
        <f>"122"</f>
        <v>122</v>
      </c>
    </row>
    <row r="2450" spans="1:6">
      <c r="A2450" t="str">
        <f>"E1235-201"</f>
        <v>E1235-201</v>
      </c>
      <c r="B2450" t="str">
        <f t="shared" si="200"/>
        <v>VIA FELICE MARITANO  92-</v>
      </c>
      <c r="C2450" t="str">
        <f t="shared" si="196"/>
        <v>RIV</v>
      </c>
      <c r="D2450">
        <v>27</v>
      </c>
      <c r="E2450" t="str">
        <f t="shared" si="199"/>
        <v>124</v>
      </c>
      <c r="F2450" t="str">
        <f>"123"</f>
        <v>123</v>
      </c>
    </row>
    <row r="2451" spans="1:6">
      <c r="A2451" t="str">
        <f>"E1235-202"</f>
        <v>E1235-202</v>
      </c>
      <c r="B2451" t="str">
        <f t="shared" si="200"/>
        <v>VIA FELICE MARITANO  92-</v>
      </c>
      <c r="C2451" t="str">
        <f t="shared" si="196"/>
        <v>RIV</v>
      </c>
      <c r="D2451">
        <v>27</v>
      </c>
      <c r="E2451" t="str">
        <f t="shared" si="199"/>
        <v>124</v>
      </c>
      <c r="F2451" t="str">
        <f>"110"</f>
        <v>110</v>
      </c>
    </row>
    <row r="2452" spans="1:6">
      <c r="A2452" t="str">
        <f>"E1235-203"</f>
        <v>E1235-203</v>
      </c>
      <c r="B2452" t="str">
        <f t="shared" si="200"/>
        <v>VIA FELICE MARITANO  92-</v>
      </c>
      <c r="C2452" t="str">
        <f t="shared" si="196"/>
        <v>RIV</v>
      </c>
      <c r="D2452">
        <v>27</v>
      </c>
      <c r="E2452" t="str">
        <f t="shared" si="199"/>
        <v>124</v>
      </c>
      <c r="F2452" t="str">
        <f>"109"</f>
        <v>109</v>
      </c>
    </row>
    <row r="2453" spans="1:6">
      <c r="A2453" t="str">
        <f>"E1235-204"</f>
        <v>E1235-204</v>
      </c>
      <c r="B2453" t="str">
        <f t="shared" si="200"/>
        <v>VIA FELICE MARITANO  92-</v>
      </c>
      <c r="C2453" t="str">
        <f t="shared" si="196"/>
        <v>RIV</v>
      </c>
      <c r="D2453">
        <v>27</v>
      </c>
      <c r="E2453" t="str">
        <f t="shared" si="199"/>
        <v>124</v>
      </c>
      <c r="F2453" t="str">
        <f>"139"</f>
        <v>139</v>
      </c>
    </row>
    <row r="2454" spans="1:6">
      <c r="A2454" t="str">
        <f>"E1235-205"</f>
        <v>E1235-205</v>
      </c>
      <c r="B2454" t="str">
        <f t="shared" si="200"/>
        <v>VIA FELICE MARITANO  92-</v>
      </c>
      <c r="C2454" t="str">
        <f t="shared" si="196"/>
        <v>RIV</v>
      </c>
      <c r="D2454">
        <v>27</v>
      </c>
      <c r="E2454" t="str">
        <f t="shared" si="199"/>
        <v>124</v>
      </c>
      <c r="F2454" t="str">
        <f>"138"</f>
        <v>138</v>
      </c>
    </row>
    <row r="2455" spans="1:6">
      <c r="A2455" t="str">
        <f>"E1235-206"</f>
        <v>E1235-206</v>
      </c>
      <c r="B2455" t="str">
        <f t="shared" ref="B2455:B2468" si="201">"VIA FELICE MARITANO  90-"</f>
        <v>VIA FELICE MARITANO  90-</v>
      </c>
      <c r="C2455" t="str">
        <f t="shared" si="196"/>
        <v>RIV</v>
      </c>
      <c r="D2455">
        <v>27</v>
      </c>
      <c r="E2455" t="str">
        <f t="shared" si="199"/>
        <v>124</v>
      </c>
      <c r="F2455" t="str">
        <f>"120"</f>
        <v>120</v>
      </c>
    </row>
    <row r="2456" spans="1:6">
      <c r="A2456" t="str">
        <f>"E1235-207"</f>
        <v>E1235-207</v>
      </c>
      <c r="B2456" t="str">
        <f t="shared" si="201"/>
        <v>VIA FELICE MARITANO  90-</v>
      </c>
      <c r="C2456" t="str">
        <f t="shared" si="196"/>
        <v>RIV</v>
      </c>
      <c r="D2456">
        <v>27</v>
      </c>
      <c r="E2456" t="str">
        <f t="shared" si="199"/>
        <v>124</v>
      </c>
      <c r="F2456" t="str">
        <f>"119"</f>
        <v>119</v>
      </c>
    </row>
    <row r="2457" spans="1:6">
      <c r="A2457" t="str">
        <f>"E1235-208"</f>
        <v>E1235-208</v>
      </c>
      <c r="B2457" t="str">
        <f t="shared" si="201"/>
        <v>VIA FELICE MARITANO  90-</v>
      </c>
      <c r="C2457" t="str">
        <f t="shared" si="196"/>
        <v>RIV</v>
      </c>
      <c r="D2457">
        <v>27</v>
      </c>
      <c r="E2457" t="str">
        <f t="shared" si="199"/>
        <v>124</v>
      </c>
      <c r="F2457" t="str">
        <f>"137"</f>
        <v>137</v>
      </c>
    </row>
    <row r="2458" spans="1:6">
      <c r="A2458" t="str">
        <f>"E1235-209"</f>
        <v>E1235-209</v>
      </c>
      <c r="B2458" t="str">
        <f t="shared" si="201"/>
        <v>VIA FELICE MARITANO  90-</v>
      </c>
      <c r="C2458" t="str">
        <f t="shared" si="196"/>
        <v>RIV</v>
      </c>
      <c r="D2458">
        <v>27</v>
      </c>
      <c r="E2458" t="str">
        <f t="shared" si="199"/>
        <v>124</v>
      </c>
      <c r="F2458" t="str">
        <f>"136"</f>
        <v>136</v>
      </c>
    </row>
    <row r="2459" spans="1:6">
      <c r="A2459" t="str">
        <f>"E1235-210"</f>
        <v>E1235-210</v>
      </c>
      <c r="B2459" t="str">
        <f t="shared" si="201"/>
        <v>VIA FELICE MARITANO  90-</v>
      </c>
      <c r="C2459" t="str">
        <f t="shared" si="196"/>
        <v>RIV</v>
      </c>
      <c r="D2459">
        <v>27</v>
      </c>
      <c r="E2459" t="str">
        <f t="shared" si="199"/>
        <v>124</v>
      </c>
      <c r="F2459" t="str">
        <f>"153"</f>
        <v>153</v>
      </c>
    </row>
    <row r="2460" spans="1:6">
      <c r="A2460" t="str">
        <f>"E1235-211"</f>
        <v>E1235-211</v>
      </c>
      <c r="B2460" t="str">
        <f t="shared" si="201"/>
        <v>VIA FELICE MARITANO  90-</v>
      </c>
      <c r="C2460" t="str">
        <f t="shared" si="196"/>
        <v>RIV</v>
      </c>
      <c r="D2460">
        <v>27</v>
      </c>
      <c r="E2460" t="str">
        <f t="shared" si="199"/>
        <v>124</v>
      </c>
      <c r="F2460" t="str">
        <f>"152"</f>
        <v>152</v>
      </c>
    </row>
    <row r="2461" spans="1:6">
      <c r="A2461" t="str">
        <f>"E1235-212"</f>
        <v>E1235-212</v>
      </c>
      <c r="B2461" t="str">
        <f t="shared" si="201"/>
        <v>VIA FELICE MARITANO  90-</v>
      </c>
      <c r="C2461" t="str">
        <f t="shared" si="196"/>
        <v>RIV</v>
      </c>
      <c r="D2461">
        <v>27</v>
      </c>
      <c r="E2461" t="str">
        <f t="shared" si="199"/>
        <v>124</v>
      </c>
      <c r="F2461" t="str">
        <f>"151"</f>
        <v>151</v>
      </c>
    </row>
    <row r="2462" spans="1:6">
      <c r="A2462" t="str">
        <f>"E1235-213"</f>
        <v>E1235-213</v>
      </c>
      <c r="B2462" t="str">
        <f t="shared" si="201"/>
        <v>VIA FELICE MARITANO  90-</v>
      </c>
      <c r="C2462" t="str">
        <f t="shared" si="196"/>
        <v>RIV</v>
      </c>
      <c r="D2462">
        <v>27</v>
      </c>
      <c r="E2462" t="str">
        <f t="shared" si="199"/>
        <v>124</v>
      </c>
      <c r="F2462" t="str">
        <f>"150"</f>
        <v>150</v>
      </c>
    </row>
    <row r="2463" spans="1:6">
      <c r="A2463" t="str">
        <f>"E1235-214"</f>
        <v>E1235-214</v>
      </c>
      <c r="B2463" t="str">
        <f t="shared" si="201"/>
        <v>VIA FELICE MARITANO  90-</v>
      </c>
      <c r="C2463" t="str">
        <f t="shared" si="196"/>
        <v>RIV</v>
      </c>
      <c r="D2463">
        <v>27</v>
      </c>
      <c r="E2463" t="str">
        <f t="shared" si="199"/>
        <v>124</v>
      </c>
      <c r="F2463" t="str">
        <f>"149"</f>
        <v>149</v>
      </c>
    </row>
    <row r="2464" spans="1:6">
      <c r="A2464" t="str">
        <f>"E1235-215"</f>
        <v>E1235-215</v>
      </c>
      <c r="B2464" t="str">
        <f t="shared" si="201"/>
        <v>VIA FELICE MARITANO  90-</v>
      </c>
      <c r="C2464" t="str">
        <f t="shared" si="196"/>
        <v>RIV</v>
      </c>
      <c r="D2464">
        <v>27</v>
      </c>
      <c r="E2464" t="str">
        <f t="shared" si="199"/>
        <v>124</v>
      </c>
      <c r="F2464" t="str">
        <f>"135"</f>
        <v>135</v>
      </c>
    </row>
    <row r="2465" spans="1:6">
      <c r="A2465" t="str">
        <f>"E1235-216"</f>
        <v>E1235-216</v>
      </c>
      <c r="B2465" t="str">
        <f t="shared" si="201"/>
        <v>VIA FELICE MARITANO  90-</v>
      </c>
      <c r="C2465" t="str">
        <f t="shared" si="196"/>
        <v>RIV</v>
      </c>
      <c r="D2465">
        <v>27</v>
      </c>
      <c r="E2465" t="str">
        <f t="shared" si="199"/>
        <v>124</v>
      </c>
      <c r="F2465" t="str">
        <f>"134"</f>
        <v>134</v>
      </c>
    </row>
    <row r="2466" spans="1:6">
      <c r="A2466" t="str">
        <f>"E1235-217"</f>
        <v>E1235-217</v>
      </c>
      <c r="B2466" t="str">
        <f t="shared" si="201"/>
        <v>VIA FELICE MARITANO  90-</v>
      </c>
      <c r="C2466" t="str">
        <f t="shared" si="196"/>
        <v>RIV</v>
      </c>
      <c r="D2466">
        <v>27</v>
      </c>
      <c r="E2466" t="str">
        <f t="shared" si="199"/>
        <v>124</v>
      </c>
      <c r="F2466" t="str">
        <f>"166"</f>
        <v>166</v>
      </c>
    </row>
    <row r="2467" spans="1:6">
      <c r="A2467" t="str">
        <f>"E1235-218"</f>
        <v>E1235-218</v>
      </c>
      <c r="B2467" t="str">
        <f t="shared" si="201"/>
        <v>VIA FELICE MARITANO  90-</v>
      </c>
      <c r="C2467" t="str">
        <f t="shared" si="196"/>
        <v>RIV</v>
      </c>
      <c r="D2467">
        <v>27</v>
      </c>
      <c r="E2467" t="str">
        <f t="shared" si="199"/>
        <v>124</v>
      </c>
      <c r="F2467" t="str">
        <f>"165"</f>
        <v>165</v>
      </c>
    </row>
    <row r="2468" spans="1:6">
      <c r="A2468" t="str">
        <f>"E1235-219"</f>
        <v>E1235-219</v>
      </c>
      <c r="B2468" t="str">
        <f t="shared" si="201"/>
        <v>VIA FELICE MARITANO  90-</v>
      </c>
      <c r="C2468" t="str">
        <f t="shared" si="196"/>
        <v>RIV</v>
      </c>
      <c r="D2468">
        <v>27</v>
      </c>
      <c r="E2468" t="str">
        <f t="shared" si="199"/>
        <v>124</v>
      </c>
      <c r="F2468" t="str">
        <f>"169"</f>
        <v>169</v>
      </c>
    </row>
    <row r="2469" spans="1:6">
      <c r="A2469" t="str">
        <f>"E1235-220"</f>
        <v>E1235-220</v>
      </c>
      <c r="B2469" t="str">
        <f t="shared" ref="B2469:B2474" si="202">"VIA FELICE MARITANO  92-"</f>
        <v>VIA FELICE MARITANO  92-</v>
      </c>
      <c r="C2469" t="str">
        <f t="shared" si="196"/>
        <v>RIV</v>
      </c>
      <c r="D2469">
        <v>27</v>
      </c>
      <c r="E2469" t="str">
        <f t="shared" si="199"/>
        <v>124</v>
      </c>
      <c r="F2469" t="str">
        <f>"170"</f>
        <v>170</v>
      </c>
    </row>
    <row r="2470" spans="1:6">
      <c r="A2470" t="str">
        <f>"E1235-221"</f>
        <v>E1235-221</v>
      </c>
      <c r="B2470" t="str">
        <f t="shared" si="202"/>
        <v>VIA FELICE MARITANO  92-</v>
      </c>
      <c r="C2470" t="str">
        <f t="shared" si="196"/>
        <v>RIV</v>
      </c>
      <c r="D2470">
        <v>27</v>
      </c>
      <c r="E2470" t="str">
        <f t="shared" si="199"/>
        <v>124</v>
      </c>
      <c r="F2470" t="str">
        <f>"171"</f>
        <v>171</v>
      </c>
    </row>
    <row r="2471" spans="1:6">
      <c r="A2471" t="str">
        <f>"E1235-222"</f>
        <v>E1235-222</v>
      </c>
      <c r="B2471" t="str">
        <f t="shared" si="202"/>
        <v>VIA FELICE MARITANO  92-</v>
      </c>
      <c r="C2471" t="str">
        <f t="shared" si="196"/>
        <v>RIV</v>
      </c>
      <c r="D2471">
        <v>27</v>
      </c>
      <c r="E2471" t="str">
        <f t="shared" si="199"/>
        <v>124</v>
      </c>
      <c r="F2471" t="str">
        <f>"155"</f>
        <v>155</v>
      </c>
    </row>
    <row r="2472" spans="1:6">
      <c r="A2472" t="str">
        <f>"E1235-223"</f>
        <v>E1235-223</v>
      </c>
      <c r="B2472" t="str">
        <f t="shared" si="202"/>
        <v>VIA FELICE MARITANO  92-</v>
      </c>
      <c r="C2472" t="str">
        <f t="shared" si="196"/>
        <v>RIV</v>
      </c>
      <c r="D2472">
        <v>27</v>
      </c>
      <c r="E2472" t="str">
        <f t="shared" si="199"/>
        <v>124</v>
      </c>
      <c r="F2472" t="str">
        <f>"154"</f>
        <v>154</v>
      </c>
    </row>
    <row r="2473" spans="1:6">
      <c r="A2473" t="str">
        <f>"E1235-224"</f>
        <v>E1235-224</v>
      </c>
      <c r="B2473" t="str">
        <f t="shared" si="202"/>
        <v>VIA FELICE MARITANO  92-</v>
      </c>
      <c r="C2473" t="str">
        <f t="shared" si="196"/>
        <v>RIV</v>
      </c>
      <c r="D2473">
        <v>27</v>
      </c>
      <c r="E2473" t="str">
        <f t="shared" si="199"/>
        <v>124</v>
      </c>
      <c r="F2473" t="str">
        <f>"188"</f>
        <v>188</v>
      </c>
    </row>
    <row r="2474" spans="1:6">
      <c r="A2474" t="str">
        <f>"E1235-225"</f>
        <v>E1235-225</v>
      </c>
      <c r="B2474" t="str">
        <f t="shared" si="202"/>
        <v>VIA FELICE MARITANO  92-</v>
      </c>
      <c r="C2474" t="str">
        <f t="shared" si="196"/>
        <v>RIV</v>
      </c>
      <c r="D2474">
        <v>27</v>
      </c>
      <c r="E2474" t="str">
        <f t="shared" si="199"/>
        <v>124</v>
      </c>
      <c r="F2474" t="str">
        <f>"187"</f>
        <v>187</v>
      </c>
    </row>
    <row r="2475" spans="1:6">
      <c r="A2475" t="str">
        <f>"E1235-226"</f>
        <v>E1235-226</v>
      </c>
      <c r="B2475" t="str">
        <f t="shared" ref="B2475:B2489" si="203">"VIA FELICE MARITANO  90-"</f>
        <v>VIA FELICE MARITANO  90-</v>
      </c>
      <c r="C2475" t="str">
        <f t="shared" si="196"/>
        <v>RIV</v>
      </c>
      <c r="D2475">
        <v>27</v>
      </c>
      <c r="E2475" t="str">
        <f t="shared" si="199"/>
        <v>124</v>
      </c>
      <c r="F2475" t="str">
        <f>"168"</f>
        <v>168</v>
      </c>
    </row>
    <row r="2476" spans="1:6">
      <c r="A2476" t="str">
        <f>"E1235-227"</f>
        <v>E1235-227</v>
      </c>
      <c r="B2476" t="str">
        <f t="shared" si="203"/>
        <v>VIA FELICE MARITANO  90-</v>
      </c>
      <c r="C2476" t="str">
        <f t="shared" si="196"/>
        <v>RIV</v>
      </c>
      <c r="D2476">
        <v>27</v>
      </c>
      <c r="E2476" t="str">
        <f t="shared" si="199"/>
        <v>124</v>
      </c>
      <c r="F2476" t="str">
        <f>"167"</f>
        <v>167</v>
      </c>
    </row>
    <row r="2477" spans="1:6">
      <c r="A2477" t="str">
        <f>"E1235-228"</f>
        <v>E1235-228</v>
      </c>
      <c r="B2477" t="str">
        <f t="shared" si="203"/>
        <v>VIA FELICE MARITANO  90-</v>
      </c>
      <c r="C2477" t="str">
        <f t="shared" si="196"/>
        <v>RIV</v>
      </c>
      <c r="D2477">
        <v>27</v>
      </c>
      <c r="E2477" t="str">
        <f t="shared" si="199"/>
        <v>124</v>
      </c>
      <c r="F2477" t="str">
        <f>"186"</f>
        <v>186</v>
      </c>
    </row>
    <row r="2478" spans="1:6">
      <c r="A2478" t="str">
        <f>"E1235-229"</f>
        <v>E1235-229</v>
      </c>
      <c r="B2478" t="str">
        <f t="shared" si="203"/>
        <v>VIA FELICE MARITANO  90-</v>
      </c>
      <c r="C2478" t="str">
        <f t="shared" si="196"/>
        <v>RIV</v>
      </c>
      <c r="D2478">
        <v>27</v>
      </c>
      <c r="E2478" t="str">
        <f t="shared" si="199"/>
        <v>124</v>
      </c>
      <c r="F2478" t="str">
        <f>"185"</f>
        <v>185</v>
      </c>
    </row>
    <row r="2479" spans="1:6">
      <c r="A2479" t="str">
        <f>"E1235-230"</f>
        <v>E1235-230</v>
      </c>
      <c r="B2479" t="str">
        <f t="shared" si="203"/>
        <v>VIA FELICE MARITANO  90-</v>
      </c>
      <c r="C2479" t="str">
        <f t="shared" si="196"/>
        <v>RIV</v>
      </c>
      <c r="D2479">
        <v>27</v>
      </c>
      <c r="E2479" t="str">
        <f t="shared" si="199"/>
        <v>124</v>
      </c>
      <c r="F2479" t="str">
        <f>"184"</f>
        <v>184</v>
      </c>
    </row>
    <row r="2480" spans="1:6">
      <c r="A2480" t="str">
        <f>"E1235-231"</f>
        <v>E1235-231</v>
      </c>
      <c r="B2480" t="str">
        <f t="shared" si="203"/>
        <v>VIA FELICE MARITANO  90-</v>
      </c>
      <c r="C2480" t="str">
        <f t="shared" si="196"/>
        <v>RIV</v>
      </c>
      <c r="D2480">
        <v>27</v>
      </c>
      <c r="E2480" t="str">
        <f t="shared" si="199"/>
        <v>124</v>
      </c>
      <c r="F2480" t="str">
        <f>"201"</f>
        <v>201</v>
      </c>
    </row>
    <row r="2481" spans="1:6">
      <c r="A2481" t="str">
        <f>"E1235-232"</f>
        <v>E1235-232</v>
      </c>
      <c r="B2481" t="str">
        <f t="shared" si="203"/>
        <v>VIA FELICE MARITANO  90-</v>
      </c>
      <c r="C2481" t="str">
        <f t="shared" si="196"/>
        <v>RIV</v>
      </c>
      <c r="D2481">
        <v>27</v>
      </c>
      <c r="E2481" t="str">
        <f t="shared" si="199"/>
        <v>124</v>
      </c>
      <c r="F2481" t="str">
        <f>"183"</f>
        <v>183</v>
      </c>
    </row>
    <row r="2482" spans="1:6">
      <c r="A2482" t="str">
        <f>"E1235-233"</f>
        <v>E1235-233</v>
      </c>
      <c r="B2482" t="str">
        <f t="shared" si="203"/>
        <v>VIA FELICE MARITANO  90-</v>
      </c>
      <c r="C2482" t="str">
        <f t="shared" si="196"/>
        <v>RIV</v>
      </c>
      <c r="D2482">
        <v>27</v>
      </c>
      <c r="E2482" t="str">
        <f t="shared" si="199"/>
        <v>124</v>
      </c>
      <c r="F2482" t="str">
        <f>"182"</f>
        <v>182</v>
      </c>
    </row>
    <row r="2483" spans="1:6">
      <c r="A2483" t="str">
        <f>"E1235-234"</f>
        <v>E1235-234</v>
      </c>
      <c r="B2483" t="str">
        <f t="shared" si="203"/>
        <v>VIA FELICE MARITANO  90-</v>
      </c>
      <c r="C2483" t="str">
        <f t="shared" si="196"/>
        <v>RIV</v>
      </c>
      <c r="D2483">
        <v>27</v>
      </c>
      <c r="E2483" t="str">
        <f t="shared" si="199"/>
        <v>124</v>
      </c>
      <c r="F2483" t="str">
        <f>"200"</f>
        <v>200</v>
      </c>
    </row>
    <row r="2484" spans="1:6">
      <c r="A2484" t="str">
        <f>"E1235-235"</f>
        <v>E1235-235</v>
      </c>
      <c r="B2484" t="str">
        <f t="shared" si="203"/>
        <v>VIA FELICE MARITANO  90-</v>
      </c>
      <c r="C2484" t="str">
        <f t="shared" si="196"/>
        <v>RIV</v>
      </c>
      <c r="D2484">
        <v>27</v>
      </c>
      <c r="E2484" t="str">
        <f t="shared" si="199"/>
        <v>124</v>
      </c>
      <c r="F2484" t="str">
        <f>"208"</f>
        <v>208</v>
      </c>
    </row>
    <row r="2485" spans="1:6">
      <c r="A2485" t="str">
        <f>"E1235-236"</f>
        <v>E1235-236</v>
      </c>
      <c r="B2485" t="str">
        <f t="shared" si="203"/>
        <v>VIA FELICE MARITANO  90-</v>
      </c>
      <c r="C2485" t="str">
        <f t="shared" si="196"/>
        <v>RIV</v>
      </c>
      <c r="D2485">
        <v>27</v>
      </c>
      <c r="E2485" t="str">
        <f t="shared" si="199"/>
        <v>124</v>
      </c>
      <c r="F2485" t="str">
        <f>"209"</f>
        <v>209</v>
      </c>
    </row>
    <row r="2486" spans="1:6">
      <c r="A2486" t="str">
        <f>"E1235-237"</f>
        <v>E1235-237</v>
      </c>
      <c r="B2486" t="str">
        <f t="shared" si="203"/>
        <v>VIA FELICE MARITANO  90-</v>
      </c>
      <c r="C2486" t="str">
        <f t="shared" si="196"/>
        <v>RIV</v>
      </c>
      <c r="D2486">
        <v>27</v>
      </c>
      <c r="E2486" t="str">
        <f t="shared" si="199"/>
        <v>124</v>
      </c>
      <c r="F2486" t="str">
        <f>"210"</f>
        <v>210</v>
      </c>
    </row>
    <row r="2487" spans="1:6">
      <c r="A2487" t="str">
        <f>"E1235-238"</f>
        <v>E1235-238</v>
      </c>
      <c r="B2487" t="str">
        <f t="shared" si="203"/>
        <v>VIA FELICE MARITANO  90-</v>
      </c>
      <c r="C2487" t="str">
        <f t="shared" ref="C2487:C2550" si="204">"RIV"</f>
        <v>RIV</v>
      </c>
      <c r="D2487">
        <v>27</v>
      </c>
      <c r="E2487" t="str">
        <f t="shared" si="199"/>
        <v>124</v>
      </c>
      <c r="F2487" t="str">
        <f>"223"</f>
        <v>223</v>
      </c>
    </row>
    <row r="2488" spans="1:6">
      <c r="A2488" t="str">
        <f>"E1235-239"</f>
        <v>E1235-239</v>
      </c>
      <c r="B2488" t="str">
        <f t="shared" si="203"/>
        <v>VIA FELICE MARITANO  90-</v>
      </c>
      <c r="C2488" t="str">
        <f t="shared" si="204"/>
        <v>RIV</v>
      </c>
      <c r="D2488">
        <v>27</v>
      </c>
      <c r="E2488" t="str">
        <f t="shared" si="199"/>
        <v>124</v>
      </c>
      <c r="F2488" t="str">
        <f>"243"</f>
        <v>243</v>
      </c>
    </row>
    <row r="2489" spans="1:6">
      <c r="A2489" t="str">
        <f>"E1235-240"</f>
        <v>E1235-240</v>
      </c>
      <c r="B2489" t="str">
        <f t="shared" si="203"/>
        <v>VIA FELICE MARITANO  90-</v>
      </c>
      <c r="C2489" t="str">
        <f t="shared" si="204"/>
        <v>RIV</v>
      </c>
      <c r="D2489">
        <v>27</v>
      </c>
      <c r="E2489" t="str">
        <f t="shared" si="199"/>
        <v>124</v>
      </c>
      <c r="F2489" t="str">
        <f>"255"</f>
        <v>255</v>
      </c>
    </row>
    <row r="2490" spans="1:6">
      <c r="A2490" t="str">
        <f>"E1235-241"</f>
        <v>E1235-241</v>
      </c>
      <c r="B2490" t="str">
        <f t="shared" ref="B2490:B2495" si="205">"VIA FELICE MARITANO  92-"</f>
        <v>VIA FELICE MARITANO  92-</v>
      </c>
      <c r="C2490" t="str">
        <f t="shared" si="204"/>
        <v>RIV</v>
      </c>
      <c r="D2490">
        <v>27</v>
      </c>
      <c r="E2490" t="str">
        <f t="shared" si="199"/>
        <v>124</v>
      </c>
      <c r="F2490" t="str">
        <f>"256"</f>
        <v>256</v>
      </c>
    </row>
    <row r="2491" spans="1:6">
      <c r="A2491" t="str">
        <f>"E1235-242"</f>
        <v>E1235-242</v>
      </c>
      <c r="B2491" t="str">
        <f t="shared" si="205"/>
        <v>VIA FELICE MARITANO  92-</v>
      </c>
      <c r="C2491" t="str">
        <f t="shared" si="204"/>
        <v>RIV</v>
      </c>
      <c r="D2491">
        <v>27</v>
      </c>
      <c r="E2491" t="str">
        <f t="shared" si="199"/>
        <v>124</v>
      </c>
      <c r="F2491" t="str">
        <f>"257"</f>
        <v>257</v>
      </c>
    </row>
    <row r="2492" spans="1:6">
      <c r="A2492" t="str">
        <f>"E1235-243"</f>
        <v>E1235-243</v>
      </c>
      <c r="B2492" t="str">
        <f t="shared" si="205"/>
        <v>VIA FELICE MARITANO  92-</v>
      </c>
      <c r="C2492" t="str">
        <f t="shared" si="204"/>
        <v>RIV</v>
      </c>
      <c r="D2492">
        <v>27</v>
      </c>
      <c r="E2492" t="str">
        <f t="shared" si="199"/>
        <v>124</v>
      </c>
      <c r="F2492" t="str">
        <f>"245"</f>
        <v>245</v>
      </c>
    </row>
    <row r="2493" spans="1:6">
      <c r="A2493" t="str">
        <f>"E1235-244"</f>
        <v>E1235-244</v>
      </c>
      <c r="B2493" t="str">
        <f t="shared" si="205"/>
        <v>VIA FELICE MARITANO  92-</v>
      </c>
      <c r="C2493" t="str">
        <f t="shared" si="204"/>
        <v>RIV</v>
      </c>
      <c r="D2493">
        <v>27</v>
      </c>
      <c r="E2493" t="str">
        <f t="shared" si="199"/>
        <v>124</v>
      </c>
      <c r="F2493" t="str">
        <f>"244"</f>
        <v>244</v>
      </c>
    </row>
    <row r="2494" spans="1:6">
      <c r="A2494" t="str">
        <f>"E1235-245"</f>
        <v>E1235-245</v>
      </c>
      <c r="B2494" t="str">
        <f t="shared" si="205"/>
        <v>VIA FELICE MARITANO  92-</v>
      </c>
      <c r="C2494" t="str">
        <f t="shared" si="204"/>
        <v>RIV</v>
      </c>
      <c r="D2494">
        <v>27</v>
      </c>
      <c r="E2494" t="str">
        <f t="shared" si="199"/>
        <v>124</v>
      </c>
      <c r="F2494" t="str">
        <f>"270"</f>
        <v>270</v>
      </c>
    </row>
    <row r="2495" spans="1:6">
      <c r="A2495" t="str">
        <f>"E1235-246"</f>
        <v>E1235-246</v>
      </c>
      <c r="B2495" t="str">
        <f t="shared" si="205"/>
        <v>VIA FELICE MARITANO  92-</v>
      </c>
      <c r="C2495" t="str">
        <f t="shared" si="204"/>
        <v>RIV</v>
      </c>
      <c r="D2495">
        <v>27</v>
      </c>
      <c r="E2495" t="str">
        <f t="shared" si="199"/>
        <v>124</v>
      </c>
      <c r="F2495" t="str">
        <f>"269"</f>
        <v>269</v>
      </c>
    </row>
    <row r="2496" spans="1:6">
      <c r="A2496" t="str">
        <f>"E1235-247"</f>
        <v>E1235-247</v>
      </c>
      <c r="B2496" t="str">
        <f t="shared" ref="B2496:B2527" si="206">"VIA FELICE MARITANO  90-"</f>
        <v>VIA FELICE MARITANO  90-</v>
      </c>
      <c r="C2496" t="str">
        <f t="shared" si="204"/>
        <v>RIV</v>
      </c>
      <c r="D2496">
        <v>27</v>
      </c>
      <c r="E2496" t="str">
        <f t="shared" si="199"/>
        <v>124</v>
      </c>
      <c r="F2496" t="str">
        <f>"268"</f>
        <v>268</v>
      </c>
    </row>
    <row r="2497" spans="1:6">
      <c r="A2497" t="str">
        <f>"E1235-248"</f>
        <v>E1235-248</v>
      </c>
      <c r="B2497" t="str">
        <f t="shared" si="206"/>
        <v>VIA FELICE MARITANO  90-</v>
      </c>
      <c r="C2497" t="str">
        <f t="shared" si="204"/>
        <v>RIV</v>
      </c>
      <c r="D2497">
        <v>27</v>
      </c>
      <c r="E2497" t="str">
        <f t="shared" si="199"/>
        <v>124</v>
      </c>
      <c r="F2497" t="str">
        <f>"301"</f>
        <v>301</v>
      </c>
    </row>
    <row r="2498" spans="1:6">
      <c r="A2498" t="str">
        <f>"E1235-249"</f>
        <v>E1235-249</v>
      </c>
      <c r="B2498" t="str">
        <f t="shared" si="206"/>
        <v>VIA FELICE MARITANO  90-</v>
      </c>
      <c r="C2498" t="str">
        <f t="shared" si="204"/>
        <v>RIV</v>
      </c>
      <c r="D2498">
        <v>27</v>
      </c>
      <c r="E2498" t="str">
        <f t="shared" si="199"/>
        <v>124</v>
      </c>
      <c r="F2498" t="str">
        <f>"302"</f>
        <v>302</v>
      </c>
    </row>
    <row r="2499" spans="1:6">
      <c r="A2499" t="str">
        <f>"E1235-250"</f>
        <v>E1235-250</v>
      </c>
      <c r="B2499" t="str">
        <f t="shared" si="206"/>
        <v>VIA FELICE MARITANO  90-</v>
      </c>
      <c r="C2499" t="str">
        <f t="shared" si="204"/>
        <v>RIV</v>
      </c>
      <c r="D2499">
        <v>27</v>
      </c>
      <c r="E2499" t="str">
        <f t="shared" si="199"/>
        <v>124</v>
      </c>
      <c r="F2499" t="str">
        <f>"303"</f>
        <v>303</v>
      </c>
    </row>
    <row r="2500" spans="1:6">
      <c r="A2500" t="str">
        <f>"E1235-251"</f>
        <v>E1235-251</v>
      </c>
      <c r="B2500" t="str">
        <f t="shared" si="206"/>
        <v>VIA FELICE MARITANO  90-</v>
      </c>
      <c r="C2500" t="str">
        <f t="shared" si="204"/>
        <v>RIV</v>
      </c>
      <c r="D2500">
        <v>27</v>
      </c>
      <c r="E2500" t="str">
        <f t="shared" si="199"/>
        <v>124</v>
      </c>
      <c r="F2500" t="str">
        <f>"304"</f>
        <v>304</v>
      </c>
    </row>
    <row r="2501" spans="1:6">
      <c r="A2501" t="str">
        <f>"E1235-252"</f>
        <v>E1235-252</v>
      </c>
      <c r="B2501" t="str">
        <f t="shared" si="206"/>
        <v>VIA FELICE MARITANO  90-</v>
      </c>
      <c r="C2501" t="str">
        <f t="shared" si="204"/>
        <v>RIV</v>
      </c>
      <c r="D2501">
        <v>27</v>
      </c>
      <c r="E2501" t="str">
        <f t="shared" si="199"/>
        <v>124</v>
      </c>
      <c r="F2501" t="str">
        <f>"305"</f>
        <v>305</v>
      </c>
    </row>
    <row r="2502" spans="1:6">
      <c r="A2502" t="str">
        <f>"E1235-253"</f>
        <v>E1235-253</v>
      </c>
      <c r="B2502" t="str">
        <f t="shared" si="206"/>
        <v>VIA FELICE MARITANO  90-</v>
      </c>
      <c r="C2502" t="str">
        <f t="shared" si="204"/>
        <v>RIV</v>
      </c>
      <c r="D2502">
        <v>27</v>
      </c>
      <c r="E2502" t="str">
        <f t="shared" si="199"/>
        <v>124</v>
      </c>
      <c r="F2502" t="str">
        <f>"306"</f>
        <v>306</v>
      </c>
    </row>
    <row r="2503" spans="1:6">
      <c r="A2503" t="str">
        <f>"E1235-254"</f>
        <v>E1235-254</v>
      </c>
      <c r="B2503" t="str">
        <f t="shared" si="206"/>
        <v>VIA FELICE MARITANO  90-</v>
      </c>
      <c r="C2503" t="str">
        <f t="shared" si="204"/>
        <v>RIV</v>
      </c>
      <c r="D2503">
        <v>27</v>
      </c>
      <c r="E2503" t="str">
        <f t="shared" si="199"/>
        <v>124</v>
      </c>
      <c r="F2503" t="str">
        <f>"307"</f>
        <v>307</v>
      </c>
    </row>
    <row r="2504" spans="1:6">
      <c r="A2504" t="str">
        <f>"E1235-255"</f>
        <v>E1235-255</v>
      </c>
      <c r="B2504" t="str">
        <f t="shared" si="206"/>
        <v>VIA FELICE MARITANO  90-</v>
      </c>
      <c r="C2504" t="str">
        <f t="shared" si="204"/>
        <v>RIV</v>
      </c>
      <c r="D2504">
        <v>27</v>
      </c>
      <c r="E2504" t="str">
        <f t="shared" si="199"/>
        <v>124</v>
      </c>
      <c r="F2504" t="str">
        <f>"308"</f>
        <v>308</v>
      </c>
    </row>
    <row r="2505" spans="1:6">
      <c r="A2505" t="str">
        <f>"E1235-256"</f>
        <v>E1235-256</v>
      </c>
      <c r="B2505" t="str">
        <f t="shared" si="206"/>
        <v>VIA FELICE MARITANO  90-</v>
      </c>
      <c r="C2505" t="str">
        <f t="shared" si="204"/>
        <v>RIV</v>
      </c>
      <c r="D2505">
        <v>27</v>
      </c>
      <c r="E2505" t="str">
        <f t="shared" si="199"/>
        <v>124</v>
      </c>
      <c r="F2505" t="str">
        <f>"309"</f>
        <v>309</v>
      </c>
    </row>
    <row r="2506" spans="1:6">
      <c r="A2506" t="str">
        <f>"E1235-257"</f>
        <v>E1235-257</v>
      </c>
      <c r="B2506" t="str">
        <f t="shared" si="206"/>
        <v>VIA FELICE MARITANO  90-</v>
      </c>
      <c r="C2506" t="str">
        <f t="shared" si="204"/>
        <v>RIV</v>
      </c>
      <c r="D2506">
        <v>27</v>
      </c>
      <c r="E2506" t="str">
        <f t="shared" si="199"/>
        <v>124</v>
      </c>
      <c r="F2506" t="str">
        <f>"310"</f>
        <v>310</v>
      </c>
    </row>
    <row r="2507" spans="1:6">
      <c r="A2507" t="str">
        <f>"E1235-258"</f>
        <v>E1235-258</v>
      </c>
      <c r="B2507" t="str">
        <f t="shared" si="206"/>
        <v>VIA FELICE MARITANO  90-</v>
      </c>
      <c r="C2507" t="str">
        <f t="shared" si="204"/>
        <v>RIV</v>
      </c>
      <c r="D2507">
        <v>27</v>
      </c>
      <c r="E2507" t="str">
        <f t="shared" si="199"/>
        <v>124</v>
      </c>
      <c r="F2507" t="str">
        <f>"311"</f>
        <v>311</v>
      </c>
    </row>
    <row r="2508" spans="1:6">
      <c r="A2508" t="str">
        <f>"E1235-259"</f>
        <v>E1235-259</v>
      </c>
      <c r="B2508" t="str">
        <f t="shared" si="206"/>
        <v>VIA FELICE MARITANO  90-</v>
      </c>
      <c r="C2508" t="str">
        <f t="shared" si="204"/>
        <v>RIV</v>
      </c>
      <c r="D2508">
        <v>27</v>
      </c>
      <c r="E2508" t="str">
        <f t="shared" ref="E2508:E2571" si="207">"124"</f>
        <v>124</v>
      </c>
      <c r="F2508" t="str">
        <f>"312"</f>
        <v>312</v>
      </c>
    </row>
    <row r="2509" spans="1:6">
      <c r="A2509" t="str">
        <f>"E1235-260"</f>
        <v>E1235-260</v>
      </c>
      <c r="B2509" t="str">
        <f t="shared" si="206"/>
        <v>VIA FELICE MARITANO  90-</v>
      </c>
      <c r="C2509" t="str">
        <f t="shared" si="204"/>
        <v>RIV</v>
      </c>
      <c r="D2509">
        <v>27</v>
      </c>
      <c r="E2509" t="str">
        <f t="shared" si="207"/>
        <v>124</v>
      </c>
      <c r="F2509" t="str">
        <f>"313"</f>
        <v>313</v>
      </c>
    </row>
    <row r="2510" spans="1:6">
      <c r="A2510" t="str">
        <f>"E1235-261"</f>
        <v>E1235-261</v>
      </c>
      <c r="B2510" t="str">
        <f t="shared" si="206"/>
        <v>VIA FELICE MARITANO  90-</v>
      </c>
      <c r="C2510" t="str">
        <f t="shared" si="204"/>
        <v>RIV</v>
      </c>
      <c r="D2510">
        <v>27</v>
      </c>
      <c r="E2510" t="str">
        <f t="shared" si="207"/>
        <v>124</v>
      </c>
      <c r="F2510" t="str">
        <f>"314"</f>
        <v>314</v>
      </c>
    </row>
    <row r="2511" spans="1:6">
      <c r="A2511" t="str">
        <f>"E1235-262"</f>
        <v>E1235-262</v>
      </c>
      <c r="B2511" t="str">
        <f t="shared" si="206"/>
        <v>VIA FELICE MARITANO  90-</v>
      </c>
      <c r="C2511" t="str">
        <f t="shared" si="204"/>
        <v>RIV</v>
      </c>
      <c r="D2511">
        <v>27</v>
      </c>
      <c r="E2511" t="str">
        <f t="shared" si="207"/>
        <v>124</v>
      </c>
      <c r="F2511" t="str">
        <f>"315"</f>
        <v>315</v>
      </c>
    </row>
    <row r="2512" spans="1:6">
      <c r="A2512" t="str">
        <f>"E1235-263"</f>
        <v>E1235-263</v>
      </c>
      <c r="B2512" t="str">
        <f t="shared" si="206"/>
        <v>VIA FELICE MARITANO  90-</v>
      </c>
      <c r="C2512" t="str">
        <f t="shared" si="204"/>
        <v>RIV</v>
      </c>
      <c r="D2512">
        <v>27</v>
      </c>
      <c r="E2512" t="str">
        <f t="shared" si="207"/>
        <v>124</v>
      </c>
      <c r="F2512" t="str">
        <f>"316"</f>
        <v>316</v>
      </c>
    </row>
    <row r="2513" spans="1:6">
      <c r="A2513" t="str">
        <f>"E1235-264"</f>
        <v>E1235-264</v>
      </c>
      <c r="B2513" t="str">
        <f t="shared" si="206"/>
        <v>VIA FELICE MARITANO  90-</v>
      </c>
      <c r="C2513" t="str">
        <f t="shared" si="204"/>
        <v>RIV</v>
      </c>
      <c r="D2513">
        <v>27</v>
      </c>
      <c r="E2513" t="str">
        <f t="shared" si="207"/>
        <v>124</v>
      </c>
      <c r="F2513" t="str">
        <f>"317"</f>
        <v>317</v>
      </c>
    </row>
    <row r="2514" spans="1:6">
      <c r="A2514" t="str">
        <f>"E1235-265"</f>
        <v>E1235-265</v>
      </c>
      <c r="B2514" t="str">
        <f t="shared" si="206"/>
        <v>VIA FELICE MARITANO  90-</v>
      </c>
      <c r="C2514" t="str">
        <f t="shared" si="204"/>
        <v>RIV</v>
      </c>
      <c r="D2514">
        <v>27</v>
      </c>
      <c r="E2514" t="str">
        <f t="shared" si="207"/>
        <v>124</v>
      </c>
      <c r="F2514" t="str">
        <f>"318"</f>
        <v>318</v>
      </c>
    </row>
    <row r="2515" spans="1:6">
      <c r="A2515" t="str">
        <f>"E1235-266"</f>
        <v>E1235-266</v>
      </c>
      <c r="B2515" t="str">
        <f t="shared" si="206"/>
        <v>VIA FELICE MARITANO  90-</v>
      </c>
      <c r="C2515" t="str">
        <f t="shared" si="204"/>
        <v>RIV</v>
      </c>
      <c r="D2515">
        <v>27</v>
      </c>
      <c r="E2515" t="str">
        <f t="shared" si="207"/>
        <v>124</v>
      </c>
      <c r="F2515" t="str">
        <f>"320"</f>
        <v>320</v>
      </c>
    </row>
    <row r="2516" spans="1:6">
      <c r="A2516" t="str">
        <f>"E1235-267"</f>
        <v>E1235-267</v>
      </c>
      <c r="B2516" t="str">
        <f t="shared" si="206"/>
        <v>VIA FELICE MARITANO  90-</v>
      </c>
      <c r="C2516" t="str">
        <f t="shared" si="204"/>
        <v>RIV</v>
      </c>
      <c r="D2516">
        <v>27</v>
      </c>
      <c r="E2516" t="str">
        <f t="shared" si="207"/>
        <v>124</v>
      </c>
      <c r="F2516" t="str">
        <f>"321"</f>
        <v>321</v>
      </c>
    </row>
    <row r="2517" spans="1:6">
      <c r="A2517" t="str">
        <f>"E1235-268"</f>
        <v>E1235-268</v>
      </c>
      <c r="B2517" t="str">
        <f t="shared" si="206"/>
        <v>VIA FELICE MARITANO  90-</v>
      </c>
      <c r="C2517" t="str">
        <f t="shared" si="204"/>
        <v>RIV</v>
      </c>
      <c r="D2517">
        <v>27</v>
      </c>
      <c r="E2517" t="str">
        <f t="shared" si="207"/>
        <v>124</v>
      </c>
      <c r="F2517" t="str">
        <f>"322"</f>
        <v>322</v>
      </c>
    </row>
    <row r="2518" spans="1:6">
      <c r="A2518" t="str">
        <f>"E1235-269"</f>
        <v>E1235-269</v>
      </c>
      <c r="B2518" t="str">
        <f t="shared" si="206"/>
        <v>VIA FELICE MARITANO  90-</v>
      </c>
      <c r="C2518" t="str">
        <f t="shared" si="204"/>
        <v>RIV</v>
      </c>
      <c r="D2518">
        <v>27</v>
      </c>
      <c r="E2518" t="str">
        <f t="shared" si="207"/>
        <v>124</v>
      </c>
      <c r="F2518" t="str">
        <f>"363"</f>
        <v>363</v>
      </c>
    </row>
    <row r="2519" spans="1:6">
      <c r="A2519" t="str">
        <f>"E1235-270"</f>
        <v>E1235-270</v>
      </c>
      <c r="B2519" t="str">
        <f t="shared" si="206"/>
        <v>VIA FELICE MARITANO  90-</v>
      </c>
      <c r="C2519" t="str">
        <f t="shared" si="204"/>
        <v>RIV</v>
      </c>
      <c r="D2519">
        <v>27</v>
      </c>
      <c r="E2519" t="str">
        <f t="shared" si="207"/>
        <v>124</v>
      </c>
      <c r="F2519" t="str">
        <f>"364"</f>
        <v>364</v>
      </c>
    </row>
    <row r="2520" spans="1:6">
      <c r="A2520" t="str">
        <f>"E1235-271"</f>
        <v>E1235-271</v>
      </c>
      <c r="B2520" t="str">
        <f t="shared" si="206"/>
        <v>VIA FELICE MARITANO  90-</v>
      </c>
      <c r="C2520" t="str">
        <f t="shared" si="204"/>
        <v>RIV</v>
      </c>
      <c r="D2520">
        <v>27</v>
      </c>
      <c r="E2520" t="str">
        <f t="shared" si="207"/>
        <v>124</v>
      </c>
      <c r="F2520" t="str">
        <f>"365"</f>
        <v>365</v>
      </c>
    </row>
    <row r="2521" spans="1:6">
      <c r="A2521" t="str">
        <f>"E1235-272"</f>
        <v>E1235-272</v>
      </c>
      <c r="B2521" t="str">
        <f t="shared" si="206"/>
        <v>VIA FELICE MARITANO  90-</v>
      </c>
      <c r="C2521" t="str">
        <f t="shared" si="204"/>
        <v>RIV</v>
      </c>
      <c r="D2521">
        <v>27</v>
      </c>
      <c r="E2521" t="str">
        <f t="shared" si="207"/>
        <v>124</v>
      </c>
      <c r="F2521" t="str">
        <f>"366"</f>
        <v>366</v>
      </c>
    </row>
    <row r="2522" spans="1:6">
      <c r="A2522" t="str">
        <f>"E1235-273"</f>
        <v>E1235-273</v>
      </c>
      <c r="B2522" t="str">
        <f t="shared" si="206"/>
        <v>VIA FELICE MARITANO  90-</v>
      </c>
      <c r="C2522" t="str">
        <f t="shared" si="204"/>
        <v>RIV</v>
      </c>
      <c r="D2522">
        <v>27</v>
      </c>
      <c r="E2522" t="str">
        <f t="shared" si="207"/>
        <v>124</v>
      </c>
      <c r="F2522" t="str">
        <f>"367"</f>
        <v>367</v>
      </c>
    </row>
    <row r="2523" spans="1:6">
      <c r="A2523" t="str">
        <f>"E1235-274"</f>
        <v>E1235-274</v>
      </c>
      <c r="B2523" t="str">
        <f t="shared" si="206"/>
        <v>VIA FELICE MARITANO  90-</v>
      </c>
      <c r="C2523" t="str">
        <f t="shared" si="204"/>
        <v>RIV</v>
      </c>
      <c r="D2523">
        <v>27</v>
      </c>
      <c r="E2523" t="str">
        <f t="shared" si="207"/>
        <v>124</v>
      </c>
      <c r="F2523" t="str">
        <f>"368"</f>
        <v>368</v>
      </c>
    </row>
    <row r="2524" spans="1:6">
      <c r="A2524" t="str">
        <f>"E1235-275"</f>
        <v>E1235-275</v>
      </c>
      <c r="B2524" t="str">
        <f t="shared" si="206"/>
        <v>VIA FELICE MARITANO  90-</v>
      </c>
      <c r="C2524" t="str">
        <f t="shared" si="204"/>
        <v>RIV</v>
      </c>
      <c r="D2524">
        <v>27</v>
      </c>
      <c r="E2524" t="str">
        <f t="shared" si="207"/>
        <v>124</v>
      </c>
      <c r="F2524" t="str">
        <f>"369"</f>
        <v>369</v>
      </c>
    </row>
    <row r="2525" spans="1:6">
      <c r="A2525" t="str">
        <f>"E1235-276"</f>
        <v>E1235-276</v>
      </c>
      <c r="B2525" t="str">
        <f t="shared" si="206"/>
        <v>VIA FELICE MARITANO  90-</v>
      </c>
      <c r="C2525" t="str">
        <f t="shared" si="204"/>
        <v>RIV</v>
      </c>
      <c r="D2525">
        <v>27</v>
      </c>
      <c r="E2525" t="str">
        <f t="shared" si="207"/>
        <v>124</v>
      </c>
      <c r="F2525" t="str">
        <f>"370"</f>
        <v>370</v>
      </c>
    </row>
    <row r="2526" spans="1:6">
      <c r="A2526" t="str">
        <f>"E1235-277"</f>
        <v>E1235-277</v>
      </c>
      <c r="B2526" t="str">
        <f t="shared" si="206"/>
        <v>VIA FELICE MARITANO  90-</v>
      </c>
      <c r="C2526" t="str">
        <f t="shared" si="204"/>
        <v>RIV</v>
      </c>
      <c r="D2526">
        <v>27</v>
      </c>
      <c r="E2526" t="str">
        <f t="shared" si="207"/>
        <v>124</v>
      </c>
      <c r="F2526" t="str">
        <f>"371"</f>
        <v>371</v>
      </c>
    </row>
    <row r="2527" spans="1:6">
      <c r="A2527" t="str">
        <f>"E1235-278"</f>
        <v>E1235-278</v>
      </c>
      <c r="B2527" t="str">
        <f t="shared" si="206"/>
        <v>VIA FELICE MARITANO  90-</v>
      </c>
      <c r="C2527" t="str">
        <f t="shared" si="204"/>
        <v>RIV</v>
      </c>
      <c r="D2527">
        <v>27</v>
      </c>
      <c r="E2527" t="str">
        <f t="shared" si="207"/>
        <v>124</v>
      </c>
      <c r="F2527" t="str">
        <f>"372"</f>
        <v>372</v>
      </c>
    </row>
    <row r="2528" spans="1:6">
      <c r="A2528" t="str">
        <f>"E1235-279"</f>
        <v>E1235-279</v>
      </c>
      <c r="B2528" t="str">
        <f t="shared" ref="B2528:B2559" si="208">"VIA FELICE MARITANO  90-"</f>
        <v>VIA FELICE MARITANO  90-</v>
      </c>
      <c r="C2528" t="str">
        <f t="shared" si="204"/>
        <v>RIV</v>
      </c>
      <c r="D2528">
        <v>27</v>
      </c>
      <c r="E2528" t="str">
        <f t="shared" si="207"/>
        <v>124</v>
      </c>
      <c r="F2528" t="str">
        <f>"373"</f>
        <v>373</v>
      </c>
    </row>
    <row r="2529" spans="1:6">
      <c r="A2529" t="str">
        <f>"E1235-280"</f>
        <v>E1235-280</v>
      </c>
      <c r="B2529" t="str">
        <f t="shared" si="208"/>
        <v>VIA FELICE MARITANO  90-</v>
      </c>
      <c r="C2529" t="str">
        <f t="shared" si="204"/>
        <v>RIV</v>
      </c>
      <c r="D2529">
        <v>27</v>
      </c>
      <c r="E2529" t="str">
        <f t="shared" si="207"/>
        <v>124</v>
      </c>
      <c r="F2529" t="str">
        <f>"374"</f>
        <v>374</v>
      </c>
    </row>
    <row r="2530" spans="1:6">
      <c r="A2530" t="str">
        <f>"E1235-281"</f>
        <v>E1235-281</v>
      </c>
      <c r="B2530" t="str">
        <f t="shared" si="208"/>
        <v>VIA FELICE MARITANO  90-</v>
      </c>
      <c r="C2530" t="str">
        <f t="shared" si="204"/>
        <v>RIV</v>
      </c>
      <c r="D2530">
        <v>27</v>
      </c>
      <c r="E2530" t="str">
        <f t="shared" si="207"/>
        <v>124</v>
      </c>
      <c r="F2530" t="str">
        <f>"375"</f>
        <v>375</v>
      </c>
    </row>
    <row r="2531" spans="1:6">
      <c r="A2531" t="str">
        <f>"E1235-282"</f>
        <v>E1235-282</v>
      </c>
      <c r="B2531" t="str">
        <f t="shared" si="208"/>
        <v>VIA FELICE MARITANO  90-</v>
      </c>
      <c r="C2531" t="str">
        <f t="shared" si="204"/>
        <v>RIV</v>
      </c>
      <c r="D2531">
        <v>27</v>
      </c>
      <c r="E2531" t="str">
        <f t="shared" si="207"/>
        <v>124</v>
      </c>
      <c r="F2531" t="str">
        <f>"376"</f>
        <v>376</v>
      </c>
    </row>
    <row r="2532" spans="1:6">
      <c r="A2532" t="str">
        <f>"E1235-283"</f>
        <v>E1235-283</v>
      </c>
      <c r="B2532" t="str">
        <f t="shared" si="208"/>
        <v>VIA FELICE MARITANO  90-</v>
      </c>
      <c r="C2532" t="str">
        <f t="shared" si="204"/>
        <v>RIV</v>
      </c>
      <c r="D2532">
        <v>27</v>
      </c>
      <c r="E2532" t="str">
        <f t="shared" si="207"/>
        <v>124</v>
      </c>
      <c r="F2532" t="str">
        <f>"377"</f>
        <v>377</v>
      </c>
    </row>
    <row r="2533" spans="1:6">
      <c r="A2533" t="str">
        <f>"E1235-284"</f>
        <v>E1235-284</v>
      </c>
      <c r="B2533" t="str">
        <f t="shared" si="208"/>
        <v>VIA FELICE MARITANO  90-</v>
      </c>
      <c r="C2533" t="str">
        <f t="shared" si="204"/>
        <v>RIV</v>
      </c>
      <c r="D2533">
        <v>27</v>
      </c>
      <c r="E2533" t="str">
        <f t="shared" si="207"/>
        <v>124</v>
      </c>
      <c r="F2533" t="str">
        <f>"378"</f>
        <v>378</v>
      </c>
    </row>
    <row r="2534" spans="1:6">
      <c r="A2534" t="str">
        <f>"E1235-285"</f>
        <v>E1235-285</v>
      </c>
      <c r="B2534" t="str">
        <f t="shared" si="208"/>
        <v>VIA FELICE MARITANO  90-</v>
      </c>
      <c r="C2534" t="str">
        <f t="shared" si="204"/>
        <v>RIV</v>
      </c>
      <c r="D2534">
        <v>27</v>
      </c>
      <c r="E2534" t="str">
        <f t="shared" si="207"/>
        <v>124</v>
      </c>
      <c r="F2534" t="str">
        <f>"379"</f>
        <v>379</v>
      </c>
    </row>
    <row r="2535" spans="1:6">
      <c r="A2535" t="str">
        <f>"E1235-286"</f>
        <v>E1235-286</v>
      </c>
      <c r="B2535" t="str">
        <f t="shared" si="208"/>
        <v>VIA FELICE MARITANO  90-</v>
      </c>
      <c r="C2535" t="str">
        <f t="shared" si="204"/>
        <v>RIV</v>
      </c>
      <c r="D2535">
        <v>27</v>
      </c>
      <c r="E2535" t="str">
        <f t="shared" si="207"/>
        <v>124</v>
      </c>
      <c r="F2535" t="str">
        <f>"380"</f>
        <v>380</v>
      </c>
    </row>
    <row r="2536" spans="1:6">
      <c r="A2536" t="str">
        <f>"E1235-287"</f>
        <v>E1235-287</v>
      </c>
      <c r="B2536" t="str">
        <f t="shared" si="208"/>
        <v>VIA FELICE MARITANO  90-</v>
      </c>
      <c r="C2536" t="str">
        <f t="shared" si="204"/>
        <v>RIV</v>
      </c>
      <c r="D2536">
        <v>27</v>
      </c>
      <c r="E2536" t="str">
        <f t="shared" si="207"/>
        <v>124</v>
      </c>
      <c r="F2536" t="str">
        <f>"381"</f>
        <v>381</v>
      </c>
    </row>
    <row r="2537" spans="1:6">
      <c r="A2537" t="str">
        <f>"E1235-288"</f>
        <v>E1235-288</v>
      </c>
      <c r="B2537" t="str">
        <f t="shared" si="208"/>
        <v>VIA FELICE MARITANO  90-</v>
      </c>
      <c r="C2537" t="str">
        <f t="shared" si="204"/>
        <v>RIV</v>
      </c>
      <c r="D2537">
        <v>27</v>
      </c>
      <c r="E2537" t="str">
        <f t="shared" si="207"/>
        <v>124</v>
      </c>
      <c r="F2537" t="str">
        <f>"382"</f>
        <v>382</v>
      </c>
    </row>
    <row r="2538" spans="1:6">
      <c r="A2538" t="str">
        <f>"E1235-289"</f>
        <v>E1235-289</v>
      </c>
      <c r="B2538" t="str">
        <f t="shared" si="208"/>
        <v>VIA FELICE MARITANO  90-</v>
      </c>
      <c r="C2538" t="str">
        <f t="shared" si="204"/>
        <v>RIV</v>
      </c>
      <c r="D2538">
        <v>27</v>
      </c>
      <c r="E2538" t="str">
        <f t="shared" si="207"/>
        <v>124</v>
      </c>
      <c r="F2538" t="str">
        <f>"383"</f>
        <v>383</v>
      </c>
    </row>
    <row r="2539" spans="1:6">
      <c r="A2539" t="str">
        <f>"E1235-290"</f>
        <v>E1235-290</v>
      </c>
      <c r="B2539" t="str">
        <f t="shared" si="208"/>
        <v>VIA FELICE MARITANO  90-</v>
      </c>
      <c r="C2539" t="str">
        <f t="shared" si="204"/>
        <v>RIV</v>
      </c>
      <c r="D2539">
        <v>27</v>
      </c>
      <c r="E2539" t="str">
        <f t="shared" si="207"/>
        <v>124</v>
      </c>
      <c r="F2539" t="str">
        <f>"384"</f>
        <v>384</v>
      </c>
    </row>
    <row r="2540" spans="1:6">
      <c r="A2540" t="str">
        <f>"E1235-291"</f>
        <v>E1235-291</v>
      </c>
      <c r="B2540" t="str">
        <f t="shared" si="208"/>
        <v>VIA FELICE MARITANO  90-</v>
      </c>
      <c r="C2540" t="str">
        <f t="shared" si="204"/>
        <v>RIV</v>
      </c>
      <c r="D2540">
        <v>27</v>
      </c>
      <c r="E2540" t="str">
        <f t="shared" si="207"/>
        <v>124</v>
      </c>
      <c r="F2540" t="str">
        <f>"385"</f>
        <v>385</v>
      </c>
    </row>
    <row r="2541" spans="1:6">
      <c r="A2541" t="str">
        <f>"E1235-292"</f>
        <v>E1235-292</v>
      </c>
      <c r="B2541" t="str">
        <f t="shared" si="208"/>
        <v>VIA FELICE MARITANO  90-</v>
      </c>
      <c r="C2541" t="str">
        <f t="shared" si="204"/>
        <v>RIV</v>
      </c>
      <c r="D2541">
        <v>27</v>
      </c>
      <c r="E2541" t="str">
        <f t="shared" si="207"/>
        <v>124</v>
      </c>
      <c r="F2541" t="str">
        <f>"386"</f>
        <v>386</v>
      </c>
    </row>
    <row r="2542" spans="1:6">
      <c r="A2542" t="str">
        <f>"E1235-293"</f>
        <v>E1235-293</v>
      </c>
      <c r="B2542" t="str">
        <f t="shared" si="208"/>
        <v>VIA FELICE MARITANO  90-</v>
      </c>
      <c r="C2542" t="str">
        <f t="shared" si="204"/>
        <v>RIV</v>
      </c>
      <c r="D2542">
        <v>27</v>
      </c>
      <c r="E2542" t="str">
        <f t="shared" si="207"/>
        <v>124</v>
      </c>
      <c r="F2542" t="str">
        <f>"387"</f>
        <v>387</v>
      </c>
    </row>
    <row r="2543" spans="1:6">
      <c r="A2543" t="str">
        <f>"E1235-294"</f>
        <v>E1235-294</v>
      </c>
      <c r="B2543" t="str">
        <f t="shared" si="208"/>
        <v>VIA FELICE MARITANO  90-</v>
      </c>
      <c r="C2543" t="str">
        <f t="shared" si="204"/>
        <v>RIV</v>
      </c>
      <c r="D2543">
        <v>27</v>
      </c>
      <c r="E2543" t="str">
        <f t="shared" si="207"/>
        <v>124</v>
      </c>
      <c r="F2543" t="str">
        <f>"388"</f>
        <v>388</v>
      </c>
    </row>
    <row r="2544" spans="1:6">
      <c r="A2544" t="str">
        <f>"E1235-295"</f>
        <v>E1235-295</v>
      </c>
      <c r="B2544" t="str">
        <f t="shared" si="208"/>
        <v>VIA FELICE MARITANO  90-</v>
      </c>
      <c r="C2544" t="str">
        <f t="shared" si="204"/>
        <v>RIV</v>
      </c>
      <c r="D2544">
        <v>27</v>
      </c>
      <c r="E2544" t="str">
        <f t="shared" si="207"/>
        <v>124</v>
      </c>
      <c r="F2544" t="str">
        <f>"389"</f>
        <v>389</v>
      </c>
    </row>
    <row r="2545" spans="1:6">
      <c r="A2545" t="str">
        <f>"E1235-296"</f>
        <v>E1235-296</v>
      </c>
      <c r="B2545" t="str">
        <f t="shared" si="208"/>
        <v>VIA FELICE MARITANO  90-</v>
      </c>
      <c r="C2545" t="str">
        <f t="shared" si="204"/>
        <v>RIV</v>
      </c>
      <c r="D2545">
        <v>27</v>
      </c>
      <c r="E2545" t="str">
        <f t="shared" si="207"/>
        <v>124</v>
      </c>
      <c r="F2545" t="str">
        <f>"390"</f>
        <v>390</v>
      </c>
    </row>
    <row r="2546" spans="1:6">
      <c r="A2546" t="str">
        <f>"E1235-297"</f>
        <v>E1235-297</v>
      </c>
      <c r="B2546" t="str">
        <f t="shared" si="208"/>
        <v>VIA FELICE MARITANO  90-</v>
      </c>
      <c r="C2546" t="str">
        <f t="shared" si="204"/>
        <v>RIV</v>
      </c>
      <c r="D2546">
        <v>27</v>
      </c>
      <c r="E2546" t="str">
        <f t="shared" si="207"/>
        <v>124</v>
      </c>
      <c r="F2546" t="str">
        <f>"391"</f>
        <v>391</v>
      </c>
    </row>
    <row r="2547" spans="1:6">
      <c r="A2547" t="str">
        <f>"E1235-298"</f>
        <v>E1235-298</v>
      </c>
      <c r="B2547" t="str">
        <f t="shared" si="208"/>
        <v>VIA FELICE MARITANO  90-</v>
      </c>
      <c r="C2547" t="str">
        <f t="shared" si="204"/>
        <v>RIV</v>
      </c>
      <c r="D2547">
        <v>27</v>
      </c>
      <c r="E2547" t="str">
        <f t="shared" si="207"/>
        <v>124</v>
      </c>
      <c r="F2547" t="str">
        <f>"392"</f>
        <v>392</v>
      </c>
    </row>
    <row r="2548" spans="1:6">
      <c r="A2548" t="str">
        <f>"E1235-299"</f>
        <v>E1235-299</v>
      </c>
      <c r="B2548" t="str">
        <f t="shared" si="208"/>
        <v>VIA FELICE MARITANO  90-</v>
      </c>
      <c r="C2548" t="str">
        <f t="shared" si="204"/>
        <v>RIV</v>
      </c>
      <c r="D2548">
        <v>27</v>
      </c>
      <c r="E2548" t="str">
        <f t="shared" si="207"/>
        <v>124</v>
      </c>
      <c r="F2548" t="str">
        <f>"393"</f>
        <v>393</v>
      </c>
    </row>
    <row r="2549" spans="1:6">
      <c r="A2549" t="str">
        <f>"E1235-300"</f>
        <v>E1235-300</v>
      </c>
      <c r="B2549" t="str">
        <f t="shared" si="208"/>
        <v>VIA FELICE MARITANO  90-</v>
      </c>
      <c r="C2549" t="str">
        <f t="shared" si="204"/>
        <v>RIV</v>
      </c>
      <c r="D2549">
        <v>27</v>
      </c>
      <c r="E2549" t="str">
        <f t="shared" si="207"/>
        <v>124</v>
      </c>
      <c r="F2549" t="str">
        <f>"394"</f>
        <v>394</v>
      </c>
    </row>
    <row r="2550" spans="1:6">
      <c r="A2550" t="str">
        <f>"E1235-301"</f>
        <v>E1235-301</v>
      </c>
      <c r="B2550" t="str">
        <f t="shared" si="208"/>
        <v>VIA FELICE MARITANO  90-</v>
      </c>
      <c r="C2550" t="str">
        <f t="shared" si="204"/>
        <v>RIV</v>
      </c>
      <c r="D2550">
        <v>27</v>
      </c>
      <c r="E2550" t="str">
        <f t="shared" si="207"/>
        <v>124</v>
      </c>
      <c r="F2550" t="str">
        <f>"395"</f>
        <v>395</v>
      </c>
    </row>
    <row r="2551" spans="1:6">
      <c r="A2551" t="str">
        <f>"E1235-302"</f>
        <v>E1235-302</v>
      </c>
      <c r="B2551" t="str">
        <f t="shared" si="208"/>
        <v>VIA FELICE MARITANO  90-</v>
      </c>
      <c r="C2551" t="str">
        <f t="shared" ref="C2551:C2614" si="209">"RIV"</f>
        <v>RIV</v>
      </c>
      <c r="D2551">
        <v>27</v>
      </c>
      <c r="E2551" t="str">
        <f t="shared" si="207"/>
        <v>124</v>
      </c>
      <c r="F2551" t="str">
        <f>"396"</f>
        <v>396</v>
      </c>
    </row>
    <row r="2552" spans="1:6">
      <c r="A2552" t="str">
        <f>"E1235-303"</f>
        <v>E1235-303</v>
      </c>
      <c r="B2552" t="str">
        <f t="shared" si="208"/>
        <v>VIA FELICE MARITANO  90-</v>
      </c>
      <c r="C2552" t="str">
        <f t="shared" si="209"/>
        <v>RIV</v>
      </c>
      <c r="D2552">
        <v>27</v>
      </c>
      <c r="E2552" t="str">
        <f t="shared" si="207"/>
        <v>124</v>
      </c>
      <c r="F2552" t="str">
        <f>"397"</f>
        <v>397</v>
      </c>
    </row>
    <row r="2553" spans="1:6">
      <c r="A2553" t="str">
        <f>"E1235-304"</f>
        <v>E1235-304</v>
      </c>
      <c r="B2553" t="str">
        <f t="shared" si="208"/>
        <v>VIA FELICE MARITANO  90-</v>
      </c>
      <c r="C2553" t="str">
        <f t="shared" si="209"/>
        <v>RIV</v>
      </c>
      <c r="D2553">
        <v>27</v>
      </c>
      <c r="E2553" t="str">
        <f t="shared" si="207"/>
        <v>124</v>
      </c>
      <c r="F2553" t="str">
        <f>"398"</f>
        <v>398</v>
      </c>
    </row>
    <row r="2554" spans="1:6">
      <c r="A2554" t="str">
        <f>"E1235-305"</f>
        <v>E1235-305</v>
      </c>
      <c r="B2554" t="str">
        <f t="shared" si="208"/>
        <v>VIA FELICE MARITANO  90-</v>
      </c>
      <c r="C2554" t="str">
        <f t="shared" si="209"/>
        <v>RIV</v>
      </c>
      <c r="D2554">
        <v>27</v>
      </c>
      <c r="E2554" t="str">
        <f t="shared" si="207"/>
        <v>124</v>
      </c>
      <c r="F2554" t="str">
        <f>"399"</f>
        <v>399</v>
      </c>
    </row>
    <row r="2555" spans="1:6">
      <c r="A2555" t="str">
        <f>"E1235-306"</f>
        <v>E1235-306</v>
      </c>
      <c r="B2555" t="str">
        <f t="shared" si="208"/>
        <v>VIA FELICE MARITANO  90-</v>
      </c>
      <c r="C2555" t="str">
        <f t="shared" si="209"/>
        <v>RIV</v>
      </c>
      <c r="D2555">
        <v>27</v>
      </c>
      <c r="E2555" t="str">
        <f t="shared" si="207"/>
        <v>124</v>
      </c>
      <c r="F2555" t="str">
        <f>"400"</f>
        <v>400</v>
      </c>
    </row>
    <row r="2556" spans="1:6">
      <c r="A2556" t="str">
        <f>"E1235-307"</f>
        <v>E1235-307</v>
      </c>
      <c r="B2556" t="str">
        <f t="shared" si="208"/>
        <v>VIA FELICE MARITANO  90-</v>
      </c>
      <c r="C2556" t="str">
        <f t="shared" si="209"/>
        <v>RIV</v>
      </c>
      <c r="D2556">
        <v>27</v>
      </c>
      <c r="E2556" t="str">
        <f t="shared" si="207"/>
        <v>124</v>
      </c>
      <c r="F2556" t="str">
        <f>"401"</f>
        <v>401</v>
      </c>
    </row>
    <row r="2557" spans="1:6">
      <c r="A2557" t="str">
        <f>"E1235-308"</f>
        <v>E1235-308</v>
      </c>
      <c r="B2557" t="str">
        <f t="shared" si="208"/>
        <v>VIA FELICE MARITANO  90-</v>
      </c>
      <c r="C2557" t="str">
        <f t="shared" si="209"/>
        <v>RIV</v>
      </c>
      <c r="D2557">
        <v>27</v>
      </c>
      <c r="E2557" t="str">
        <f t="shared" si="207"/>
        <v>124</v>
      </c>
      <c r="F2557" t="str">
        <f>"402"</f>
        <v>402</v>
      </c>
    </row>
    <row r="2558" spans="1:6">
      <c r="A2558" t="str">
        <f>"E1235-309"</f>
        <v>E1235-309</v>
      </c>
      <c r="B2558" t="str">
        <f t="shared" si="208"/>
        <v>VIA FELICE MARITANO  90-</v>
      </c>
      <c r="C2558" t="str">
        <f t="shared" si="209"/>
        <v>RIV</v>
      </c>
      <c r="D2558">
        <v>27</v>
      </c>
      <c r="E2558" t="str">
        <f t="shared" si="207"/>
        <v>124</v>
      </c>
      <c r="F2558" t="str">
        <f>"403"</f>
        <v>403</v>
      </c>
    </row>
    <row r="2559" spans="1:6">
      <c r="A2559" t="str">
        <f>"E1235-310"</f>
        <v>E1235-310</v>
      </c>
      <c r="B2559" t="str">
        <f t="shared" si="208"/>
        <v>VIA FELICE MARITANO  90-</v>
      </c>
      <c r="C2559" t="str">
        <f t="shared" si="209"/>
        <v>RIV</v>
      </c>
      <c r="D2559">
        <v>27</v>
      </c>
      <c r="E2559" t="str">
        <f t="shared" si="207"/>
        <v>124</v>
      </c>
      <c r="F2559" t="str">
        <f>"404"</f>
        <v>404</v>
      </c>
    </row>
    <row r="2560" spans="1:6">
      <c r="A2560" t="str">
        <f>"E1235-311"</f>
        <v>E1235-311</v>
      </c>
      <c r="B2560" t="str">
        <f t="shared" ref="B2560:B2567" si="210">"VIA FELICE MARITANO  90-"</f>
        <v>VIA FELICE MARITANO  90-</v>
      </c>
      <c r="C2560" t="str">
        <f t="shared" si="209"/>
        <v>RIV</v>
      </c>
      <c r="D2560">
        <v>27</v>
      </c>
      <c r="E2560" t="str">
        <f t="shared" si="207"/>
        <v>124</v>
      </c>
      <c r="F2560" t="str">
        <f>"405"</f>
        <v>405</v>
      </c>
    </row>
    <row r="2561" spans="1:6">
      <c r="A2561" t="str">
        <f>"E1235-312"</f>
        <v>E1235-312</v>
      </c>
      <c r="B2561" t="str">
        <f t="shared" si="210"/>
        <v>VIA FELICE MARITANO  90-</v>
      </c>
      <c r="C2561" t="str">
        <f t="shared" si="209"/>
        <v>RIV</v>
      </c>
      <c r="D2561">
        <v>27</v>
      </c>
      <c r="E2561" t="str">
        <f t="shared" si="207"/>
        <v>124</v>
      </c>
      <c r="F2561" t="str">
        <f>"406"</f>
        <v>406</v>
      </c>
    </row>
    <row r="2562" spans="1:6">
      <c r="A2562" t="str">
        <f>"E1235-313"</f>
        <v>E1235-313</v>
      </c>
      <c r="B2562" t="str">
        <f t="shared" si="210"/>
        <v>VIA FELICE MARITANO  90-</v>
      </c>
      <c r="C2562" t="str">
        <f t="shared" si="209"/>
        <v>RIV</v>
      </c>
      <c r="D2562">
        <v>27</v>
      </c>
      <c r="E2562" t="str">
        <f t="shared" si="207"/>
        <v>124</v>
      </c>
      <c r="F2562" t="str">
        <f>"407"</f>
        <v>407</v>
      </c>
    </row>
    <row r="2563" spans="1:6">
      <c r="A2563" t="str">
        <f>"E1235-314"</f>
        <v>E1235-314</v>
      </c>
      <c r="B2563" t="str">
        <f t="shared" si="210"/>
        <v>VIA FELICE MARITANO  90-</v>
      </c>
      <c r="C2563" t="str">
        <f t="shared" si="209"/>
        <v>RIV</v>
      </c>
      <c r="D2563">
        <v>27</v>
      </c>
      <c r="E2563" t="str">
        <f t="shared" si="207"/>
        <v>124</v>
      </c>
      <c r="F2563" t="str">
        <f>"408"</f>
        <v>408</v>
      </c>
    </row>
    <row r="2564" spans="1:6">
      <c r="A2564" t="str">
        <f>"E1235-315"</f>
        <v>E1235-315</v>
      </c>
      <c r="B2564" t="str">
        <f t="shared" si="210"/>
        <v>VIA FELICE MARITANO  90-</v>
      </c>
      <c r="C2564" t="str">
        <f t="shared" si="209"/>
        <v>RIV</v>
      </c>
      <c r="D2564">
        <v>27</v>
      </c>
      <c r="E2564" t="str">
        <f t="shared" si="207"/>
        <v>124</v>
      </c>
      <c r="F2564" t="str">
        <f>"409"</f>
        <v>409</v>
      </c>
    </row>
    <row r="2565" spans="1:6">
      <c r="A2565" t="str">
        <f>"E1235-316"</f>
        <v>E1235-316</v>
      </c>
      <c r="B2565" t="str">
        <f t="shared" si="210"/>
        <v>VIA FELICE MARITANO  90-</v>
      </c>
      <c r="C2565" t="str">
        <f t="shared" si="209"/>
        <v>RIV</v>
      </c>
      <c r="D2565">
        <v>27</v>
      </c>
      <c r="E2565" t="str">
        <f t="shared" si="207"/>
        <v>124</v>
      </c>
      <c r="F2565" t="str">
        <f>"410"</f>
        <v>410</v>
      </c>
    </row>
    <row r="2566" spans="1:6">
      <c r="A2566" t="str">
        <f>"E1235-317"</f>
        <v>E1235-317</v>
      </c>
      <c r="B2566" t="str">
        <f t="shared" si="210"/>
        <v>VIA FELICE MARITANO  90-</v>
      </c>
      <c r="C2566" t="str">
        <f t="shared" si="209"/>
        <v>RIV</v>
      </c>
      <c r="D2566">
        <v>27</v>
      </c>
      <c r="E2566" t="str">
        <f t="shared" si="207"/>
        <v>124</v>
      </c>
      <c r="F2566" t="str">
        <f>"419"</f>
        <v>419</v>
      </c>
    </row>
    <row r="2567" spans="1:6">
      <c r="A2567" t="str">
        <f>"E1235-318"</f>
        <v>E1235-318</v>
      </c>
      <c r="B2567" t="str">
        <f t="shared" si="210"/>
        <v>VIA FELICE MARITANO  90-</v>
      </c>
      <c r="C2567" t="str">
        <f t="shared" si="209"/>
        <v>RIV</v>
      </c>
      <c r="D2567">
        <v>27</v>
      </c>
      <c r="E2567" t="str">
        <f t="shared" si="207"/>
        <v>124</v>
      </c>
      <c r="F2567" t="str">
        <f>"420"</f>
        <v>420</v>
      </c>
    </row>
    <row r="2568" spans="1:6">
      <c r="A2568" t="str">
        <f>"E1235-319"</f>
        <v>E1235-319</v>
      </c>
      <c r="B2568" t="str">
        <f>"VIA FELICE MARITANO  95-"</f>
        <v>VIA FELICE MARITANO  95-</v>
      </c>
      <c r="C2568" t="str">
        <f t="shared" si="209"/>
        <v>RIV</v>
      </c>
      <c r="D2568">
        <v>27</v>
      </c>
      <c r="E2568" t="str">
        <f t="shared" si="207"/>
        <v>124</v>
      </c>
      <c r="F2568" t="str">
        <f>"128"</f>
        <v>128</v>
      </c>
    </row>
    <row r="2569" spans="1:6">
      <c r="A2569" t="str">
        <f>"E1235-320"</f>
        <v>E1235-320</v>
      </c>
      <c r="B2569" t="str">
        <f>"VIA FELICE MARITANO  95-"</f>
        <v>VIA FELICE MARITANO  95-</v>
      </c>
      <c r="C2569" t="str">
        <f t="shared" si="209"/>
        <v>RIV</v>
      </c>
      <c r="D2569">
        <v>27</v>
      </c>
      <c r="E2569" t="str">
        <f t="shared" si="207"/>
        <v>124</v>
      </c>
      <c r="F2569" t="str">
        <f>"127"</f>
        <v>127</v>
      </c>
    </row>
    <row r="2570" spans="1:6">
      <c r="A2570" t="str">
        <f>"E1235-321"</f>
        <v>E1235-321</v>
      </c>
      <c r="B2570" t="str">
        <f>"VIA FELICE MARITANO  95-"</f>
        <v>VIA FELICE MARITANO  95-</v>
      </c>
      <c r="C2570" t="str">
        <f t="shared" si="209"/>
        <v>RIV</v>
      </c>
      <c r="D2570">
        <v>27</v>
      </c>
      <c r="E2570" t="str">
        <f t="shared" si="207"/>
        <v>124</v>
      </c>
      <c r="F2570" t="str">
        <f>"126"</f>
        <v>126</v>
      </c>
    </row>
    <row r="2571" spans="1:6">
      <c r="A2571" t="str">
        <f>"E1235-322"</f>
        <v>E1235-322</v>
      </c>
      <c r="B2571" t="str">
        <f>"VIA FELICE MARITANO  92-"</f>
        <v>VIA FELICE MARITANO  92-</v>
      </c>
      <c r="C2571" t="str">
        <f t="shared" si="209"/>
        <v>RIV</v>
      </c>
      <c r="D2571">
        <v>27</v>
      </c>
      <c r="E2571" t="str">
        <f t="shared" si="207"/>
        <v>124</v>
      </c>
      <c r="F2571" t="str">
        <f>"125"</f>
        <v>125</v>
      </c>
    </row>
    <row r="2572" spans="1:6">
      <c r="A2572" t="str">
        <f>"E1235-323"</f>
        <v>E1235-323</v>
      </c>
      <c r="B2572" t="str">
        <f>"VIA FELICE MARITANO  92-"</f>
        <v>VIA FELICE MARITANO  92-</v>
      </c>
      <c r="C2572" t="str">
        <f t="shared" si="209"/>
        <v>RIV</v>
      </c>
      <c r="D2572">
        <v>27</v>
      </c>
      <c r="E2572" t="str">
        <f t="shared" ref="E2572:E2594" si="211">"124"</f>
        <v>124</v>
      </c>
      <c r="F2572" t="str">
        <f>"124"</f>
        <v>124</v>
      </c>
    </row>
    <row r="2573" spans="1:6">
      <c r="A2573" t="str">
        <f>"E1235-324"</f>
        <v>E1235-324</v>
      </c>
      <c r="B2573" t="str">
        <f>"VIA FELICE MARITANO  92-"</f>
        <v>VIA FELICE MARITANO  92-</v>
      </c>
      <c r="C2573" t="str">
        <f t="shared" si="209"/>
        <v>RIV</v>
      </c>
      <c r="D2573">
        <v>27</v>
      </c>
      <c r="E2573" t="str">
        <f t="shared" si="211"/>
        <v>124</v>
      </c>
      <c r="F2573" t="str">
        <f>"111"</f>
        <v>111</v>
      </c>
    </row>
    <row r="2574" spans="1:6">
      <c r="A2574" t="str">
        <f>"E1235-325"</f>
        <v>E1235-325</v>
      </c>
      <c r="B2574" t="str">
        <f>"VIA FELICE MARITANO  92-"</f>
        <v>VIA FELICE MARITANO  92-</v>
      </c>
      <c r="C2574" t="str">
        <f t="shared" si="209"/>
        <v>RIV</v>
      </c>
      <c r="D2574">
        <v>27</v>
      </c>
      <c r="E2574" t="str">
        <f t="shared" si="211"/>
        <v>124</v>
      </c>
      <c r="F2574" t="str">
        <f>"141"</f>
        <v>141</v>
      </c>
    </row>
    <row r="2575" spans="1:6">
      <c r="A2575" t="str">
        <f>"E1235-326"</f>
        <v>E1235-326</v>
      </c>
      <c r="B2575" t="str">
        <f>"VIA FELICE MARITANO  92-"</f>
        <v>VIA FELICE MARITANO  92-</v>
      </c>
      <c r="C2575" t="str">
        <f t="shared" si="209"/>
        <v>RIV</v>
      </c>
      <c r="D2575">
        <v>27</v>
      </c>
      <c r="E2575" t="str">
        <f t="shared" si="211"/>
        <v>124</v>
      </c>
      <c r="F2575" t="str">
        <f>"140"</f>
        <v>140</v>
      </c>
    </row>
    <row r="2576" spans="1:6">
      <c r="A2576" t="str">
        <f>"E1235-327"</f>
        <v>E1235-327</v>
      </c>
      <c r="B2576" t="str">
        <f>"VIA FELICE MARITANO  95-"</f>
        <v>VIA FELICE MARITANO  95-</v>
      </c>
      <c r="C2576" t="str">
        <f t="shared" si="209"/>
        <v>RIV</v>
      </c>
      <c r="D2576">
        <v>27</v>
      </c>
      <c r="E2576" t="str">
        <f t="shared" si="211"/>
        <v>124</v>
      </c>
      <c r="F2576" t="str">
        <f>"143"</f>
        <v>143</v>
      </c>
    </row>
    <row r="2577" spans="1:6">
      <c r="A2577" t="str">
        <f>"E1235-328"</f>
        <v>E1235-328</v>
      </c>
      <c r="B2577" t="str">
        <f>"VIA FELICE MARITANO  95-"</f>
        <v>VIA FELICE MARITANO  95-</v>
      </c>
      <c r="C2577" t="str">
        <f t="shared" si="209"/>
        <v>RIV</v>
      </c>
      <c r="D2577">
        <v>27</v>
      </c>
      <c r="E2577" t="str">
        <f t="shared" si="211"/>
        <v>124</v>
      </c>
      <c r="F2577" t="str">
        <f>"142"</f>
        <v>142</v>
      </c>
    </row>
    <row r="2578" spans="1:6">
      <c r="A2578" t="str">
        <f>"E1235-329"</f>
        <v>E1235-329</v>
      </c>
      <c r="B2578" t="str">
        <f>"VIA FELICE MARITANO  95-"</f>
        <v>VIA FELICE MARITANO  95-</v>
      </c>
      <c r="C2578" t="str">
        <f t="shared" si="209"/>
        <v>RIV</v>
      </c>
      <c r="D2578">
        <v>27</v>
      </c>
      <c r="E2578" t="str">
        <f t="shared" si="211"/>
        <v>124</v>
      </c>
      <c r="F2578" t="str">
        <f>"159"</f>
        <v>159</v>
      </c>
    </row>
    <row r="2579" spans="1:6">
      <c r="A2579" t="str">
        <f>"E1235-330"</f>
        <v>E1235-330</v>
      </c>
      <c r="B2579" t="str">
        <f>"VIA FELICE MARITANO  95-"</f>
        <v>VIA FELICE MARITANO  95-</v>
      </c>
      <c r="C2579" t="str">
        <f t="shared" si="209"/>
        <v>RIV</v>
      </c>
      <c r="D2579">
        <v>27</v>
      </c>
      <c r="E2579" t="str">
        <f t="shared" si="211"/>
        <v>124</v>
      </c>
      <c r="F2579" t="str">
        <f>"158"</f>
        <v>158</v>
      </c>
    </row>
    <row r="2580" spans="1:6">
      <c r="A2580" t="str">
        <f>"E1235-331"</f>
        <v>E1235-331</v>
      </c>
      <c r="B2580" t="str">
        <f>"VIA FELICE MARITANO  95-"</f>
        <v>VIA FELICE MARITANO  95-</v>
      </c>
      <c r="C2580" t="str">
        <f t="shared" si="209"/>
        <v>RIV</v>
      </c>
      <c r="D2580">
        <v>27</v>
      </c>
      <c r="E2580" t="str">
        <f t="shared" si="211"/>
        <v>124</v>
      </c>
      <c r="F2580" t="str">
        <f>"176"</f>
        <v>176</v>
      </c>
    </row>
    <row r="2581" spans="1:6">
      <c r="A2581" t="str">
        <f>"E1235-332"</f>
        <v>E1235-332</v>
      </c>
      <c r="B2581" t="str">
        <f>"VIA FELICE MARITANO  92-"</f>
        <v>VIA FELICE MARITANO  92-</v>
      </c>
      <c r="C2581" t="str">
        <f t="shared" si="209"/>
        <v>RIV</v>
      </c>
      <c r="D2581">
        <v>27</v>
      </c>
      <c r="E2581" t="str">
        <f t="shared" si="211"/>
        <v>124</v>
      </c>
      <c r="F2581" t="str">
        <f>"175"</f>
        <v>175</v>
      </c>
    </row>
    <row r="2582" spans="1:6">
      <c r="A2582" t="str">
        <f>"E1235-333"</f>
        <v>E1235-333</v>
      </c>
      <c r="B2582" t="str">
        <f>"VIA FELICE MARITANO  95-"</f>
        <v>VIA FELICE MARITANO  95-</v>
      </c>
      <c r="C2582" t="str">
        <f t="shared" si="209"/>
        <v>RIV</v>
      </c>
      <c r="D2582">
        <v>27</v>
      </c>
      <c r="E2582" t="str">
        <f t="shared" si="211"/>
        <v>124</v>
      </c>
      <c r="F2582" t="str">
        <f>"174"</f>
        <v>174</v>
      </c>
    </row>
    <row r="2583" spans="1:6">
      <c r="A2583" t="str">
        <f>"E1235-334"</f>
        <v>E1235-334</v>
      </c>
      <c r="B2583" t="str">
        <f>"VIA FELICE MARITANO  92-"</f>
        <v>VIA FELICE MARITANO  92-</v>
      </c>
      <c r="C2583" t="str">
        <f t="shared" si="209"/>
        <v>RIV</v>
      </c>
      <c r="D2583">
        <v>27</v>
      </c>
      <c r="E2583" t="str">
        <f t="shared" si="211"/>
        <v>124</v>
      </c>
      <c r="F2583" t="str">
        <f>"173"</f>
        <v>173</v>
      </c>
    </row>
    <row r="2584" spans="1:6">
      <c r="A2584" t="str">
        <f>"E1235-335"</f>
        <v>E1235-335</v>
      </c>
      <c r="B2584" t="str">
        <f>"VIA FELICE MARITANO  92-"</f>
        <v>VIA FELICE MARITANO  92-</v>
      </c>
      <c r="C2584" t="str">
        <f t="shared" si="209"/>
        <v>RIV</v>
      </c>
      <c r="D2584">
        <v>27</v>
      </c>
      <c r="E2584" t="str">
        <f t="shared" si="211"/>
        <v>124</v>
      </c>
      <c r="F2584" t="str">
        <f>"172"</f>
        <v>172</v>
      </c>
    </row>
    <row r="2585" spans="1:6">
      <c r="A2585" t="str">
        <f>"E1235-336"</f>
        <v>E1235-336</v>
      </c>
      <c r="B2585" t="str">
        <f>"VIA FELICE MARITANO  92-"</f>
        <v>VIA FELICE MARITANO  92-</v>
      </c>
      <c r="C2585" t="str">
        <f t="shared" si="209"/>
        <v>RIV</v>
      </c>
      <c r="D2585">
        <v>27</v>
      </c>
      <c r="E2585" t="str">
        <f t="shared" si="211"/>
        <v>124</v>
      </c>
      <c r="F2585" t="str">
        <f>"157"</f>
        <v>157</v>
      </c>
    </row>
    <row r="2586" spans="1:6">
      <c r="A2586" t="str">
        <f>"E1235-337"</f>
        <v>E1235-337</v>
      </c>
      <c r="B2586" t="str">
        <f>"VIA FELICE MARITANO  92-"</f>
        <v>VIA FELICE MARITANO  92-</v>
      </c>
      <c r="C2586" t="str">
        <f t="shared" si="209"/>
        <v>RIV</v>
      </c>
      <c r="D2586">
        <v>27</v>
      </c>
      <c r="E2586" t="str">
        <f t="shared" si="211"/>
        <v>124</v>
      </c>
      <c r="F2586" t="str">
        <f>"156"</f>
        <v>156</v>
      </c>
    </row>
    <row r="2587" spans="1:6">
      <c r="A2587" t="str">
        <f>"E1235-338"</f>
        <v>E1235-338</v>
      </c>
      <c r="B2587" t="str">
        <f>"VIA FELICE MARITANO  92-"</f>
        <v>VIA FELICE MARITANO  92-</v>
      </c>
      <c r="C2587" t="str">
        <f t="shared" si="209"/>
        <v>RIV</v>
      </c>
      <c r="D2587">
        <v>27</v>
      </c>
      <c r="E2587" t="str">
        <f t="shared" si="211"/>
        <v>124</v>
      </c>
      <c r="F2587" t="str">
        <f>"190"</f>
        <v>190</v>
      </c>
    </row>
    <row r="2588" spans="1:6">
      <c r="A2588" t="str">
        <f>"E1235-339"</f>
        <v>E1235-339</v>
      </c>
      <c r="B2588" t="str">
        <f t="shared" ref="B2588:B2612" si="212">"VIA FELICE MARITANO  95-"</f>
        <v>VIA FELICE MARITANO  95-</v>
      </c>
      <c r="C2588" t="str">
        <f t="shared" si="209"/>
        <v>RIV</v>
      </c>
      <c r="D2588">
        <v>27</v>
      </c>
      <c r="E2588" t="str">
        <f t="shared" si="211"/>
        <v>124</v>
      </c>
      <c r="F2588" t="str">
        <f>"189"</f>
        <v>189</v>
      </c>
    </row>
    <row r="2589" spans="1:6">
      <c r="A2589" t="str">
        <f>"E1235-340"</f>
        <v>E1235-340</v>
      </c>
      <c r="B2589" t="str">
        <f t="shared" si="212"/>
        <v>VIA FELICE MARITANO  95-</v>
      </c>
      <c r="C2589" t="str">
        <f t="shared" si="209"/>
        <v>RIV</v>
      </c>
      <c r="D2589">
        <v>27</v>
      </c>
      <c r="E2589" t="str">
        <f t="shared" si="211"/>
        <v>124</v>
      </c>
      <c r="F2589" t="str">
        <f>"193"</f>
        <v>193</v>
      </c>
    </row>
    <row r="2590" spans="1:6">
      <c r="A2590" t="str">
        <f>"E1235-341"</f>
        <v>E1235-341</v>
      </c>
      <c r="B2590" t="str">
        <f t="shared" si="212"/>
        <v>VIA FELICE MARITANO  95-</v>
      </c>
      <c r="C2590" t="str">
        <f t="shared" si="209"/>
        <v>RIV</v>
      </c>
      <c r="D2590">
        <v>27</v>
      </c>
      <c r="E2590" t="str">
        <f t="shared" si="211"/>
        <v>124</v>
      </c>
      <c r="F2590" t="str">
        <f>"194"</f>
        <v>194</v>
      </c>
    </row>
    <row r="2591" spans="1:6">
      <c r="A2591" t="str">
        <f>"E1235-342"</f>
        <v>E1235-342</v>
      </c>
      <c r="B2591" t="str">
        <f t="shared" si="212"/>
        <v>VIA FELICE MARITANO  95-</v>
      </c>
      <c r="C2591" t="str">
        <f t="shared" si="209"/>
        <v>RIV</v>
      </c>
      <c r="D2591">
        <v>27</v>
      </c>
      <c r="E2591" t="str">
        <f t="shared" si="211"/>
        <v>124</v>
      </c>
      <c r="F2591" t="str">
        <f>"195"</f>
        <v>195</v>
      </c>
    </row>
    <row r="2592" spans="1:6">
      <c r="A2592" t="str">
        <f>"E1235-343"</f>
        <v>E1235-343</v>
      </c>
      <c r="B2592" t="str">
        <f t="shared" si="212"/>
        <v>VIA FELICE MARITANO  95-</v>
      </c>
      <c r="C2592" t="str">
        <f t="shared" si="209"/>
        <v>RIV</v>
      </c>
      <c r="D2592">
        <v>27</v>
      </c>
      <c r="E2592" t="str">
        <f t="shared" si="211"/>
        <v>124</v>
      </c>
      <c r="F2592" t="str">
        <f>"196"</f>
        <v>196</v>
      </c>
    </row>
    <row r="2593" spans="1:6">
      <c r="A2593" t="str">
        <f>"E1235-344"</f>
        <v>E1235-344</v>
      </c>
      <c r="B2593" t="str">
        <f t="shared" si="212"/>
        <v>VIA FELICE MARITANO  95-</v>
      </c>
      <c r="C2593" t="str">
        <f t="shared" si="209"/>
        <v>RIV</v>
      </c>
      <c r="D2593">
        <v>27</v>
      </c>
      <c r="E2593" t="str">
        <f t="shared" si="211"/>
        <v>124</v>
      </c>
      <c r="F2593" t="str">
        <f>"197"</f>
        <v>197</v>
      </c>
    </row>
    <row r="2594" spans="1:6">
      <c r="A2594" t="str">
        <f>"E1235-345"</f>
        <v>E1235-345</v>
      </c>
      <c r="B2594" t="str">
        <f t="shared" si="212"/>
        <v>VIA FELICE MARITANO  95-</v>
      </c>
      <c r="C2594" t="str">
        <f t="shared" si="209"/>
        <v>RIV</v>
      </c>
      <c r="D2594">
        <v>27</v>
      </c>
      <c r="E2594" t="str">
        <f t="shared" si="211"/>
        <v>124</v>
      </c>
      <c r="F2594" t="str">
        <f>"192"</f>
        <v>192</v>
      </c>
    </row>
    <row r="2595" spans="1:6">
      <c r="A2595" t="str">
        <f>"E1235-346"</f>
        <v>E1235-346</v>
      </c>
      <c r="B2595" t="str">
        <f t="shared" si="212"/>
        <v>VIA FELICE MARITANO  95-</v>
      </c>
      <c r="C2595" t="str">
        <f t="shared" si="209"/>
        <v>RIV</v>
      </c>
      <c r="D2595">
        <v>27</v>
      </c>
      <c r="E2595" t="str">
        <f>"2008"</f>
        <v>2008</v>
      </c>
      <c r="F2595" t="str">
        <f>"191"</f>
        <v>191</v>
      </c>
    </row>
    <row r="2596" spans="1:6">
      <c r="A2596" t="str">
        <f>"E1235-347"</f>
        <v>E1235-347</v>
      </c>
      <c r="B2596" t="str">
        <f t="shared" si="212"/>
        <v>VIA FELICE MARITANO  95-</v>
      </c>
      <c r="C2596" t="str">
        <f t="shared" si="209"/>
        <v>RIV</v>
      </c>
      <c r="D2596">
        <v>27</v>
      </c>
      <c r="E2596" t="str">
        <f t="shared" ref="E2596:E2627" si="213">"124"</f>
        <v>124</v>
      </c>
      <c r="F2596" t="str">
        <f>"202"</f>
        <v>202</v>
      </c>
    </row>
    <row r="2597" spans="1:6">
      <c r="A2597" t="str">
        <f>"E1235-348"</f>
        <v>E1235-348</v>
      </c>
      <c r="B2597" t="str">
        <f t="shared" si="212"/>
        <v>VIA FELICE MARITANO  95-</v>
      </c>
      <c r="C2597" t="str">
        <f t="shared" si="209"/>
        <v>RIV</v>
      </c>
      <c r="D2597">
        <v>27</v>
      </c>
      <c r="E2597" t="str">
        <f t="shared" si="213"/>
        <v>124</v>
      </c>
      <c r="F2597" t="str">
        <f>"217"</f>
        <v>217</v>
      </c>
    </row>
    <row r="2598" spans="1:6">
      <c r="A2598" t="str">
        <f>"E1235-349"</f>
        <v>E1235-349</v>
      </c>
      <c r="B2598" t="str">
        <f t="shared" si="212"/>
        <v>VIA FELICE MARITANO  95-</v>
      </c>
      <c r="C2598" t="str">
        <f t="shared" si="209"/>
        <v>RIV</v>
      </c>
      <c r="D2598">
        <v>27</v>
      </c>
      <c r="E2598" t="str">
        <f t="shared" si="213"/>
        <v>124</v>
      </c>
      <c r="F2598" t="str">
        <f>"227"</f>
        <v>227</v>
      </c>
    </row>
    <row r="2599" spans="1:6">
      <c r="A2599" t="str">
        <f>"E1235-350"</f>
        <v>E1235-350</v>
      </c>
      <c r="B2599" t="str">
        <f t="shared" si="212"/>
        <v>VIA FELICE MARITANO  95-</v>
      </c>
      <c r="C2599" t="str">
        <f t="shared" si="209"/>
        <v>RIV</v>
      </c>
      <c r="D2599">
        <v>27</v>
      </c>
      <c r="E2599" t="str">
        <f t="shared" si="213"/>
        <v>124</v>
      </c>
      <c r="F2599" t="str">
        <f>"218"</f>
        <v>218</v>
      </c>
    </row>
    <row r="2600" spans="1:6">
      <c r="A2600" t="str">
        <f>"E1235-351"</f>
        <v>E1235-351</v>
      </c>
      <c r="B2600" t="str">
        <f t="shared" si="212"/>
        <v>VIA FELICE MARITANO  95-</v>
      </c>
      <c r="C2600" t="str">
        <f t="shared" si="209"/>
        <v>RIV</v>
      </c>
      <c r="D2600">
        <v>27</v>
      </c>
      <c r="E2600" t="str">
        <f t="shared" si="213"/>
        <v>124</v>
      </c>
      <c r="F2600" t="str">
        <f>"219"</f>
        <v>219</v>
      </c>
    </row>
    <row r="2601" spans="1:6">
      <c r="A2601" t="str">
        <f>"E1235-352"</f>
        <v>E1235-352</v>
      </c>
      <c r="B2601" t="str">
        <f t="shared" si="212"/>
        <v>VIA FELICE MARITANO  95-</v>
      </c>
      <c r="C2601" t="str">
        <f t="shared" si="209"/>
        <v>RIV</v>
      </c>
      <c r="D2601">
        <v>27</v>
      </c>
      <c r="E2601" t="str">
        <f t="shared" si="213"/>
        <v>124</v>
      </c>
      <c r="F2601" t="str">
        <f>"228"</f>
        <v>228</v>
      </c>
    </row>
    <row r="2602" spans="1:6">
      <c r="A2602" t="str">
        <f>"E1235-353"</f>
        <v>E1235-353</v>
      </c>
      <c r="B2602" t="str">
        <f t="shared" si="212"/>
        <v>VIA FELICE MARITANO  95-</v>
      </c>
      <c r="C2602" t="str">
        <f t="shared" si="209"/>
        <v>RIV</v>
      </c>
      <c r="D2602">
        <v>27</v>
      </c>
      <c r="E2602" t="str">
        <f t="shared" si="213"/>
        <v>124</v>
      </c>
      <c r="F2602" t="str">
        <f>"220"</f>
        <v>220</v>
      </c>
    </row>
    <row r="2603" spans="1:6">
      <c r="A2603" t="str">
        <f>"E1235-354"</f>
        <v>E1235-354</v>
      </c>
      <c r="B2603" t="str">
        <f t="shared" si="212"/>
        <v>VIA FELICE MARITANO  95-</v>
      </c>
      <c r="C2603" t="str">
        <f t="shared" si="209"/>
        <v>RIV</v>
      </c>
      <c r="D2603">
        <v>27</v>
      </c>
      <c r="E2603" t="str">
        <f t="shared" si="213"/>
        <v>124</v>
      </c>
      <c r="F2603" t="str">
        <f>"221"</f>
        <v>221</v>
      </c>
    </row>
    <row r="2604" spans="1:6">
      <c r="A2604" t="str">
        <f>"E1235-355"</f>
        <v>E1235-355</v>
      </c>
      <c r="B2604" t="str">
        <f t="shared" si="212"/>
        <v>VIA FELICE MARITANO  95-</v>
      </c>
      <c r="C2604" t="str">
        <f t="shared" si="209"/>
        <v>RIV</v>
      </c>
      <c r="D2604">
        <v>27</v>
      </c>
      <c r="E2604" t="str">
        <f t="shared" si="213"/>
        <v>124</v>
      </c>
      <c r="F2604" t="str">
        <f>"229"</f>
        <v>229</v>
      </c>
    </row>
    <row r="2605" spans="1:6">
      <c r="A2605" t="str">
        <f>"E1235-356"</f>
        <v>E1235-356</v>
      </c>
      <c r="B2605" t="str">
        <f t="shared" si="212"/>
        <v>VIA FELICE MARITANO  95-</v>
      </c>
      <c r="C2605" t="str">
        <f t="shared" si="209"/>
        <v>RIV</v>
      </c>
      <c r="D2605">
        <v>27</v>
      </c>
      <c r="E2605" t="str">
        <f t="shared" si="213"/>
        <v>124</v>
      </c>
      <c r="F2605" t="str">
        <f>"222"</f>
        <v>222</v>
      </c>
    </row>
    <row r="2606" spans="1:6">
      <c r="A2606" t="str">
        <f>"E1235-357"</f>
        <v>E1235-357</v>
      </c>
      <c r="B2606" t="str">
        <f t="shared" si="212"/>
        <v>VIA FELICE MARITANO  95-</v>
      </c>
      <c r="C2606" t="str">
        <f t="shared" si="209"/>
        <v>RIV</v>
      </c>
      <c r="D2606">
        <v>27</v>
      </c>
      <c r="E2606" t="str">
        <f t="shared" si="213"/>
        <v>124</v>
      </c>
      <c r="F2606" t="str">
        <f>"241"</f>
        <v>241</v>
      </c>
    </row>
    <row r="2607" spans="1:6">
      <c r="A2607" t="str">
        <f>"E1235-358"</f>
        <v>E1235-358</v>
      </c>
      <c r="B2607" t="str">
        <f t="shared" si="212"/>
        <v>VIA FELICE MARITANO  95-</v>
      </c>
      <c r="C2607" t="str">
        <f t="shared" si="209"/>
        <v>RIV</v>
      </c>
      <c r="D2607">
        <v>27</v>
      </c>
      <c r="E2607" t="str">
        <f t="shared" si="213"/>
        <v>124</v>
      </c>
      <c r="F2607" t="str">
        <f>"240"</f>
        <v>240</v>
      </c>
    </row>
    <row r="2608" spans="1:6">
      <c r="A2608" t="str">
        <f>"E1235-359"</f>
        <v>E1235-359</v>
      </c>
      <c r="B2608" t="str">
        <f t="shared" si="212"/>
        <v>VIA FELICE MARITANO  95-</v>
      </c>
      <c r="C2608" t="str">
        <f t="shared" si="209"/>
        <v>RIV</v>
      </c>
      <c r="D2608">
        <v>27</v>
      </c>
      <c r="E2608" t="str">
        <f t="shared" si="213"/>
        <v>124</v>
      </c>
      <c r="F2608" t="str">
        <f>"239"</f>
        <v>239</v>
      </c>
    </row>
    <row r="2609" spans="1:6">
      <c r="A2609" t="str">
        <f>"E1235-360"</f>
        <v>E1235-360</v>
      </c>
      <c r="B2609" t="str">
        <f t="shared" si="212"/>
        <v>VIA FELICE MARITANO  95-</v>
      </c>
      <c r="C2609" t="str">
        <f t="shared" si="209"/>
        <v>RIV</v>
      </c>
      <c r="D2609">
        <v>27</v>
      </c>
      <c r="E2609" t="str">
        <f t="shared" si="213"/>
        <v>124</v>
      </c>
      <c r="F2609" t="str">
        <f>"238"</f>
        <v>238</v>
      </c>
    </row>
    <row r="2610" spans="1:6">
      <c r="A2610" t="str">
        <f>"E1235-361"</f>
        <v>E1235-361</v>
      </c>
      <c r="B2610" t="str">
        <f t="shared" si="212"/>
        <v>VIA FELICE MARITANO  95-</v>
      </c>
      <c r="C2610" t="str">
        <f t="shared" si="209"/>
        <v>RIV</v>
      </c>
      <c r="D2610">
        <v>27</v>
      </c>
      <c r="E2610" t="str">
        <f t="shared" si="213"/>
        <v>124</v>
      </c>
      <c r="F2610" t="str">
        <f>"237"</f>
        <v>237</v>
      </c>
    </row>
    <row r="2611" spans="1:6">
      <c r="A2611" t="str">
        <f>"E1235-362"</f>
        <v>E1235-362</v>
      </c>
      <c r="B2611" t="str">
        <f t="shared" si="212"/>
        <v>VIA FELICE MARITANO  95-</v>
      </c>
      <c r="C2611" t="str">
        <f t="shared" si="209"/>
        <v>RIV</v>
      </c>
      <c r="D2611">
        <v>27</v>
      </c>
      <c r="E2611" t="str">
        <f t="shared" si="213"/>
        <v>124</v>
      </c>
      <c r="F2611" t="str">
        <f>"236"</f>
        <v>236</v>
      </c>
    </row>
    <row r="2612" spans="1:6">
      <c r="A2612" t="str">
        <f>"E1235-363"</f>
        <v>E1235-363</v>
      </c>
      <c r="B2612" t="str">
        <f t="shared" si="212"/>
        <v>VIA FELICE MARITANO  95-</v>
      </c>
      <c r="C2612" t="str">
        <f t="shared" si="209"/>
        <v>RIV</v>
      </c>
      <c r="D2612">
        <v>27</v>
      </c>
      <c r="E2612" t="str">
        <f t="shared" si="213"/>
        <v>124</v>
      </c>
      <c r="F2612" t="str">
        <f>"216"</f>
        <v>216</v>
      </c>
    </row>
    <row r="2613" spans="1:6">
      <c r="A2613" t="str">
        <f>"E1235-364"</f>
        <v>E1235-364</v>
      </c>
      <c r="B2613" t="str">
        <f t="shared" ref="B2613:B2619" si="214">"VIA FELICE MARITANO  92-"</f>
        <v>VIA FELICE MARITANO  92-</v>
      </c>
      <c r="C2613" t="str">
        <f t="shared" si="209"/>
        <v>RIV</v>
      </c>
      <c r="D2613">
        <v>27</v>
      </c>
      <c r="E2613" t="str">
        <f t="shared" si="213"/>
        <v>124</v>
      </c>
      <c r="F2613" t="str">
        <f>"226"</f>
        <v>226</v>
      </c>
    </row>
    <row r="2614" spans="1:6">
      <c r="A2614" t="str">
        <f>"E1235-365"</f>
        <v>E1235-365</v>
      </c>
      <c r="B2614" t="str">
        <f t="shared" si="214"/>
        <v>VIA FELICE MARITANO  92-</v>
      </c>
      <c r="C2614" t="str">
        <f t="shared" si="209"/>
        <v>RIV</v>
      </c>
      <c r="D2614">
        <v>27</v>
      </c>
      <c r="E2614" t="str">
        <f t="shared" si="213"/>
        <v>124</v>
      </c>
      <c r="F2614" t="str">
        <f>"215"</f>
        <v>215</v>
      </c>
    </row>
    <row r="2615" spans="1:6">
      <c r="A2615" t="str">
        <f>"E1235-366"</f>
        <v>E1235-366</v>
      </c>
      <c r="B2615" t="str">
        <f t="shared" si="214"/>
        <v>VIA FELICE MARITANO  92-</v>
      </c>
      <c r="C2615" t="str">
        <f t="shared" ref="C2615:C2682" si="215">"RIV"</f>
        <v>RIV</v>
      </c>
      <c r="D2615">
        <v>27</v>
      </c>
      <c r="E2615" t="str">
        <f t="shared" si="213"/>
        <v>124</v>
      </c>
      <c r="F2615" t="str">
        <f>"214"</f>
        <v>214</v>
      </c>
    </row>
    <row r="2616" spans="1:6">
      <c r="A2616" t="str">
        <f>"E1235-367"</f>
        <v>E1235-367</v>
      </c>
      <c r="B2616" t="str">
        <f t="shared" si="214"/>
        <v>VIA FELICE MARITANO  92-</v>
      </c>
      <c r="C2616" t="str">
        <f t="shared" si="215"/>
        <v>RIV</v>
      </c>
      <c r="D2616">
        <v>27</v>
      </c>
      <c r="E2616" t="str">
        <f t="shared" si="213"/>
        <v>124</v>
      </c>
      <c r="F2616" t="str">
        <f>"225"</f>
        <v>225</v>
      </c>
    </row>
    <row r="2617" spans="1:6">
      <c r="A2617" t="str">
        <f>"E1235-368"</f>
        <v>E1235-368</v>
      </c>
      <c r="B2617" t="str">
        <f t="shared" si="214"/>
        <v>VIA FELICE MARITANO  92-</v>
      </c>
      <c r="C2617" t="str">
        <f t="shared" si="215"/>
        <v>RIV</v>
      </c>
      <c r="D2617">
        <v>27</v>
      </c>
      <c r="E2617" t="str">
        <f t="shared" si="213"/>
        <v>124</v>
      </c>
      <c r="F2617" t="str">
        <f>"213"</f>
        <v>213</v>
      </c>
    </row>
    <row r="2618" spans="1:6">
      <c r="A2618" t="str">
        <f>"E1235-369"</f>
        <v>E1235-369</v>
      </c>
      <c r="B2618" t="str">
        <f t="shared" si="214"/>
        <v>VIA FELICE MARITANO  92-</v>
      </c>
      <c r="C2618" t="str">
        <f t="shared" si="215"/>
        <v>RIV</v>
      </c>
      <c r="D2618">
        <v>27</v>
      </c>
      <c r="E2618" t="str">
        <f t="shared" si="213"/>
        <v>124</v>
      </c>
      <c r="F2618" t="str">
        <f>"212"</f>
        <v>212</v>
      </c>
    </row>
    <row r="2619" spans="1:6">
      <c r="A2619" t="str">
        <f>"E1235-370"</f>
        <v>E1235-370</v>
      </c>
      <c r="B2619" t="str">
        <f t="shared" si="214"/>
        <v>VIA FELICE MARITANO  92-</v>
      </c>
      <c r="C2619" t="str">
        <f t="shared" si="215"/>
        <v>RIV</v>
      </c>
      <c r="D2619">
        <v>27</v>
      </c>
      <c r="E2619" t="str">
        <f t="shared" si="213"/>
        <v>124</v>
      </c>
      <c r="F2619" t="str">
        <f>"224"</f>
        <v>224</v>
      </c>
    </row>
    <row r="2620" spans="1:6">
      <c r="A2620" t="str">
        <f>"E1235-371"</f>
        <v>E1235-371</v>
      </c>
      <c r="B2620" t="str">
        <f>"VIA FELICE MARITANO  95-"</f>
        <v>VIA FELICE MARITANO  95-</v>
      </c>
      <c r="C2620" t="str">
        <f t="shared" si="215"/>
        <v>RIV</v>
      </c>
      <c r="D2620">
        <v>27</v>
      </c>
      <c r="E2620" t="str">
        <f t="shared" si="213"/>
        <v>124</v>
      </c>
      <c r="F2620" t="str">
        <f>"211"</f>
        <v>211</v>
      </c>
    </row>
    <row r="2621" spans="1:6">
      <c r="A2621" t="str">
        <f>"E1235-372"</f>
        <v>E1235-372</v>
      </c>
      <c r="B2621" t="str">
        <f>"VIA FELICE MARITANO  95-"</f>
        <v>VIA FELICE MARITANO  95-</v>
      </c>
      <c r="C2621" t="str">
        <f t="shared" si="215"/>
        <v>RIV</v>
      </c>
      <c r="D2621">
        <v>27</v>
      </c>
      <c r="E2621" t="str">
        <f t="shared" si="213"/>
        <v>124</v>
      </c>
      <c r="F2621" t="str">
        <f>"230"</f>
        <v>230</v>
      </c>
    </row>
    <row r="2622" spans="1:6">
      <c r="A2622" t="str">
        <f>"E1235-373"</f>
        <v>E1235-373</v>
      </c>
      <c r="B2622" t="str">
        <f>"VIA FELICE MARITANO  92-"</f>
        <v>VIA FELICE MARITANO  92-</v>
      </c>
      <c r="C2622" t="str">
        <f t="shared" si="215"/>
        <v>RIV</v>
      </c>
      <c r="D2622">
        <v>27</v>
      </c>
      <c r="E2622" t="str">
        <f t="shared" si="213"/>
        <v>124</v>
      </c>
      <c r="F2622" t="str">
        <f>"231"</f>
        <v>231</v>
      </c>
    </row>
    <row r="2623" spans="1:6">
      <c r="A2623" t="str">
        <f>"E1235-374"</f>
        <v>E1235-374</v>
      </c>
      <c r="B2623" t="str">
        <f>"VIA FELICE MARITANO  92-"</f>
        <v>VIA FELICE MARITANO  92-</v>
      </c>
      <c r="C2623" t="str">
        <f t="shared" si="215"/>
        <v>RIV</v>
      </c>
      <c r="D2623">
        <v>27</v>
      </c>
      <c r="E2623" t="str">
        <f t="shared" si="213"/>
        <v>124</v>
      </c>
      <c r="F2623" t="str">
        <f>"232"</f>
        <v>232</v>
      </c>
    </row>
    <row r="2624" spans="1:6">
      <c r="A2624" t="str">
        <f>"E1235-375"</f>
        <v>E1235-375</v>
      </c>
      <c r="B2624" t="str">
        <f>"VIA FELICE MARITANO  92-"</f>
        <v>VIA FELICE MARITANO  92-</v>
      </c>
      <c r="C2624" t="str">
        <f t="shared" si="215"/>
        <v>RIV</v>
      </c>
      <c r="D2624">
        <v>27</v>
      </c>
      <c r="E2624" t="str">
        <f t="shared" si="213"/>
        <v>124</v>
      </c>
      <c r="F2624" t="str">
        <f>"233"</f>
        <v>233</v>
      </c>
    </row>
    <row r="2625" spans="1:6">
      <c r="A2625" t="str">
        <f>"E1235-376"</f>
        <v>E1235-376</v>
      </c>
      <c r="B2625" t="str">
        <f>"VIA FELICE MARITANO  92-"</f>
        <v>VIA FELICE MARITANO  92-</v>
      </c>
      <c r="C2625" t="str">
        <f t="shared" si="215"/>
        <v>RIV</v>
      </c>
      <c r="D2625">
        <v>27</v>
      </c>
      <c r="E2625" t="str">
        <f t="shared" si="213"/>
        <v>124</v>
      </c>
      <c r="F2625" t="str">
        <f>"234"</f>
        <v>234</v>
      </c>
    </row>
    <row r="2626" spans="1:6">
      <c r="A2626" t="str">
        <f>"E1235-377"</f>
        <v>E1235-377</v>
      </c>
      <c r="B2626" t="str">
        <f t="shared" ref="B2626:B2647" si="216">"VIA FELICE MARITANO  95-"</f>
        <v>VIA FELICE MARITANO  95-</v>
      </c>
      <c r="C2626" t="str">
        <f t="shared" si="215"/>
        <v>RIV</v>
      </c>
      <c r="D2626">
        <v>27</v>
      </c>
      <c r="E2626" t="str">
        <f t="shared" si="213"/>
        <v>124</v>
      </c>
      <c r="F2626" t="str">
        <f>"235"</f>
        <v>235</v>
      </c>
    </row>
    <row r="2627" spans="1:6">
      <c r="A2627" t="str">
        <f>"E1235-378"</f>
        <v>E1235-378</v>
      </c>
      <c r="B2627" t="str">
        <f t="shared" si="216"/>
        <v>VIA FELICE MARITANO  95-</v>
      </c>
      <c r="C2627" t="str">
        <f t="shared" si="215"/>
        <v>RIV</v>
      </c>
      <c r="D2627">
        <v>27</v>
      </c>
      <c r="E2627" t="str">
        <f t="shared" si="213"/>
        <v>124</v>
      </c>
      <c r="F2627" t="str">
        <f>"242"</f>
        <v>242</v>
      </c>
    </row>
    <row r="2628" spans="1:6">
      <c r="A2628" t="str">
        <f>"E1235-379"</f>
        <v>E1235-379</v>
      </c>
      <c r="B2628" t="str">
        <f t="shared" si="216"/>
        <v>VIA FELICE MARITANO  95-</v>
      </c>
      <c r="C2628" t="str">
        <f t="shared" si="215"/>
        <v>RIV</v>
      </c>
      <c r="D2628">
        <v>27</v>
      </c>
      <c r="E2628" t="str">
        <f t="shared" ref="E2628:E2659" si="217">"124"</f>
        <v>124</v>
      </c>
      <c r="F2628" t="str">
        <f>"249"</f>
        <v>249</v>
      </c>
    </row>
    <row r="2629" spans="1:6">
      <c r="A2629" t="str">
        <f>"E1235-380"</f>
        <v>E1235-380</v>
      </c>
      <c r="B2629" t="str">
        <f t="shared" si="216"/>
        <v>VIA FELICE MARITANO  95-</v>
      </c>
      <c r="C2629" t="str">
        <f t="shared" si="215"/>
        <v>RIV</v>
      </c>
      <c r="D2629">
        <v>27</v>
      </c>
      <c r="E2629" t="str">
        <f t="shared" si="217"/>
        <v>124</v>
      </c>
      <c r="F2629" t="str">
        <f>"248"</f>
        <v>248</v>
      </c>
    </row>
    <row r="2630" spans="1:6">
      <c r="A2630" t="str">
        <f>"E1235-381"</f>
        <v>E1235-381</v>
      </c>
      <c r="B2630" t="str">
        <f t="shared" si="216"/>
        <v>VIA FELICE MARITANO  95-</v>
      </c>
      <c r="C2630" t="str">
        <f t="shared" si="215"/>
        <v>RIV</v>
      </c>
      <c r="D2630">
        <v>27</v>
      </c>
      <c r="E2630" t="str">
        <f t="shared" si="217"/>
        <v>124</v>
      </c>
      <c r="F2630" t="str">
        <f>"262"</f>
        <v>262</v>
      </c>
    </row>
    <row r="2631" spans="1:6">
      <c r="A2631" t="str">
        <f>"E1235-382"</f>
        <v>E1235-382</v>
      </c>
      <c r="B2631" t="str">
        <f t="shared" si="216"/>
        <v>VIA FELICE MARITANO  95-</v>
      </c>
      <c r="C2631" t="str">
        <f t="shared" si="215"/>
        <v>RIV</v>
      </c>
      <c r="D2631">
        <v>27</v>
      </c>
      <c r="E2631" t="str">
        <f t="shared" si="217"/>
        <v>124</v>
      </c>
      <c r="F2631" t="str">
        <f>"263"</f>
        <v>263</v>
      </c>
    </row>
    <row r="2632" spans="1:6">
      <c r="A2632" t="str">
        <f>"E1235-383"</f>
        <v>E1235-383</v>
      </c>
      <c r="B2632" t="str">
        <f t="shared" si="216"/>
        <v>VIA FELICE MARITANO  95-</v>
      </c>
      <c r="C2632" t="str">
        <f t="shared" si="215"/>
        <v>RIV</v>
      </c>
      <c r="D2632">
        <v>27</v>
      </c>
      <c r="E2632" t="str">
        <f t="shared" si="217"/>
        <v>124</v>
      </c>
      <c r="F2632" t="str">
        <f>"264"</f>
        <v>264</v>
      </c>
    </row>
    <row r="2633" spans="1:6">
      <c r="A2633" t="str">
        <f>"E1235-384"</f>
        <v>E1235-384</v>
      </c>
      <c r="B2633" t="str">
        <f t="shared" si="216"/>
        <v>VIA FELICE MARITANO  95-</v>
      </c>
      <c r="C2633" t="str">
        <f t="shared" si="215"/>
        <v>RIV</v>
      </c>
      <c r="D2633">
        <v>27</v>
      </c>
      <c r="E2633" t="str">
        <f t="shared" si="217"/>
        <v>124</v>
      </c>
      <c r="F2633" t="str">
        <f>"251"</f>
        <v>251</v>
      </c>
    </row>
    <row r="2634" spans="1:6">
      <c r="A2634" t="str">
        <f>"E1235-385"</f>
        <v>E1235-385</v>
      </c>
      <c r="B2634" t="str">
        <f t="shared" si="216"/>
        <v>VIA FELICE MARITANO  95-</v>
      </c>
      <c r="C2634" t="str">
        <f t="shared" si="215"/>
        <v>RIV</v>
      </c>
      <c r="D2634">
        <v>27</v>
      </c>
      <c r="E2634" t="str">
        <f t="shared" si="217"/>
        <v>124</v>
      </c>
      <c r="F2634" t="str">
        <f>"250"</f>
        <v>250</v>
      </c>
    </row>
    <row r="2635" spans="1:6">
      <c r="A2635" t="str">
        <f>"E1235-386"</f>
        <v>E1235-386</v>
      </c>
      <c r="B2635" t="str">
        <f t="shared" si="216"/>
        <v>VIA FELICE MARITANO  95-</v>
      </c>
      <c r="C2635" t="str">
        <f t="shared" si="215"/>
        <v>RIV</v>
      </c>
      <c r="D2635">
        <v>27</v>
      </c>
      <c r="E2635" t="str">
        <f t="shared" si="217"/>
        <v>124</v>
      </c>
      <c r="F2635" t="str">
        <f>"277"</f>
        <v>277</v>
      </c>
    </row>
    <row r="2636" spans="1:6">
      <c r="A2636" t="str">
        <f>"E1235-387"</f>
        <v>E1235-387</v>
      </c>
      <c r="B2636" t="str">
        <f t="shared" si="216"/>
        <v>VIA FELICE MARITANO  95-</v>
      </c>
      <c r="C2636" t="str">
        <f t="shared" si="215"/>
        <v>RIV</v>
      </c>
      <c r="D2636">
        <v>27</v>
      </c>
      <c r="E2636" t="str">
        <f t="shared" si="217"/>
        <v>124</v>
      </c>
      <c r="F2636" t="str">
        <f>"276"</f>
        <v>276</v>
      </c>
    </row>
    <row r="2637" spans="1:6">
      <c r="A2637" t="str">
        <f>"E1235-388"</f>
        <v>E1235-388</v>
      </c>
      <c r="B2637" t="str">
        <f t="shared" si="216"/>
        <v>VIA FELICE MARITANO  95-</v>
      </c>
      <c r="C2637" t="str">
        <f t="shared" si="215"/>
        <v>RIV</v>
      </c>
      <c r="D2637">
        <v>27</v>
      </c>
      <c r="E2637" t="str">
        <f t="shared" si="217"/>
        <v>124</v>
      </c>
      <c r="F2637" t="str">
        <f>"265"</f>
        <v>265</v>
      </c>
    </row>
    <row r="2638" spans="1:6">
      <c r="A2638" t="str">
        <f>"E1235-389"</f>
        <v>E1235-389</v>
      </c>
      <c r="B2638" t="str">
        <f t="shared" si="216"/>
        <v>VIA FELICE MARITANO  95-</v>
      </c>
      <c r="C2638" t="str">
        <f t="shared" si="215"/>
        <v>RIV</v>
      </c>
      <c r="D2638">
        <v>27</v>
      </c>
      <c r="E2638" t="str">
        <f t="shared" si="217"/>
        <v>124</v>
      </c>
      <c r="F2638" t="str">
        <f>"266"</f>
        <v>266</v>
      </c>
    </row>
    <row r="2639" spans="1:6">
      <c r="A2639" t="str">
        <f>"E1235-390"</f>
        <v>E1235-390</v>
      </c>
      <c r="B2639" t="str">
        <f t="shared" si="216"/>
        <v>VIA FELICE MARITANO  95-</v>
      </c>
      <c r="C2639" t="str">
        <f t="shared" si="215"/>
        <v>RIV</v>
      </c>
      <c r="D2639">
        <v>27</v>
      </c>
      <c r="E2639" t="str">
        <f t="shared" si="217"/>
        <v>124</v>
      </c>
      <c r="F2639" t="str">
        <f>"253"</f>
        <v>253</v>
      </c>
    </row>
    <row r="2640" spans="1:6">
      <c r="A2640" t="str">
        <f>"E1235-391"</f>
        <v>E1235-391</v>
      </c>
      <c r="B2640" t="str">
        <f t="shared" si="216"/>
        <v>VIA FELICE MARITANO  95-</v>
      </c>
      <c r="C2640" t="str">
        <f t="shared" si="215"/>
        <v>RIV</v>
      </c>
      <c r="D2640">
        <v>27</v>
      </c>
      <c r="E2640" t="str">
        <f t="shared" si="217"/>
        <v>124</v>
      </c>
      <c r="F2640" t="str">
        <f>"252"</f>
        <v>252</v>
      </c>
    </row>
    <row r="2641" spans="1:6">
      <c r="A2641" t="str">
        <f>"E1235-392"</f>
        <v>E1235-392</v>
      </c>
      <c r="B2641" t="str">
        <f t="shared" si="216"/>
        <v>VIA FELICE MARITANO  95-</v>
      </c>
      <c r="C2641" t="str">
        <f t="shared" si="215"/>
        <v>RIV</v>
      </c>
      <c r="D2641">
        <v>27</v>
      </c>
      <c r="E2641" t="str">
        <f t="shared" si="217"/>
        <v>124</v>
      </c>
      <c r="F2641" t="str">
        <f>"279"</f>
        <v>279</v>
      </c>
    </row>
    <row r="2642" spans="1:6">
      <c r="A2642" t="str">
        <f>"E1235-393"</f>
        <v>E1235-393</v>
      </c>
      <c r="B2642" t="str">
        <f t="shared" si="216"/>
        <v>VIA FELICE MARITANO  95-</v>
      </c>
      <c r="C2642" t="str">
        <f t="shared" si="215"/>
        <v>RIV</v>
      </c>
      <c r="D2642">
        <v>27</v>
      </c>
      <c r="E2642" t="str">
        <f t="shared" si="217"/>
        <v>124</v>
      </c>
      <c r="F2642" t="str">
        <f>"278"</f>
        <v>278</v>
      </c>
    </row>
    <row r="2643" spans="1:6">
      <c r="A2643" t="str">
        <f>"E1235-394"</f>
        <v>E1235-394</v>
      </c>
      <c r="B2643" t="str">
        <f t="shared" si="216"/>
        <v>VIA FELICE MARITANO  95-</v>
      </c>
      <c r="C2643" t="str">
        <f t="shared" si="215"/>
        <v>RIV</v>
      </c>
      <c r="D2643">
        <v>27</v>
      </c>
      <c r="E2643" t="str">
        <f t="shared" si="217"/>
        <v>124</v>
      </c>
      <c r="F2643" t="str">
        <f>"267"</f>
        <v>267</v>
      </c>
    </row>
    <row r="2644" spans="1:6">
      <c r="A2644" t="str">
        <f>"E1235-395"</f>
        <v>E1235-395</v>
      </c>
      <c r="B2644" t="str">
        <f t="shared" si="216"/>
        <v>VIA FELICE MARITANO  95-</v>
      </c>
      <c r="C2644" t="str">
        <f t="shared" si="215"/>
        <v>RIV</v>
      </c>
      <c r="D2644">
        <v>27</v>
      </c>
      <c r="E2644" t="str">
        <f t="shared" si="217"/>
        <v>124</v>
      </c>
      <c r="F2644" t="str">
        <f>"254"</f>
        <v>254</v>
      </c>
    </row>
    <row r="2645" spans="1:6">
      <c r="A2645" t="str">
        <f>"E1235-396"</f>
        <v>E1235-396</v>
      </c>
      <c r="B2645" t="str">
        <f t="shared" si="216"/>
        <v>VIA FELICE MARITANO  95-</v>
      </c>
      <c r="C2645" t="str">
        <f t="shared" si="215"/>
        <v>RIV</v>
      </c>
      <c r="D2645">
        <v>27</v>
      </c>
      <c r="E2645" t="str">
        <f t="shared" si="217"/>
        <v>124</v>
      </c>
      <c r="F2645" t="str">
        <f>"280"</f>
        <v>280</v>
      </c>
    </row>
    <row r="2646" spans="1:6">
      <c r="A2646" t="str">
        <f>"E1235-397"</f>
        <v>E1235-397</v>
      </c>
      <c r="B2646" t="str">
        <f t="shared" si="216"/>
        <v>VIA FELICE MARITANO  95-</v>
      </c>
      <c r="C2646" t="str">
        <f t="shared" si="215"/>
        <v>RIV</v>
      </c>
      <c r="D2646">
        <v>27</v>
      </c>
      <c r="E2646" t="str">
        <f t="shared" si="217"/>
        <v>124</v>
      </c>
      <c r="F2646" t="str">
        <f>"261"</f>
        <v>261</v>
      </c>
    </row>
    <row r="2647" spans="1:6">
      <c r="A2647" t="str">
        <f>"E1235-398"</f>
        <v>E1235-398</v>
      </c>
      <c r="B2647" t="str">
        <f t="shared" si="216"/>
        <v>VIA FELICE MARITANO  95-</v>
      </c>
      <c r="C2647" t="str">
        <f t="shared" si="215"/>
        <v>RIV</v>
      </c>
      <c r="D2647">
        <v>27</v>
      </c>
      <c r="E2647" t="str">
        <f t="shared" si="217"/>
        <v>124</v>
      </c>
      <c r="F2647" t="str">
        <f>"260"</f>
        <v>260</v>
      </c>
    </row>
    <row r="2648" spans="1:6">
      <c r="A2648" t="str">
        <f>"E1235-399"</f>
        <v>E1235-399</v>
      </c>
      <c r="B2648" t="str">
        <f t="shared" ref="B2648:B2653" si="218">"VIA FELICE MARITANO  92-"</f>
        <v>VIA FELICE MARITANO  92-</v>
      </c>
      <c r="C2648" t="str">
        <f t="shared" si="215"/>
        <v>RIV</v>
      </c>
      <c r="D2648">
        <v>27</v>
      </c>
      <c r="E2648" t="str">
        <f t="shared" si="217"/>
        <v>124</v>
      </c>
      <c r="F2648" t="str">
        <f>"259"</f>
        <v>259</v>
      </c>
    </row>
    <row r="2649" spans="1:6">
      <c r="A2649" t="str">
        <f>"E1235-400"</f>
        <v>E1235-400</v>
      </c>
      <c r="B2649" t="str">
        <f t="shared" si="218"/>
        <v>VIA FELICE MARITANO  92-</v>
      </c>
      <c r="C2649" t="str">
        <f t="shared" si="215"/>
        <v>RIV</v>
      </c>
      <c r="D2649">
        <v>27</v>
      </c>
      <c r="E2649" t="str">
        <f t="shared" si="217"/>
        <v>124</v>
      </c>
      <c r="F2649" t="str">
        <f>"258"</f>
        <v>258</v>
      </c>
    </row>
    <row r="2650" spans="1:6">
      <c r="A2650" t="str">
        <f>"E1235-401"</f>
        <v>E1235-401</v>
      </c>
      <c r="B2650" t="str">
        <f t="shared" si="218"/>
        <v>VIA FELICE MARITANO  92-</v>
      </c>
      <c r="C2650" t="str">
        <f t="shared" si="215"/>
        <v>RIV</v>
      </c>
      <c r="D2650">
        <v>27</v>
      </c>
      <c r="E2650" t="str">
        <f t="shared" si="217"/>
        <v>124</v>
      </c>
      <c r="F2650" t="str">
        <f>"247"</f>
        <v>247</v>
      </c>
    </row>
    <row r="2651" spans="1:6">
      <c r="A2651" t="str">
        <f>"E1235-402"</f>
        <v>E1235-402</v>
      </c>
      <c r="B2651" t="str">
        <f t="shared" si="218"/>
        <v>VIA FELICE MARITANO  92-</v>
      </c>
      <c r="C2651" t="str">
        <f t="shared" si="215"/>
        <v>RIV</v>
      </c>
      <c r="D2651">
        <v>27</v>
      </c>
      <c r="E2651" t="str">
        <f t="shared" si="217"/>
        <v>124</v>
      </c>
      <c r="F2651" t="str">
        <f>"246"</f>
        <v>246</v>
      </c>
    </row>
    <row r="2652" spans="1:6">
      <c r="A2652" t="str">
        <f>"E1235-403"</f>
        <v>E1235-403</v>
      </c>
      <c r="B2652" t="str">
        <f t="shared" si="218"/>
        <v>VIA FELICE MARITANO  92-</v>
      </c>
      <c r="C2652" t="str">
        <f t="shared" si="215"/>
        <v>RIV</v>
      </c>
      <c r="D2652">
        <v>27</v>
      </c>
      <c r="E2652" t="str">
        <f t="shared" si="217"/>
        <v>124</v>
      </c>
      <c r="F2652" t="str">
        <f>"272"</f>
        <v>272</v>
      </c>
    </row>
    <row r="2653" spans="1:6">
      <c r="A2653" t="str">
        <f>"E1235-404"</f>
        <v>E1235-404</v>
      </c>
      <c r="B2653" t="str">
        <f t="shared" si="218"/>
        <v>VIA FELICE MARITANO  92-</v>
      </c>
      <c r="C2653" t="str">
        <f t="shared" si="215"/>
        <v>RIV</v>
      </c>
      <c r="D2653">
        <v>27</v>
      </c>
      <c r="E2653" t="str">
        <f t="shared" si="217"/>
        <v>124</v>
      </c>
      <c r="F2653" t="str">
        <f>"271"</f>
        <v>271</v>
      </c>
    </row>
    <row r="2654" spans="1:6">
      <c r="A2654" t="str">
        <f>"E1235-405"</f>
        <v>E1235-405</v>
      </c>
      <c r="B2654" t="str">
        <f t="shared" ref="B2654:B2680" si="219">"VIA FELICE MARITANO  95-"</f>
        <v>VIA FELICE MARITANO  95-</v>
      </c>
      <c r="C2654" t="str">
        <f t="shared" si="215"/>
        <v>RIV</v>
      </c>
      <c r="D2654">
        <v>27</v>
      </c>
      <c r="E2654" t="str">
        <f t="shared" si="217"/>
        <v>124</v>
      </c>
      <c r="F2654" t="str">
        <f>"275"</f>
        <v>275</v>
      </c>
    </row>
    <row r="2655" spans="1:6">
      <c r="A2655" t="str">
        <f>"E1235-406"</f>
        <v>E1235-406</v>
      </c>
      <c r="B2655" t="str">
        <f t="shared" si="219"/>
        <v>VIA FELICE MARITANO  95-</v>
      </c>
      <c r="C2655" t="str">
        <f t="shared" si="215"/>
        <v>RIV</v>
      </c>
      <c r="D2655">
        <v>27</v>
      </c>
      <c r="E2655" t="str">
        <f t="shared" si="217"/>
        <v>124</v>
      </c>
      <c r="F2655" t="str">
        <f>"274"</f>
        <v>274</v>
      </c>
    </row>
    <row r="2656" spans="1:6">
      <c r="A2656" t="str">
        <f>"E1235-407"</f>
        <v>E1235-407</v>
      </c>
      <c r="B2656" t="str">
        <f t="shared" si="219"/>
        <v>VIA FELICE MARITANO  95-</v>
      </c>
      <c r="C2656" t="str">
        <f t="shared" si="215"/>
        <v>RIV</v>
      </c>
      <c r="D2656">
        <v>27</v>
      </c>
      <c r="E2656" t="str">
        <f t="shared" si="217"/>
        <v>124</v>
      </c>
      <c r="F2656" t="str">
        <f>"273"</f>
        <v>273</v>
      </c>
    </row>
    <row r="2657" spans="1:6">
      <c r="A2657" t="str">
        <f>"E1235-408"</f>
        <v>E1235-408</v>
      </c>
      <c r="B2657" t="str">
        <f t="shared" si="219"/>
        <v>VIA FELICE MARITANO  95-</v>
      </c>
      <c r="C2657" t="str">
        <f t="shared" si="215"/>
        <v>RIV</v>
      </c>
      <c r="D2657">
        <v>27</v>
      </c>
      <c r="E2657" t="str">
        <f t="shared" si="217"/>
        <v>124</v>
      </c>
      <c r="F2657" t="str">
        <f>"411"</f>
        <v>411</v>
      </c>
    </row>
    <row r="2658" spans="1:6">
      <c r="A2658" t="str">
        <f>"E1235-409"</f>
        <v>E1235-409</v>
      </c>
      <c r="B2658" t="str">
        <f t="shared" si="219"/>
        <v>VIA FELICE MARITANO  95-</v>
      </c>
      <c r="C2658" t="str">
        <f t="shared" si="215"/>
        <v>RIV</v>
      </c>
      <c r="D2658">
        <v>27</v>
      </c>
      <c r="E2658" t="str">
        <f t="shared" si="217"/>
        <v>124</v>
      </c>
      <c r="F2658" t="str">
        <f>"412"</f>
        <v>412</v>
      </c>
    </row>
    <row r="2659" spans="1:6">
      <c r="A2659" t="str">
        <f>"E1235-410"</f>
        <v>E1235-410</v>
      </c>
      <c r="B2659" t="str">
        <f t="shared" si="219"/>
        <v>VIA FELICE MARITANO  95-</v>
      </c>
      <c r="C2659" t="str">
        <f t="shared" si="215"/>
        <v>RIV</v>
      </c>
      <c r="D2659">
        <v>27</v>
      </c>
      <c r="E2659" t="str">
        <f t="shared" si="217"/>
        <v>124</v>
      </c>
      <c r="F2659" t="str">
        <f>"413"</f>
        <v>413</v>
      </c>
    </row>
    <row r="2660" spans="1:6">
      <c r="A2660" t="str">
        <f>"E1235-411"</f>
        <v>E1235-411</v>
      </c>
      <c r="B2660" t="str">
        <f t="shared" si="219"/>
        <v>VIA FELICE MARITANO  95-</v>
      </c>
      <c r="C2660" t="str">
        <f t="shared" si="215"/>
        <v>RIV</v>
      </c>
      <c r="D2660">
        <v>27</v>
      </c>
      <c r="E2660" t="str">
        <f t="shared" ref="E2660:E2683" si="220">"124"</f>
        <v>124</v>
      </c>
      <c r="F2660" t="str">
        <f>"414"</f>
        <v>414</v>
      </c>
    </row>
    <row r="2661" spans="1:6">
      <c r="A2661" t="str">
        <f>"E1235-412"</f>
        <v>E1235-412</v>
      </c>
      <c r="B2661" t="str">
        <f t="shared" si="219"/>
        <v>VIA FELICE MARITANO  95-</v>
      </c>
      <c r="C2661" t="str">
        <f t="shared" si="215"/>
        <v>RIV</v>
      </c>
      <c r="D2661">
        <v>27</v>
      </c>
      <c r="E2661" t="str">
        <f t="shared" si="220"/>
        <v>124</v>
      </c>
      <c r="F2661" t="str">
        <f>"415"</f>
        <v>415</v>
      </c>
    </row>
    <row r="2662" spans="1:6">
      <c r="A2662" t="str">
        <f>"E1235-413"</f>
        <v>E1235-413</v>
      </c>
      <c r="B2662" t="str">
        <f t="shared" si="219"/>
        <v>VIA FELICE MARITANO  95-</v>
      </c>
      <c r="C2662" t="str">
        <f t="shared" si="215"/>
        <v>RIV</v>
      </c>
      <c r="D2662">
        <v>27</v>
      </c>
      <c r="E2662" t="str">
        <f t="shared" si="220"/>
        <v>124</v>
      </c>
      <c r="F2662" t="str">
        <f>"416"</f>
        <v>416</v>
      </c>
    </row>
    <row r="2663" spans="1:6">
      <c r="A2663" t="str">
        <f>"E1235-414"</f>
        <v>E1235-414</v>
      </c>
      <c r="B2663" t="str">
        <f t="shared" si="219"/>
        <v>VIA FELICE MARITANO  95-</v>
      </c>
      <c r="C2663" t="str">
        <f t="shared" si="215"/>
        <v>RIV</v>
      </c>
      <c r="D2663">
        <v>27</v>
      </c>
      <c r="E2663" t="str">
        <f t="shared" si="220"/>
        <v>124</v>
      </c>
      <c r="F2663" t="str">
        <f>"417"</f>
        <v>417</v>
      </c>
    </row>
    <row r="2664" spans="1:6">
      <c r="A2664" t="str">
        <f>"E1235-415"</f>
        <v>E1235-415</v>
      </c>
      <c r="B2664" t="str">
        <f t="shared" si="219"/>
        <v>VIA FELICE MARITANO  95-</v>
      </c>
      <c r="C2664" t="str">
        <f t="shared" si="215"/>
        <v>RIV</v>
      </c>
      <c r="D2664">
        <v>27</v>
      </c>
      <c r="E2664" t="str">
        <f t="shared" si="220"/>
        <v>124</v>
      </c>
      <c r="F2664" t="str">
        <f>"418"</f>
        <v>418</v>
      </c>
    </row>
    <row r="2665" spans="1:6">
      <c r="A2665" t="str">
        <f>"E1235-416"</f>
        <v>E1235-416</v>
      </c>
      <c r="B2665" t="str">
        <f t="shared" si="219"/>
        <v>VIA FELICE MARITANO  95-</v>
      </c>
      <c r="C2665" t="str">
        <f t="shared" si="215"/>
        <v>RIV</v>
      </c>
      <c r="D2665">
        <v>27</v>
      </c>
      <c r="E2665" t="str">
        <f t="shared" si="220"/>
        <v>124</v>
      </c>
      <c r="F2665" t="str">
        <f>"421"</f>
        <v>421</v>
      </c>
    </row>
    <row r="2666" spans="1:6">
      <c r="A2666" t="str">
        <f>"E1235-417"</f>
        <v>E1235-417</v>
      </c>
      <c r="B2666" t="str">
        <f t="shared" si="219"/>
        <v>VIA FELICE MARITANO  95-</v>
      </c>
      <c r="C2666" t="str">
        <f t="shared" si="215"/>
        <v>RIV</v>
      </c>
      <c r="D2666">
        <v>27</v>
      </c>
      <c r="E2666" t="str">
        <f t="shared" si="220"/>
        <v>124</v>
      </c>
      <c r="F2666" t="str">
        <f>"422"</f>
        <v>422</v>
      </c>
    </row>
    <row r="2667" spans="1:6">
      <c r="A2667" t="str">
        <f>"E1235-418"</f>
        <v>E1235-418</v>
      </c>
      <c r="B2667" t="str">
        <f t="shared" si="219"/>
        <v>VIA FELICE MARITANO  95-</v>
      </c>
      <c r="C2667" t="str">
        <f t="shared" si="215"/>
        <v>RIV</v>
      </c>
      <c r="D2667">
        <v>27</v>
      </c>
      <c r="E2667" t="str">
        <f t="shared" si="220"/>
        <v>124</v>
      </c>
      <c r="F2667" t="str">
        <f>"423"</f>
        <v>423</v>
      </c>
    </row>
    <row r="2668" spans="1:6">
      <c r="A2668" t="str">
        <f>"E1235-419"</f>
        <v>E1235-419</v>
      </c>
      <c r="B2668" t="str">
        <f t="shared" si="219"/>
        <v>VIA FELICE MARITANO  95-</v>
      </c>
      <c r="C2668" t="str">
        <f t="shared" si="215"/>
        <v>RIV</v>
      </c>
      <c r="D2668">
        <v>27</v>
      </c>
      <c r="E2668" t="str">
        <f t="shared" si="220"/>
        <v>124</v>
      </c>
      <c r="F2668" t="str">
        <f>"424"</f>
        <v>424</v>
      </c>
    </row>
    <row r="2669" spans="1:6">
      <c r="A2669" t="str">
        <f>"E1235-420"</f>
        <v>E1235-420</v>
      </c>
      <c r="B2669" t="str">
        <f t="shared" si="219"/>
        <v>VIA FELICE MARITANO  95-</v>
      </c>
      <c r="C2669" t="str">
        <f t="shared" si="215"/>
        <v>RIV</v>
      </c>
      <c r="D2669">
        <v>27</v>
      </c>
      <c r="E2669" t="str">
        <f t="shared" si="220"/>
        <v>124</v>
      </c>
      <c r="F2669" t="str">
        <f>"425"</f>
        <v>425</v>
      </c>
    </row>
    <row r="2670" spans="1:6">
      <c r="A2670" t="str">
        <f>"E1235-421"</f>
        <v>E1235-421</v>
      </c>
      <c r="B2670" t="str">
        <f t="shared" si="219"/>
        <v>VIA FELICE MARITANO  95-</v>
      </c>
      <c r="C2670" t="str">
        <f t="shared" si="215"/>
        <v>RIV</v>
      </c>
      <c r="D2670">
        <v>27</v>
      </c>
      <c r="E2670" t="str">
        <f t="shared" si="220"/>
        <v>124</v>
      </c>
      <c r="F2670" t="str">
        <f>"426"</f>
        <v>426</v>
      </c>
    </row>
    <row r="2671" spans="1:6">
      <c r="A2671" t="str">
        <f>"E1235-422"</f>
        <v>E1235-422</v>
      </c>
      <c r="B2671" t="str">
        <f t="shared" si="219"/>
        <v>VIA FELICE MARITANO  95-</v>
      </c>
      <c r="C2671" t="str">
        <f t="shared" si="215"/>
        <v>RIV</v>
      </c>
      <c r="D2671">
        <v>27</v>
      </c>
      <c r="E2671" t="str">
        <f t="shared" si="220"/>
        <v>124</v>
      </c>
      <c r="F2671" t="str">
        <f>"427"</f>
        <v>427</v>
      </c>
    </row>
    <row r="2672" spans="1:6">
      <c r="A2672" t="str">
        <f>"E1235-423"</f>
        <v>E1235-423</v>
      </c>
      <c r="B2672" t="str">
        <f t="shared" si="219"/>
        <v>VIA FELICE MARITANO  95-</v>
      </c>
      <c r="C2672" t="str">
        <f t="shared" si="215"/>
        <v>RIV</v>
      </c>
      <c r="D2672">
        <v>27</v>
      </c>
      <c r="E2672" t="str">
        <f t="shared" si="220"/>
        <v>124</v>
      </c>
      <c r="F2672" t="str">
        <f>"428"</f>
        <v>428</v>
      </c>
    </row>
    <row r="2673" spans="1:6">
      <c r="A2673" t="str">
        <f>"E1235-424"</f>
        <v>E1235-424</v>
      </c>
      <c r="B2673" t="str">
        <f t="shared" si="219"/>
        <v>VIA FELICE MARITANO  95-</v>
      </c>
      <c r="C2673" t="str">
        <f t="shared" si="215"/>
        <v>RIV</v>
      </c>
      <c r="D2673">
        <v>27</v>
      </c>
      <c r="E2673" t="str">
        <f t="shared" si="220"/>
        <v>124</v>
      </c>
      <c r="F2673" t="str">
        <f>"429"</f>
        <v>429</v>
      </c>
    </row>
    <row r="2674" spans="1:6">
      <c r="A2674" t="str">
        <f>"E1235-425"</f>
        <v>E1235-425</v>
      </c>
      <c r="B2674" t="str">
        <f t="shared" si="219"/>
        <v>VIA FELICE MARITANO  95-</v>
      </c>
      <c r="C2674" t="str">
        <f t="shared" si="215"/>
        <v>RIV</v>
      </c>
      <c r="D2674">
        <v>27</v>
      </c>
      <c r="E2674" t="str">
        <f t="shared" si="220"/>
        <v>124</v>
      </c>
      <c r="F2674" t="str">
        <f>"430"</f>
        <v>430</v>
      </c>
    </row>
    <row r="2675" spans="1:6">
      <c r="A2675" t="str">
        <f>"E1235-426"</f>
        <v>E1235-426</v>
      </c>
      <c r="B2675" t="str">
        <f t="shared" si="219"/>
        <v>VIA FELICE MARITANO  95-</v>
      </c>
      <c r="C2675" t="str">
        <f t="shared" si="215"/>
        <v>RIV</v>
      </c>
      <c r="D2675">
        <v>27</v>
      </c>
      <c r="E2675" t="str">
        <f t="shared" si="220"/>
        <v>124</v>
      </c>
      <c r="F2675" t="str">
        <f>"431"</f>
        <v>431</v>
      </c>
    </row>
    <row r="2676" spans="1:6">
      <c r="A2676" t="str">
        <f>"E1235-427"</f>
        <v>E1235-427</v>
      </c>
      <c r="B2676" t="str">
        <f t="shared" si="219"/>
        <v>VIA FELICE MARITANO  95-</v>
      </c>
      <c r="C2676" t="str">
        <f t="shared" si="215"/>
        <v>RIV</v>
      </c>
      <c r="D2676">
        <v>27</v>
      </c>
      <c r="E2676" t="str">
        <f t="shared" si="220"/>
        <v>124</v>
      </c>
      <c r="F2676" t="str">
        <f>"432"</f>
        <v>432</v>
      </c>
    </row>
    <row r="2677" spans="1:6">
      <c r="A2677" t="str">
        <f>"E1235-428"</f>
        <v>E1235-428</v>
      </c>
      <c r="B2677" t="str">
        <f t="shared" si="219"/>
        <v>VIA FELICE MARITANO  95-</v>
      </c>
      <c r="C2677" t="str">
        <f t="shared" si="215"/>
        <v>RIV</v>
      </c>
      <c r="D2677">
        <v>27</v>
      </c>
      <c r="E2677" t="str">
        <f t="shared" si="220"/>
        <v>124</v>
      </c>
      <c r="F2677" t="str">
        <f>"433"</f>
        <v>433</v>
      </c>
    </row>
    <row r="2678" spans="1:6">
      <c r="A2678" t="str">
        <f>"E1235-429"</f>
        <v>E1235-429</v>
      </c>
      <c r="B2678" t="str">
        <f t="shared" si="219"/>
        <v>VIA FELICE MARITANO  95-</v>
      </c>
      <c r="C2678" t="str">
        <f t="shared" si="215"/>
        <v>RIV</v>
      </c>
      <c r="D2678">
        <v>27</v>
      </c>
      <c r="E2678" t="str">
        <f t="shared" si="220"/>
        <v>124</v>
      </c>
      <c r="F2678" t="str">
        <f>"434"</f>
        <v>434</v>
      </c>
    </row>
    <row r="2679" spans="1:6">
      <c r="A2679" t="str">
        <f>"E1235-430"</f>
        <v>E1235-430</v>
      </c>
      <c r="B2679" t="str">
        <f t="shared" si="219"/>
        <v>VIA FELICE MARITANO  95-</v>
      </c>
      <c r="C2679" t="str">
        <f t="shared" si="215"/>
        <v>RIV</v>
      </c>
      <c r="D2679">
        <v>27</v>
      </c>
      <c r="E2679" t="str">
        <f t="shared" si="220"/>
        <v>124</v>
      </c>
      <c r="F2679" t="str">
        <f>"435"</f>
        <v>435</v>
      </c>
    </row>
    <row r="2680" spans="1:6">
      <c r="A2680" t="str">
        <f>"E1235-431"</f>
        <v>E1235-431</v>
      </c>
      <c r="B2680" t="str">
        <f t="shared" si="219"/>
        <v>VIA FELICE MARITANO  95-</v>
      </c>
      <c r="C2680" t="str">
        <f t="shared" si="215"/>
        <v>RIV</v>
      </c>
      <c r="D2680">
        <v>27</v>
      </c>
      <c r="E2680" t="str">
        <f t="shared" si="220"/>
        <v>124</v>
      </c>
      <c r="F2680" t="str">
        <f>"436"</f>
        <v>436</v>
      </c>
    </row>
    <row r="2681" spans="1:6">
      <c r="A2681" t="str">
        <f>"E1235-432"</f>
        <v>E1235-432</v>
      </c>
      <c r="B2681" t="str">
        <f>"VIA FELICE MARITANO  90-"</f>
        <v>VIA FELICE MARITANO  90-</v>
      </c>
      <c r="C2681" t="str">
        <f t="shared" si="215"/>
        <v>RIV</v>
      </c>
      <c r="D2681">
        <v>27</v>
      </c>
      <c r="E2681" t="str">
        <f t="shared" si="220"/>
        <v>124</v>
      </c>
      <c r="F2681" t="str">
        <f>"319"</f>
        <v>319</v>
      </c>
    </row>
    <row r="2682" spans="1:6">
      <c r="A2682" t="str">
        <f>"E1235-433"</f>
        <v>E1235-433</v>
      </c>
      <c r="B2682" t="str">
        <f>"VIA FELICE MARITANO VICINO AL 95-"</f>
        <v>VIA FELICE MARITANO VICINO AL 95-</v>
      </c>
      <c r="C2682" t="str">
        <f t="shared" si="215"/>
        <v>RIV</v>
      </c>
      <c r="D2682">
        <v>27</v>
      </c>
      <c r="E2682" t="str">
        <f t="shared" si="220"/>
        <v>124</v>
      </c>
      <c r="F2682" t="str">
        <f>"437"</f>
        <v>437</v>
      </c>
    </row>
    <row r="2683" spans="1:6">
      <c r="A2683" t="str">
        <f>"E1235-434"</f>
        <v>E1235-434</v>
      </c>
      <c r="B2683" t="str">
        <f>"VIA FELICE MARITANO VICINO AL 80-"</f>
        <v>VIA FELICE MARITANO VICINO AL 80-</v>
      </c>
      <c r="C2683" t="str">
        <f t="shared" ref="C2683:C2746" si="221">"4"</f>
        <v>4</v>
      </c>
      <c r="D2683">
        <v>27</v>
      </c>
      <c r="E2683" t="str">
        <f t="shared" si="220"/>
        <v>124</v>
      </c>
      <c r="F2683" t="str">
        <f t="shared" ref="F2683:F2746" si="222">"0000"</f>
        <v>0000</v>
      </c>
    </row>
    <row r="2684" spans="1:6">
      <c r="C2684" t="str">
        <f t="shared" si="221"/>
        <v>4</v>
      </c>
      <c r="D2684">
        <v>27</v>
      </c>
      <c r="E2684" t="str">
        <f>"1421"</f>
        <v>1421</v>
      </c>
      <c r="F2684" t="str">
        <f t="shared" si="222"/>
        <v>0000</v>
      </c>
    </row>
    <row r="2685" spans="1:6">
      <c r="C2685" t="str">
        <f t="shared" si="221"/>
        <v>4</v>
      </c>
      <c r="D2685">
        <v>27</v>
      </c>
      <c r="E2685" t="str">
        <f>"1422"</f>
        <v>1422</v>
      </c>
      <c r="F2685" t="str">
        <f t="shared" si="222"/>
        <v>0000</v>
      </c>
    </row>
    <row r="2686" spans="1:6">
      <c r="C2686" t="str">
        <f t="shared" si="221"/>
        <v>4</v>
      </c>
      <c r="D2686">
        <v>27</v>
      </c>
      <c r="E2686" t="str">
        <f>"1241"</f>
        <v>1241</v>
      </c>
      <c r="F2686" t="str">
        <f t="shared" si="222"/>
        <v>0000</v>
      </c>
    </row>
    <row r="2687" spans="1:6">
      <c r="C2687" t="str">
        <f t="shared" si="221"/>
        <v>4</v>
      </c>
      <c r="D2687">
        <v>27</v>
      </c>
      <c r="E2687" t="str">
        <f>"1855"</f>
        <v>1855</v>
      </c>
      <c r="F2687" t="str">
        <f t="shared" si="222"/>
        <v>0000</v>
      </c>
    </row>
    <row r="2688" spans="1:6">
      <c r="C2688" t="str">
        <f t="shared" si="221"/>
        <v>4</v>
      </c>
      <c r="D2688">
        <v>27</v>
      </c>
      <c r="E2688" t="str">
        <f>"588"</f>
        <v>588</v>
      </c>
      <c r="F2688" t="str">
        <f t="shared" si="222"/>
        <v>0000</v>
      </c>
    </row>
    <row r="2689" spans="1:6">
      <c r="C2689" t="str">
        <f t="shared" si="221"/>
        <v>4</v>
      </c>
      <c r="D2689">
        <v>27</v>
      </c>
      <c r="E2689" t="str">
        <f>"676"</f>
        <v>676</v>
      </c>
      <c r="F2689" t="str">
        <f t="shared" si="222"/>
        <v>0000</v>
      </c>
    </row>
    <row r="2690" spans="1:6">
      <c r="C2690" t="str">
        <f t="shared" si="221"/>
        <v>4</v>
      </c>
      <c r="D2690">
        <v>27</v>
      </c>
      <c r="E2690" t="str">
        <f>"678"</f>
        <v>678</v>
      </c>
      <c r="F2690" t="str">
        <f t="shared" si="222"/>
        <v>0000</v>
      </c>
    </row>
    <row r="2691" spans="1:6">
      <c r="C2691" t="str">
        <f t="shared" si="221"/>
        <v>4</v>
      </c>
      <c r="D2691">
        <v>27</v>
      </c>
      <c r="E2691" t="str">
        <f>"99999"</f>
        <v>99999</v>
      </c>
      <c r="F2691" t="str">
        <f t="shared" si="222"/>
        <v>0000</v>
      </c>
    </row>
    <row r="2692" spans="1:6">
      <c r="C2692" t="str">
        <f t="shared" si="221"/>
        <v>4</v>
      </c>
      <c r="D2692">
        <v>27</v>
      </c>
      <c r="E2692" t="str">
        <f>"975"</f>
        <v>975</v>
      </c>
      <c r="F2692" t="str">
        <f t="shared" si="222"/>
        <v>0000</v>
      </c>
    </row>
    <row r="2693" spans="1:6">
      <c r="C2693" t="str">
        <f t="shared" si="221"/>
        <v>4</v>
      </c>
      <c r="D2693">
        <v>27</v>
      </c>
      <c r="E2693" t="str">
        <f>"677"</f>
        <v>677</v>
      </c>
      <c r="F2693" t="str">
        <f t="shared" si="222"/>
        <v>0000</v>
      </c>
    </row>
    <row r="2694" spans="1:6">
      <c r="C2694" t="str">
        <f t="shared" si="221"/>
        <v>4</v>
      </c>
      <c r="D2694">
        <v>27</v>
      </c>
      <c r="E2694" t="str">
        <f>"589"</f>
        <v>589</v>
      </c>
      <c r="F2694" t="str">
        <f t="shared" si="222"/>
        <v>0000</v>
      </c>
    </row>
    <row r="2695" spans="1:6">
      <c r="C2695" t="str">
        <f t="shared" si="221"/>
        <v>4</v>
      </c>
      <c r="D2695">
        <v>27</v>
      </c>
      <c r="E2695" t="str">
        <f>"587"</f>
        <v>587</v>
      </c>
      <c r="F2695" t="str">
        <f t="shared" si="222"/>
        <v>0000</v>
      </c>
    </row>
    <row r="2696" spans="1:6">
      <c r="A2696" t="str">
        <f>"E1235-435"</f>
        <v>E1235-435</v>
      </c>
      <c r="B2696" t="str">
        <f>"VIA FELICE MARITANO VICINO AL 80-"</f>
        <v>VIA FELICE MARITANO VICINO AL 80-</v>
      </c>
      <c r="C2696" t="str">
        <f t="shared" si="221"/>
        <v>4</v>
      </c>
      <c r="D2696">
        <v>27</v>
      </c>
      <c r="E2696" t="str">
        <f>"124"</f>
        <v>124</v>
      </c>
      <c r="F2696" t="str">
        <f t="shared" si="222"/>
        <v>0000</v>
      </c>
    </row>
    <row r="2697" spans="1:6">
      <c r="C2697" t="str">
        <f t="shared" si="221"/>
        <v>4</v>
      </c>
      <c r="D2697">
        <v>27</v>
      </c>
      <c r="E2697" t="str">
        <f>"1422"</f>
        <v>1422</v>
      </c>
      <c r="F2697" t="str">
        <f t="shared" si="222"/>
        <v>0000</v>
      </c>
    </row>
    <row r="2698" spans="1:6">
      <c r="C2698" t="str">
        <f t="shared" si="221"/>
        <v>4</v>
      </c>
      <c r="D2698">
        <v>27</v>
      </c>
      <c r="E2698" t="str">
        <f>"587"</f>
        <v>587</v>
      </c>
      <c r="F2698" t="str">
        <f t="shared" si="222"/>
        <v>0000</v>
      </c>
    </row>
    <row r="2699" spans="1:6">
      <c r="C2699" t="str">
        <f t="shared" si="221"/>
        <v>4</v>
      </c>
      <c r="D2699">
        <v>27</v>
      </c>
      <c r="E2699" t="str">
        <f>"99999"</f>
        <v>99999</v>
      </c>
      <c r="F2699" t="str">
        <f t="shared" si="222"/>
        <v>0000</v>
      </c>
    </row>
    <row r="2700" spans="1:6">
      <c r="C2700" t="str">
        <f t="shared" si="221"/>
        <v>4</v>
      </c>
      <c r="D2700">
        <v>27</v>
      </c>
      <c r="E2700" t="str">
        <f>"975"</f>
        <v>975</v>
      </c>
      <c r="F2700" t="str">
        <f t="shared" si="222"/>
        <v>0000</v>
      </c>
    </row>
    <row r="2701" spans="1:6">
      <c r="C2701" t="str">
        <f t="shared" si="221"/>
        <v>4</v>
      </c>
      <c r="D2701">
        <v>27</v>
      </c>
      <c r="E2701" t="str">
        <f>"678"</f>
        <v>678</v>
      </c>
      <c r="F2701" t="str">
        <f t="shared" si="222"/>
        <v>0000</v>
      </c>
    </row>
    <row r="2702" spans="1:6">
      <c r="C2702" t="str">
        <f t="shared" si="221"/>
        <v>4</v>
      </c>
      <c r="D2702">
        <v>27</v>
      </c>
      <c r="E2702" t="str">
        <f>"677"</f>
        <v>677</v>
      </c>
      <c r="F2702" t="str">
        <f t="shared" si="222"/>
        <v>0000</v>
      </c>
    </row>
    <row r="2703" spans="1:6">
      <c r="C2703" t="str">
        <f t="shared" si="221"/>
        <v>4</v>
      </c>
      <c r="D2703">
        <v>27</v>
      </c>
      <c r="E2703" t="str">
        <f>"676"</f>
        <v>676</v>
      </c>
      <c r="F2703" t="str">
        <f t="shared" si="222"/>
        <v>0000</v>
      </c>
    </row>
    <row r="2704" spans="1:6">
      <c r="C2704" t="str">
        <f t="shared" si="221"/>
        <v>4</v>
      </c>
      <c r="D2704">
        <v>27</v>
      </c>
      <c r="E2704" t="str">
        <f>"589"</f>
        <v>589</v>
      </c>
      <c r="F2704" t="str">
        <f t="shared" si="222"/>
        <v>0000</v>
      </c>
    </row>
    <row r="2705" spans="1:6">
      <c r="C2705" t="str">
        <f t="shared" si="221"/>
        <v>4</v>
      </c>
      <c r="D2705">
        <v>27</v>
      </c>
      <c r="E2705" t="str">
        <f>"588"</f>
        <v>588</v>
      </c>
      <c r="F2705" t="str">
        <f t="shared" si="222"/>
        <v>0000</v>
      </c>
    </row>
    <row r="2706" spans="1:6">
      <c r="C2706" t="str">
        <f t="shared" si="221"/>
        <v>4</v>
      </c>
      <c r="D2706">
        <v>27</v>
      </c>
      <c r="E2706" t="str">
        <f>"1855"</f>
        <v>1855</v>
      </c>
      <c r="F2706" t="str">
        <f t="shared" si="222"/>
        <v>0000</v>
      </c>
    </row>
    <row r="2707" spans="1:6">
      <c r="C2707" t="str">
        <f t="shared" si="221"/>
        <v>4</v>
      </c>
      <c r="D2707">
        <v>27</v>
      </c>
      <c r="E2707" t="str">
        <f>"1421"</f>
        <v>1421</v>
      </c>
      <c r="F2707" t="str">
        <f t="shared" si="222"/>
        <v>0000</v>
      </c>
    </row>
    <row r="2708" spans="1:6">
      <c r="C2708" t="str">
        <f t="shared" si="221"/>
        <v>4</v>
      </c>
      <c r="D2708">
        <v>27</v>
      </c>
      <c r="E2708" t="str">
        <f>"1241"</f>
        <v>1241</v>
      </c>
      <c r="F2708" t="str">
        <f t="shared" si="222"/>
        <v>0000</v>
      </c>
    </row>
    <row r="2709" spans="1:6">
      <c r="A2709" t="str">
        <f>"E1235-436"</f>
        <v>E1235-436</v>
      </c>
      <c r="B2709" t="str">
        <f>"VIA FELICE MARITANO  80-"</f>
        <v>VIA FELICE MARITANO  80-</v>
      </c>
      <c r="C2709" t="str">
        <f t="shared" si="221"/>
        <v>4</v>
      </c>
      <c r="D2709">
        <v>27</v>
      </c>
      <c r="E2709" t="str">
        <f>"124"</f>
        <v>124</v>
      </c>
      <c r="F2709" t="str">
        <f t="shared" si="222"/>
        <v>0000</v>
      </c>
    </row>
    <row r="2710" spans="1:6">
      <c r="C2710" t="str">
        <f t="shared" si="221"/>
        <v>4</v>
      </c>
      <c r="D2710">
        <v>27</v>
      </c>
      <c r="E2710" t="str">
        <f>"1241"</f>
        <v>1241</v>
      </c>
      <c r="F2710" t="str">
        <f t="shared" si="222"/>
        <v>0000</v>
      </c>
    </row>
    <row r="2711" spans="1:6">
      <c r="C2711" t="str">
        <f t="shared" si="221"/>
        <v>4</v>
      </c>
      <c r="D2711">
        <v>27</v>
      </c>
      <c r="E2711" t="str">
        <f>"1421"</f>
        <v>1421</v>
      </c>
      <c r="F2711" t="str">
        <f t="shared" si="222"/>
        <v>0000</v>
      </c>
    </row>
    <row r="2712" spans="1:6">
      <c r="C2712" t="str">
        <f t="shared" si="221"/>
        <v>4</v>
      </c>
      <c r="D2712">
        <v>27</v>
      </c>
      <c r="E2712" t="str">
        <f>"1855"</f>
        <v>1855</v>
      </c>
      <c r="F2712" t="str">
        <f t="shared" si="222"/>
        <v>0000</v>
      </c>
    </row>
    <row r="2713" spans="1:6">
      <c r="C2713" t="str">
        <f t="shared" si="221"/>
        <v>4</v>
      </c>
      <c r="D2713">
        <v>27</v>
      </c>
      <c r="E2713" t="str">
        <f>"588"</f>
        <v>588</v>
      </c>
      <c r="F2713" t="str">
        <f t="shared" si="222"/>
        <v>0000</v>
      </c>
    </row>
    <row r="2714" spans="1:6">
      <c r="C2714" t="str">
        <f t="shared" si="221"/>
        <v>4</v>
      </c>
      <c r="D2714">
        <v>27</v>
      </c>
      <c r="E2714" t="str">
        <f>"676"</f>
        <v>676</v>
      </c>
      <c r="F2714" t="str">
        <f t="shared" si="222"/>
        <v>0000</v>
      </c>
    </row>
    <row r="2715" spans="1:6">
      <c r="C2715" t="str">
        <f t="shared" si="221"/>
        <v>4</v>
      </c>
      <c r="D2715">
        <v>27</v>
      </c>
      <c r="E2715" t="str">
        <f>"99999"</f>
        <v>99999</v>
      </c>
      <c r="F2715" t="str">
        <f t="shared" si="222"/>
        <v>0000</v>
      </c>
    </row>
    <row r="2716" spans="1:6">
      <c r="C2716" t="str">
        <f t="shared" si="221"/>
        <v>4</v>
      </c>
      <c r="D2716">
        <v>27</v>
      </c>
      <c r="E2716" t="str">
        <f>"975"</f>
        <v>975</v>
      </c>
      <c r="F2716" t="str">
        <f t="shared" si="222"/>
        <v>0000</v>
      </c>
    </row>
    <row r="2717" spans="1:6">
      <c r="C2717" t="str">
        <f t="shared" si="221"/>
        <v>4</v>
      </c>
      <c r="D2717">
        <v>27</v>
      </c>
      <c r="E2717" t="str">
        <f>"678"</f>
        <v>678</v>
      </c>
      <c r="F2717" t="str">
        <f t="shared" si="222"/>
        <v>0000</v>
      </c>
    </row>
    <row r="2718" spans="1:6">
      <c r="C2718" t="str">
        <f t="shared" si="221"/>
        <v>4</v>
      </c>
      <c r="D2718">
        <v>27</v>
      </c>
      <c r="E2718" t="str">
        <f>"677"</f>
        <v>677</v>
      </c>
      <c r="F2718" t="str">
        <f t="shared" si="222"/>
        <v>0000</v>
      </c>
    </row>
    <row r="2719" spans="1:6">
      <c r="C2719" t="str">
        <f t="shared" si="221"/>
        <v>4</v>
      </c>
      <c r="D2719">
        <v>27</v>
      </c>
      <c r="E2719" t="str">
        <f>"589"</f>
        <v>589</v>
      </c>
      <c r="F2719" t="str">
        <f t="shared" si="222"/>
        <v>0000</v>
      </c>
    </row>
    <row r="2720" spans="1:6">
      <c r="C2720" t="str">
        <f t="shared" si="221"/>
        <v>4</v>
      </c>
      <c r="D2720">
        <v>27</v>
      </c>
      <c r="E2720" t="str">
        <f>"587"</f>
        <v>587</v>
      </c>
      <c r="F2720" t="str">
        <f t="shared" si="222"/>
        <v>0000</v>
      </c>
    </row>
    <row r="2721" spans="1:6">
      <c r="C2721" t="str">
        <f t="shared" si="221"/>
        <v>4</v>
      </c>
      <c r="D2721">
        <v>27</v>
      </c>
      <c r="E2721" t="str">
        <f>"1422"</f>
        <v>1422</v>
      </c>
      <c r="F2721" t="str">
        <f t="shared" si="222"/>
        <v>0000</v>
      </c>
    </row>
    <row r="2722" spans="1:6">
      <c r="A2722" t="str">
        <f>"E1235-437"</f>
        <v>E1235-437</v>
      </c>
      <c r="B2722" t="str">
        <f>"VIA FELICE MARITANO  80-"</f>
        <v>VIA FELICE MARITANO  80-</v>
      </c>
      <c r="C2722" t="str">
        <f t="shared" si="221"/>
        <v>4</v>
      </c>
      <c r="D2722">
        <v>27</v>
      </c>
      <c r="E2722" t="str">
        <f>"124"</f>
        <v>124</v>
      </c>
      <c r="F2722" t="str">
        <f t="shared" si="222"/>
        <v>0000</v>
      </c>
    </row>
    <row r="2723" spans="1:6">
      <c r="C2723" t="str">
        <f t="shared" si="221"/>
        <v>4</v>
      </c>
      <c r="D2723">
        <v>27</v>
      </c>
      <c r="E2723" t="str">
        <f>"99999"</f>
        <v>99999</v>
      </c>
      <c r="F2723" t="str">
        <f t="shared" si="222"/>
        <v>0000</v>
      </c>
    </row>
    <row r="2724" spans="1:6">
      <c r="C2724" t="str">
        <f t="shared" si="221"/>
        <v>4</v>
      </c>
      <c r="D2724">
        <v>27</v>
      </c>
      <c r="E2724" t="str">
        <f>"975"</f>
        <v>975</v>
      </c>
      <c r="F2724" t="str">
        <f t="shared" si="222"/>
        <v>0000</v>
      </c>
    </row>
    <row r="2725" spans="1:6">
      <c r="C2725" t="str">
        <f t="shared" si="221"/>
        <v>4</v>
      </c>
      <c r="D2725">
        <v>27</v>
      </c>
      <c r="E2725" t="str">
        <f>"678"</f>
        <v>678</v>
      </c>
      <c r="F2725" t="str">
        <f t="shared" si="222"/>
        <v>0000</v>
      </c>
    </row>
    <row r="2726" spans="1:6">
      <c r="C2726" t="str">
        <f t="shared" si="221"/>
        <v>4</v>
      </c>
      <c r="D2726">
        <v>27</v>
      </c>
      <c r="E2726" t="str">
        <f>"677"</f>
        <v>677</v>
      </c>
      <c r="F2726" t="str">
        <f t="shared" si="222"/>
        <v>0000</v>
      </c>
    </row>
    <row r="2727" spans="1:6">
      <c r="C2727" t="str">
        <f t="shared" si="221"/>
        <v>4</v>
      </c>
      <c r="D2727">
        <v>27</v>
      </c>
      <c r="E2727" t="str">
        <f>"676"</f>
        <v>676</v>
      </c>
      <c r="F2727" t="str">
        <f t="shared" si="222"/>
        <v>0000</v>
      </c>
    </row>
    <row r="2728" spans="1:6">
      <c r="C2728" t="str">
        <f t="shared" si="221"/>
        <v>4</v>
      </c>
      <c r="D2728">
        <v>27</v>
      </c>
      <c r="E2728" t="str">
        <f>"589"</f>
        <v>589</v>
      </c>
      <c r="F2728" t="str">
        <f t="shared" si="222"/>
        <v>0000</v>
      </c>
    </row>
    <row r="2729" spans="1:6">
      <c r="C2729" t="str">
        <f t="shared" si="221"/>
        <v>4</v>
      </c>
      <c r="D2729">
        <v>27</v>
      </c>
      <c r="E2729" t="str">
        <f>"588"</f>
        <v>588</v>
      </c>
      <c r="F2729" t="str">
        <f t="shared" si="222"/>
        <v>0000</v>
      </c>
    </row>
    <row r="2730" spans="1:6">
      <c r="C2730" t="str">
        <f t="shared" si="221"/>
        <v>4</v>
      </c>
      <c r="D2730">
        <v>27</v>
      </c>
      <c r="E2730" t="str">
        <f>"587"</f>
        <v>587</v>
      </c>
      <c r="F2730" t="str">
        <f t="shared" si="222"/>
        <v>0000</v>
      </c>
    </row>
    <row r="2731" spans="1:6">
      <c r="C2731" t="str">
        <f t="shared" si="221"/>
        <v>4</v>
      </c>
      <c r="D2731">
        <v>27</v>
      </c>
      <c r="E2731" t="str">
        <f>"1855"</f>
        <v>1855</v>
      </c>
      <c r="F2731" t="str">
        <f t="shared" si="222"/>
        <v>0000</v>
      </c>
    </row>
    <row r="2732" spans="1:6">
      <c r="C2732" t="str">
        <f t="shared" si="221"/>
        <v>4</v>
      </c>
      <c r="D2732">
        <v>27</v>
      </c>
      <c r="E2732" t="str">
        <f>"1241"</f>
        <v>1241</v>
      </c>
      <c r="F2732" t="str">
        <f t="shared" si="222"/>
        <v>0000</v>
      </c>
    </row>
    <row r="2733" spans="1:6">
      <c r="C2733" t="str">
        <f t="shared" si="221"/>
        <v>4</v>
      </c>
      <c r="D2733">
        <v>27</v>
      </c>
      <c r="E2733" t="str">
        <f>"1422"</f>
        <v>1422</v>
      </c>
      <c r="F2733" t="str">
        <f t="shared" si="222"/>
        <v>0000</v>
      </c>
    </row>
    <row r="2734" spans="1:6">
      <c r="C2734" t="str">
        <f t="shared" si="221"/>
        <v>4</v>
      </c>
      <c r="D2734">
        <v>27</v>
      </c>
      <c r="E2734" t="str">
        <f>"1421"</f>
        <v>1421</v>
      </c>
      <c r="F2734" t="str">
        <f t="shared" si="222"/>
        <v>0000</v>
      </c>
    </row>
    <row r="2735" spans="1:6">
      <c r="A2735" t="str">
        <f>"E1235-438"</f>
        <v>E1235-438</v>
      </c>
      <c r="B2735" t="str">
        <f>"VIA FELICE MARITANO  80-"</f>
        <v>VIA FELICE MARITANO  80-</v>
      </c>
      <c r="C2735" t="str">
        <f t="shared" si="221"/>
        <v>4</v>
      </c>
      <c r="D2735">
        <v>27</v>
      </c>
      <c r="E2735" t="str">
        <f>"124"</f>
        <v>124</v>
      </c>
      <c r="F2735" t="str">
        <f t="shared" si="222"/>
        <v>0000</v>
      </c>
    </row>
    <row r="2736" spans="1:6">
      <c r="C2736" t="str">
        <f t="shared" si="221"/>
        <v>4</v>
      </c>
      <c r="D2736">
        <v>27</v>
      </c>
      <c r="E2736" t="str">
        <f>"1241"</f>
        <v>1241</v>
      </c>
      <c r="F2736" t="str">
        <f t="shared" si="222"/>
        <v>0000</v>
      </c>
    </row>
    <row r="2737" spans="1:6">
      <c r="C2737" t="str">
        <f t="shared" si="221"/>
        <v>4</v>
      </c>
      <c r="D2737">
        <v>27</v>
      </c>
      <c r="E2737" t="str">
        <f>"1422"</f>
        <v>1422</v>
      </c>
      <c r="F2737" t="str">
        <f t="shared" si="222"/>
        <v>0000</v>
      </c>
    </row>
    <row r="2738" spans="1:6">
      <c r="C2738" t="str">
        <f t="shared" si="221"/>
        <v>4</v>
      </c>
      <c r="D2738">
        <v>27</v>
      </c>
      <c r="E2738" t="str">
        <f>"587"</f>
        <v>587</v>
      </c>
      <c r="F2738" t="str">
        <f t="shared" si="222"/>
        <v>0000</v>
      </c>
    </row>
    <row r="2739" spans="1:6">
      <c r="C2739" t="str">
        <f t="shared" si="221"/>
        <v>4</v>
      </c>
      <c r="D2739">
        <v>27</v>
      </c>
      <c r="E2739" t="str">
        <f>"589"</f>
        <v>589</v>
      </c>
      <c r="F2739" t="str">
        <f t="shared" si="222"/>
        <v>0000</v>
      </c>
    </row>
    <row r="2740" spans="1:6">
      <c r="C2740" t="str">
        <f t="shared" si="221"/>
        <v>4</v>
      </c>
      <c r="D2740">
        <v>27</v>
      </c>
      <c r="E2740" t="str">
        <f>"99999"</f>
        <v>99999</v>
      </c>
      <c r="F2740" t="str">
        <f t="shared" si="222"/>
        <v>0000</v>
      </c>
    </row>
    <row r="2741" spans="1:6">
      <c r="C2741" t="str">
        <f t="shared" si="221"/>
        <v>4</v>
      </c>
      <c r="D2741">
        <v>27</v>
      </c>
      <c r="E2741" t="str">
        <f>"975"</f>
        <v>975</v>
      </c>
      <c r="F2741" t="str">
        <f t="shared" si="222"/>
        <v>0000</v>
      </c>
    </row>
    <row r="2742" spans="1:6">
      <c r="C2742" t="str">
        <f t="shared" si="221"/>
        <v>4</v>
      </c>
      <c r="D2742">
        <v>27</v>
      </c>
      <c r="E2742" t="str">
        <f>"678"</f>
        <v>678</v>
      </c>
      <c r="F2742" t="str">
        <f t="shared" si="222"/>
        <v>0000</v>
      </c>
    </row>
    <row r="2743" spans="1:6">
      <c r="C2743" t="str">
        <f t="shared" si="221"/>
        <v>4</v>
      </c>
      <c r="D2743">
        <v>27</v>
      </c>
      <c r="E2743" t="str">
        <f>"677"</f>
        <v>677</v>
      </c>
      <c r="F2743" t="str">
        <f t="shared" si="222"/>
        <v>0000</v>
      </c>
    </row>
    <row r="2744" spans="1:6">
      <c r="C2744" t="str">
        <f t="shared" si="221"/>
        <v>4</v>
      </c>
      <c r="D2744">
        <v>27</v>
      </c>
      <c r="E2744" t="str">
        <f>"676"</f>
        <v>676</v>
      </c>
      <c r="F2744" t="str">
        <f t="shared" si="222"/>
        <v>0000</v>
      </c>
    </row>
    <row r="2745" spans="1:6">
      <c r="C2745" t="str">
        <f t="shared" si="221"/>
        <v>4</v>
      </c>
      <c r="D2745">
        <v>27</v>
      </c>
      <c r="E2745" t="str">
        <f>"588"</f>
        <v>588</v>
      </c>
      <c r="F2745" t="str">
        <f t="shared" si="222"/>
        <v>0000</v>
      </c>
    </row>
    <row r="2746" spans="1:6">
      <c r="C2746" t="str">
        <f t="shared" si="221"/>
        <v>4</v>
      </c>
      <c r="D2746">
        <v>27</v>
      </c>
      <c r="E2746" t="str">
        <f>"1855"</f>
        <v>1855</v>
      </c>
      <c r="F2746" t="str">
        <f t="shared" si="222"/>
        <v>0000</v>
      </c>
    </row>
    <row r="2747" spans="1:6">
      <c r="C2747" t="str">
        <f t="shared" ref="C2747:C2810" si="223">"4"</f>
        <v>4</v>
      </c>
      <c r="D2747">
        <v>27</v>
      </c>
      <c r="E2747" t="str">
        <f>"1421"</f>
        <v>1421</v>
      </c>
      <c r="F2747" t="str">
        <f t="shared" ref="F2747:F2810" si="224">"0000"</f>
        <v>0000</v>
      </c>
    </row>
    <row r="2748" spans="1:6">
      <c r="A2748" t="str">
        <f>"E1235-439"</f>
        <v>E1235-439</v>
      </c>
      <c r="B2748" t="str">
        <f>"VIA FELICE MARITANO  80-"</f>
        <v>VIA FELICE MARITANO  80-</v>
      </c>
      <c r="C2748" t="str">
        <f t="shared" si="223"/>
        <v>4</v>
      </c>
      <c r="D2748">
        <v>27</v>
      </c>
      <c r="E2748" t="str">
        <f>"124"</f>
        <v>124</v>
      </c>
      <c r="F2748" t="str">
        <f t="shared" si="224"/>
        <v>0000</v>
      </c>
    </row>
    <row r="2749" spans="1:6">
      <c r="C2749" t="str">
        <f t="shared" si="223"/>
        <v>4</v>
      </c>
      <c r="D2749">
        <v>27</v>
      </c>
      <c r="E2749" t="str">
        <f>"1421"</f>
        <v>1421</v>
      </c>
      <c r="F2749" t="str">
        <f t="shared" si="224"/>
        <v>0000</v>
      </c>
    </row>
    <row r="2750" spans="1:6">
      <c r="C2750" t="str">
        <f t="shared" si="223"/>
        <v>4</v>
      </c>
      <c r="D2750">
        <v>27</v>
      </c>
      <c r="E2750" t="str">
        <f>"1422"</f>
        <v>1422</v>
      </c>
      <c r="F2750" t="str">
        <f t="shared" si="224"/>
        <v>0000</v>
      </c>
    </row>
    <row r="2751" spans="1:6">
      <c r="C2751" t="str">
        <f t="shared" si="223"/>
        <v>4</v>
      </c>
      <c r="D2751">
        <v>27</v>
      </c>
      <c r="E2751" t="str">
        <f>"1241"</f>
        <v>1241</v>
      </c>
      <c r="F2751" t="str">
        <f t="shared" si="224"/>
        <v>0000</v>
      </c>
    </row>
    <row r="2752" spans="1:6">
      <c r="C2752" t="str">
        <f t="shared" si="223"/>
        <v>4</v>
      </c>
      <c r="D2752">
        <v>27</v>
      </c>
      <c r="E2752" t="str">
        <f>"1855"</f>
        <v>1855</v>
      </c>
      <c r="F2752" t="str">
        <f t="shared" si="224"/>
        <v>0000</v>
      </c>
    </row>
    <row r="2753" spans="1:6">
      <c r="C2753" t="str">
        <f t="shared" si="223"/>
        <v>4</v>
      </c>
      <c r="D2753">
        <v>27</v>
      </c>
      <c r="E2753" t="str">
        <f>"588"</f>
        <v>588</v>
      </c>
      <c r="F2753" t="str">
        <f t="shared" si="224"/>
        <v>0000</v>
      </c>
    </row>
    <row r="2754" spans="1:6">
      <c r="C2754" t="str">
        <f t="shared" si="223"/>
        <v>4</v>
      </c>
      <c r="D2754">
        <v>27</v>
      </c>
      <c r="E2754" t="str">
        <f>"676"</f>
        <v>676</v>
      </c>
      <c r="F2754" t="str">
        <f t="shared" si="224"/>
        <v>0000</v>
      </c>
    </row>
    <row r="2755" spans="1:6">
      <c r="C2755" t="str">
        <f t="shared" si="223"/>
        <v>4</v>
      </c>
      <c r="D2755">
        <v>27</v>
      </c>
      <c r="E2755" t="str">
        <f>"678"</f>
        <v>678</v>
      </c>
      <c r="F2755" t="str">
        <f t="shared" si="224"/>
        <v>0000</v>
      </c>
    </row>
    <row r="2756" spans="1:6">
      <c r="C2756" t="str">
        <f t="shared" si="223"/>
        <v>4</v>
      </c>
      <c r="D2756">
        <v>27</v>
      </c>
      <c r="E2756" t="str">
        <f>"99999"</f>
        <v>99999</v>
      </c>
      <c r="F2756" t="str">
        <f t="shared" si="224"/>
        <v>0000</v>
      </c>
    </row>
    <row r="2757" spans="1:6">
      <c r="C2757" t="str">
        <f t="shared" si="223"/>
        <v>4</v>
      </c>
      <c r="D2757">
        <v>27</v>
      </c>
      <c r="E2757" t="str">
        <f>"975"</f>
        <v>975</v>
      </c>
      <c r="F2757" t="str">
        <f t="shared" si="224"/>
        <v>0000</v>
      </c>
    </row>
    <row r="2758" spans="1:6">
      <c r="C2758" t="str">
        <f t="shared" si="223"/>
        <v>4</v>
      </c>
      <c r="D2758">
        <v>27</v>
      </c>
      <c r="E2758" t="str">
        <f>"677"</f>
        <v>677</v>
      </c>
      <c r="F2758" t="str">
        <f t="shared" si="224"/>
        <v>0000</v>
      </c>
    </row>
    <row r="2759" spans="1:6">
      <c r="C2759" t="str">
        <f t="shared" si="223"/>
        <v>4</v>
      </c>
      <c r="D2759">
        <v>27</v>
      </c>
      <c r="E2759" t="str">
        <f>"589"</f>
        <v>589</v>
      </c>
      <c r="F2759" t="str">
        <f t="shared" si="224"/>
        <v>0000</v>
      </c>
    </row>
    <row r="2760" spans="1:6">
      <c r="C2760" t="str">
        <f t="shared" si="223"/>
        <v>4</v>
      </c>
      <c r="D2760">
        <v>27</v>
      </c>
      <c r="E2760" t="str">
        <f>"587"</f>
        <v>587</v>
      </c>
      <c r="F2760" t="str">
        <f t="shared" si="224"/>
        <v>0000</v>
      </c>
    </row>
    <row r="2761" spans="1:6">
      <c r="A2761" t="str">
        <f>"E1235-440"</f>
        <v>E1235-440</v>
      </c>
      <c r="B2761" t="str">
        <f>"VIA FELICE MARITANO  80-"</f>
        <v>VIA FELICE MARITANO  80-</v>
      </c>
      <c r="C2761" t="str">
        <f t="shared" si="223"/>
        <v>4</v>
      </c>
      <c r="D2761">
        <v>27</v>
      </c>
      <c r="E2761" t="str">
        <f>"124"</f>
        <v>124</v>
      </c>
      <c r="F2761" t="str">
        <f t="shared" si="224"/>
        <v>0000</v>
      </c>
    </row>
    <row r="2762" spans="1:6">
      <c r="C2762" t="str">
        <f t="shared" si="223"/>
        <v>4</v>
      </c>
      <c r="D2762">
        <v>27</v>
      </c>
      <c r="E2762" t="str">
        <f>"1422"</f>
        <v>1422</v>
      </c>
      <c r="F2762" t="str">
        <f t="shared" si="224"/>
        <v>0000</v>
      </c>
    </row>
    <row r="2763" spans="1:6">
      <c r="C2763" t="str">
        <f t="shared" si="223"/>
        <v>4</v>
      </c>
      <c r="D2763">
        <v>27</v>
      </c>
      <c r="E2763" t="str">
        <f>"587"</f>
        <v>587</v>
      </c>
      <c r="F2763" t="str">
        <f t="shared" si="224"/>
        <v>0000</v>
      </c>
    </row>
    <row r="2764" spans="1:6">
      <c r="C2764" t="str">
        <f t="shared" si="223"/>
        <v>4</v>
      </c>
      <c r="D2764">
        <v>27</v>
      </c>
      <c r="E2764" t="str">
        <f>"99999"</f>
        <v>99999</v>
      </c>
      <c r="F2764" t="str">
        <f t="shared" si="224"/>
        <v>0000</v>
      </c>
    </row>
    <row r="2765" spans="1:6">
      <c r="C2765" t="str">
        <f t="shared" si="223"/>
        <v>4</v>
      </c>
      <c r="D2765">
        <v>27</v>
      </c>
      <c r="E2765" t="str">
        <f>"975"</f>
        <v>975</v>
      </c>
      <c r="F2765" t="str">
        <f t="shared" si="224"/>
        <v>0000</v>
      </c>
    </row>
    <row r="2766" spans="1:6">
      <c r="C2766" t="str">
        <f t="shared" si="223"/>
        <v>4</v>
      </c>
      <c r="D2766">
        <v>27</v>
      </c>
      <c r="E2766" t="str">
        <f>"678"</f>
        <v>678</v>
      </c>
      <c r="F2766" t="str">
        <f t="shared" si="224"/>
        <v>0000</v>
      </c>
    </row>
    <row r="2767" spans="1:6">
      <c r="C2767" t="str">
        <f t="shared" si="223"/>
        <v>4</v>
      </c>
      <c r="D2767">
        <v>27</v>
      </c>
      <c r="E2767" t="str">
        <f>"677"</f>
        <v>677</v>
      </c>
      <c r="F2767" t="str">
        <f t="shared" si="224"/>
        <v>0000</v>
      </c>
    </row>
    <row r="2768" spans="1:6">
      <c r="C2768" t="str">
        <f t="shared" si="223"/>
        <v>4</v>
      </c>
      <c r="D2768">
        <v>27</v>
      </c>
      <c r="E2768" t="str">
        <f>"676"</f>
        <v>676</v>
      </c>
      <c r="F2768" t="str">
        <f t="shared" si="224"/>
        <v>0000</v>
      </c>
    </row>
    <row r="2769" spans="1:6">
      <c r="C2769" t="str">
        <f t="shared" si="223"/>
        <v>4</v>
      </c>
      <c r="D2769">
        <v>27</v>
      </c>
      <c r="E2769" t="str">
        <f>"589"</f>
        <v>589</v>
      </c>
      <c r="F2769" t="str">
        <f t="shared" si="224"/>
        <v>0000</v>
      </c>
    </row>
    <row r="2770" spans="1:6">
      <c r="C2770" t="str">
        <f t="shared" si="223"/>
        <v>4</v>
      </c>
      <c r="D2770">
        <v>27</v>
      </c>
      <c r="E2770" t="str">
        <f>"588"</f>
        <v>588</v>
      </c>
      <c r="F2770" t="str">
        <f t="shared" si="224"/>
        <v>0000</v>
      </c>
    </row>
    <row r="2771" spans="1:6">
      <c r="C2771" t="str">
        <f t="shared" si="223"/>
        <v>4</v>
      </c>
      <c r="D2771">
        <v>27</v>
      </c>
      <c r="E2771" t="str">
        <f>"1855"</f>
        <v>1855</v>
      </c>
      <c r="F2771" t="str">
        <f t="shared" si="224"/>
        <v>0000</v>
      </c>
    </row>
    <row r="2772" spans="1:6">
      <c r="C2772" t="str">
        <f t="shared" si="223"/>
        <v>4</v>
      </c>
      <c r="D2772">
        <v>27</v>
      </c>
      <c r="E2772" t="str">
        <f>"1421"</f>
        <v>1421</v>
      </c>
      <c r="F2772" t="str">
        <f t="shared" si="224"/>
        <v>0000</v>
      </c>
    </row>
    <row r="2773" spans="1:6">
      <c r="C2773" t="str">
        <f t="shared" si="223"/>
        <v>4</v>
      </c>
      <c r="D2773">
        <v>27</v>
      </c>
      <c r="E2773" t="str">
        <f>"1241"</f>
        <v>1241</v>
      </c>
      <c r="F2773" t="str">
        <f t="shared" si="224"/>
        <v>0000</v>
      </c>
    </row>
    <row r="2774" spans="1:6">
      <c r="A2774" t="str">
        <f>"E1235-441"</f>
        <v>E1235-441</v>
      </c>
      <c r="B2774" t="str">
        <f>"VIA FELICE MARITANO  80-"</f>
        <v>VIA FELICE MARITANO  80-</v>
      </c>
      <c r="C2774" t="str">
        <f t="shared" si="223"/>
        <v>4</v>
      </c>
      <c r="D2774">
        <v>27</v>
      </c>
      <c r="E2774" t="str">
        <f>"124"</f>
        <v>124</v>
      </c>
      <c r="F2774" t="str">
        <f t="shared" si="224"/>
        <v>0000</v>
      </c>
    </row>
    <row r="2775" spans="1:6">
      <c r="C2775" t="str">
        <f t="shared" si="223"/>
        <v>4</v>
      </c>
      <c r="D2775">
        <v>27</v>
      </c>
      <c r="E2775" t="str">
        <f>"1241"</f>
        <v>1241</v>
      </c>
      <c r="F2775" t="str">
        <f t="shared" si="224"/>
        <v>0000</v>
      </c>
    </row>
    <row r="2776" spans="1:6">
      <c r="C2776" t="str">
        <f t="shared" si="223"/>
        <v>4</v>
      </c>
      <c r="D2776">
        <v>27</v>
      </c>
      <c r="E2776" t="str">
        <f>"1421"</f>
        <v>1421</v>
      </c>
      <c r="F2776" t="str">
        <f t="shared" si="224"/>
        <v>0000</v>
      </c>
    </row>
    <row r="2777" spans="1:6">
      <c r="C2777" t="str">
        <f t="shared" si="223"/>
        <v>4</v>
      </c>
      <c r="D2777">
        <v>27</v>
      </c>
      <c r="E2777" t="str">
        <f>"1855"</f>
        <v>1855</v>
      </c>
      <c r="F2777" t="str">
        <f t="shared" si="224"/>
        <v>0000</v>
      </c>
    </row>
    <row r="2778" spans="1:6">
      <c r="C2778" t="str">
        <f t="shared" si="223"/>
        <v>4</v>
      </c>
      <c r="D2778">
        <v>27</v>
      </c>
      <c r="E2778" t="str">
        <f>"588"</f>
        <v>588</v>
      </c>
      <c r="F2778" t="str">
        <f t="shared" si="224"/>
        <v>0000</v>
      </c>
    </row>
    <row r="2779" spans="1:6">
      <c r="C2779" t="str">
        <f t="shared" si="223"/>
        <v>4</v>
      </c>
      <c r="D2779">
        <v>27</v>
      </c>
      <c r="E2779" t="str">
        <f>"676"</f>
        <v>676</v>
      </c>
      <c r="F2779" t="str">
        <f t="shared" si="224"/>
        <v>0000</v>
      </c>
    </row>
    <row r="2780" spans="1:6">
      <c r="C2780" t="str">
        <f t="shared" si="223"/>
        <v>4</v>
      </c>
      <c r="D2780">
        <v>27</v>
      </c>
      <c r="E2780" t="str">
        <f>"99999"</f>
        <v>99999</v>
      </c>
      <c r="F2780" t="str">
        <f t="shared" si="224"/>
        <v>0000</v>
      </c>
    </row>
    <row r="2781" spans="1:6">
      <c r="C2781" t="str">
        <f t="shared" si="223"/>
        <v>4</v>
      </c>
      <c r="D2781">
        <v>27</v>
      </c>
      <c r="E2781" t="str">
        <f>"975"</f>
        <v>975</v>
      </c>
      <c r="F2781" t="str">
        <f t="shared" si="224"/>
        <v>0000</v>
      </c>
    </row>
    <row r="2782" spans="1:6">
      <c r="C2782" t="str">
        <f t="shared" si="223"/>
        <v>4</v>
      </c>
      <c r="D2782">
        <v>27</v>
      </c>
      <c r="E2782" t="str">
        <f>"678"</f>
        <v>678</v>
      </c>
      <c r="F2782" t="str">
        <f t="shared" si="224"/>
        <v>0000</v>
      </c>
    </row>
    <row r="2783" spans="1:6">
      <c r="C2783" t="str">
        <f t="shared" si="223"/>
        <v>4</v>
      </c>
      <c r="D2783">
        <v>27</v>
      </c>
      <c r="E2783" t="str">
        <f>"677"</f>
        <v>677</v>
      </c>
      <c r="F2783" t="str">
        <f t="shared" si="224"/>
        <v>0000</v>
      </c>
    </row>
    <row r="2784" spans="1:6">
      <c r="C2784" t="str">
        <f t="shared" si="223"/>
        <v>4</v>
      </c>
      <c r="D2784">
        <v>27</v>
      </c>
      <c r="E2784" t="str">
        <f>"589"</f>
        <v>589</v>
      </c>
      <c r="F2784" t="str">
        <f t="shared" si="224"/>
        <v>0000</v>
      </c>
    </row>
    <row r="2785" spans="1:6">
      <c r="C2785" t="str">
        <f t="shared" si="223"/>
        <v>4</v>
      </c>
      <c r="D2785">
        <v>27</v>
      </c>
      <c r="E2785" t="str">
        <f>"587"</f>
        <v>587</v>
      </c>
      <c r="F2785" t="str">
        <f t="shared" si="224"/>
        <v>0000</v>
      </c>
    </row>
    <row r="2786" spans="1:6">
      <c r="C2786" t="str">
        <f t="shared" si="223"/>
        <v>4</v>
      </c>
      <c r="D2786">
        <v>27</v>
      </c>
      <c r="E2786" t="str">
        <f>"1422"</f>
        <v>1422</v>
      </c>
      <c r="F2786" t="str">
        <f t="shared" si="224"/>
        <v>0000</v>
      </c>
    </row>
    <row r="2787" spans="1:6">
      <c r="A2787" t="str">
        <f>"E1235-442"</f>
        <v>E1235-442</v>
      </c>
      <c r="B2787" t="str">
        <f>"VIA FELICE MARITANO  80-"</f>
        <v>VIA FELICE MARITANO  80-</v>
      </c>
      <c r="C2787" t="str">
        <f t="shared" si="223"/>
        <v>4</v>
      </c>
      <c r="D2787">
        <v>27</v>
      </c>
      <c r="E2787" t="str">
        <f>"124"</f>
        <v>124</v>
      </c>
      <c r="F2787" t="str">
        <f t="shared" si="224"/>
        <v>0000</v>
      </c>
    </row>
    <row r="2788" spans="1:6">
      <c r="C2788" t="str">
        <f t="shared" si="223"/>
        <v>4</v>
      </c>
      <c r="D2788">
        <v>27</v>
      </c>
      <c r="E2788" t="str">
        <f>"99999"</f>
        <v>99999</v>
      </c>
      <c r="F2788" t="str">
        <f t="shared" si="224"/>
        <v>0000</v>
      </c>
    </row>
    <row r="2789" spans="1:6">
      <c r="C2789" t="str">
        <f t="shared" si="223"/>
        <v>4</v>
      </c>
      <c r="D2789">
        <v>27</v>
      </c>
      <c r="E2789" t="str">
        <f>"975"</f>
        <v>975</v>
      </c>
      <c r="F2789" t="str">
        <f t="shared" si="224"/>
        <v>0000</v>
      </c>
    </row>
    <row r="2790" spans="1:6">
      <c r="C2790" t="str">
        <f t="shared" si="223"/>
        <v>4</v>
      </c>
      <c r="D2790">
        <v>27</v>
      </c>
      <c r="E2790" t="str">
        <f>"678"</f>
        <v>678</v>
      </c>
      <c r="F2790" t="str">
        <f t="shared" si="224"/>
        <v>0000</v>
      </c>
    </row>
    <row r="2791" spans="1:6">
      <c r="C2791" t="str">
        <f t="shared" si="223"/>
        <v>4</v>
      </c>
      <c r="D2791">
        <v>27</v>
      </c>
      <c r="E2791" t="str">
        <f>"677"</f>
        <v>677</v>
      </c>
      <c r="F2791" t="str">
        <f t="shared" si="224"/>
        <v>0000</v>
      </c>
    </row>
    <row r="2792" spans="1:6">
      <c r="C2792" t="str">
        <f t="shared" si="223"/>
        <v>4</v>
      </c>
      <c r="D2792">
        <v>27</v>
      </c>
      <c r="E2792" t="str">
        <f>"676"</f>
        <v>676</v>
      </c>
      <c r="F2792" t="str">
        <f t="shared" si="224"/>
        <v>0000</v>
      </c>
    </row>
    <row r="2793" spans="1:6">
      <c r="C2793" t="str">
        <f t="shared" si="223"/>
        <v>4</v>
      </c>
      <c r="D2793">
        <v>27</v>
      </c>
      <c r="E2793" t="str">
        <f>"589"</f>
        <v>589</v>
      </c>
      <c r="F2793" t="str">
        <f t="shared" si="224"/>
        <v>0000</v>
      </c>
    </row>
    <row r="2794" spans="1:6">
      <c r="C2794" t="str">
        <f t="shared" si="223"/>
        <v>4</v>
      </c>
      <c r="D2794">
        <v>27</v>
      </c>
      <c r="E2794" t="str">
        <f>"588"</f>
        <v>588</v>
      </c>
      <c r="F2794" t="str">
        <f t="shared" si="224"/>
        <v>0000</v>
      </c>
    </row>
    <row r="2795" spans="1:6">
      <c r="C2795" t="str">
        <f t="shared" si="223"/>
        <v>4</v>
      </c>
      <c r="D2795">
        <v>27</v>
      </c>
      <c r="E2795" t="str">
        <f>"587"</f>
        <v>587</v>
      </c>
      <c r="F2795" t="str">
        <f t="shared" si="224"/>
        <v>0000</v>
      </c>
    </row>
    <row r="2796" spans="1:6">
      <c r="C2796" t="str">
        <f t="shared" si="223"/>
        <v>4</v>
      </c>
      <c r="D2796">
        <v>27</v>
      </c>
      <c r="E2796" t="str">
        <f>"1855"</f>
        <v>1855</v>
      </c>
      <c r="F2796" t="str">
        <f t="shared" si="224"/>
        <v>0000</v>
      </c>
    </row>
    <row r="2797" spans="1:6">
      <c r="C2797" t="str">
        <f t="shared" si="223"/>
        <v>4</v>
      </c>
      <c r="D2797">
        <v>27</v>
      </c>
      <c r="E2797" t="str">
        <f>"1241"</f>
        <v>1241</v>
      </c>
      <c r="F2797" t="str">
        <f t="shared" si="224"/>
        <v>0000</v>
      </c>
    </row>
    <row r="2798" spans="1:6">
      <c r="C2798" t="str">
        <f t="shared" si="223"/>
        <v>4</v>
      </c>
      <c r="D2798">
        <v>27</v>
      </c>
      <c r="E2798" t="str">
        <f>"1422"</f>
        <v>1422</v>
      </c>
      <c r="F2798" t="str">
        <f t="shared" si="224"/>
        <v>0000</v>
      </c>
    </row>
    <row r="2799" spans="1:6">
      <c r="C2799" t="str">
        <f t="shared" si="223"/>
        <v>4</v>
      </c>
      <c r="D2799">
        <v>27</v>
      </c>
      <c r="E2799" t="str">
        <f>"1421"</f>
        <v>1421</v>
      </c>
      <c r="F2799" t="str">
        <f t="shared" si="224"/>
        <v>0000</v>
      </c>
    </row>
    <row r="2800" spans="1:6">
      <c r="A2800" t="str">
        <f>"E1235-443"</f>
        <v>E1235-443</v>
      </c>
      <c r="B2800" t="str">
        <f>"VIA FELICE MARITANO  80-"</f>
        <v>VIA FELICE MARITANO  80-</v>
      </c>
      <c r="C2800" t="str">
        <f t="shared" si="223"/>
        <v>4</v>
      </c>
      <c r="D2800">
        <v>27</v>
      </c>
      <c r="E2800" t="str">
        <f>"124"</f>
        <v>124</v>
      </c>
      <c r="F2800" t="str">
        <f t="shared" si="224"/>
        <v>0000</v>
      </c>
    </row>
    <row r="2801" spans="1:6">
      <c r="C2801" t="str">
        <f t="shared" si="223"/>
        <v>4</v>
      </c>
      <c r="D2801">
        <v>27</v>
      </c>
      <c r="E2801" t="str">
        <f>"1241"</f>
        <v>1241</v>
      </c>
      <c r="F2801" t="str">
        <f t="shared" si="224"/>
        <v>0000</v>
      </c>
    </row>
    <row r="2802" spans="1:6">
      <c r="C2802" t="str">
        <f t="shared" si="223"/>
        <v>4</v>
      </c>
      <c r="D2802">
        <v>27</v>
      </c>
      <c r="E2802" t="str">
        <f>"1422"</f>
        <v>1422</v>
      </c>
      <c r="F2802" t="str">
        <f t="shared" si="224"/>
        <v>0000</v>
      </c>
    </row>
    <row r="2803" spans="1:6">
      <c r="C2803" t="str">
        <f t="shared" si="223"/>
        <v>4</v>
      </c>
      <c r="D2803">
        <v>27</v>
      </c>
      <c r="E2803" t="str">
        <f>"587"</f>
        <v>587</v>
      </c>
      <c r="F2803" t="str">
        <f t="shared" si="224"/>
        <v>0000</v>
      </c>
    </row>
    <row r="2804" spans="1:6">
      <c r="C2804" t="str">
        <f t="shared" si="223"/>
        <v>4</v>
      </c>
      <c r="D2804">
        <v>27</v>
      </c>
      <c r="E2804" t="str">
        <f>"589"</f>
        <v>589</v>
      </c>
      <c r="F2804" t="str">
        <f t="shared" si="224"/>
        <v>0000</v>
      </c>
    </row>
    <row r="2805" spans="1:6">
      <c r="C2805" t="str">
        <f t="shared" si="223"/>
        <v>4</v>
      </c>
      <c r="D2805">
        <v>27</v>
      </c>
      <c r="E2805" t="str">
        <f>"99999"</f>
        <v>99999</v>
      </c>
      <c r="F2805" t="str">
        <f t="shared" si="224"/>
        <v>0000</v>
      </c>
    </row>
    <row r="2806" spans="1:6">
      <c r="C2806" t="str">
        <f t="shared" si="223"/>
        <v>4</v>
      </c>
      <c r="D2806">
        <v>27</v>
      </c>
      <c r="E2806" t="str">
        <f>"975"</f>
        <v>975</v>
      </c>
      <c r="F2806" t="str">
        <f t="shared" si="224"/>
        <v>0000</v>
      </c>
    </row>
    <row r="2807" spans="1:6">
      <c r="C2807" t="str">
        <f t="shared" si="223"/>
        <v>4</v>
      </c>
      <c r="D2807">
        <v>27</v>
      </c>
      <c r="E2807" t="str">
        <f>"678"</f>
        <v>678</v>
      </c>
      <c r="F2807" t="str">
        <f t="shared" si="224"/>
        <v>0000</v>
      </c>
    </row>
    <row r="2808" spans="1:6">
      <c r="C2808" t="str">
        <f t="shared" si="223"/>
        <v>4</v>
      </c>
      <c r="D2808">
        <v>27</v>
      </c>
      <c r="E2808" t="str">
        <f>"677"</f>
        <v>677</v>
      </c>
      <c r="F2808" t="str">
        <f t="shared" si="224"/>
        <v>0000</v>
      </c>
    </row>
    <row r="2809" spans="1:6">
      <c r="C2809" t="str">
        <f t="shared" si="223"/>
        <v>4</v>
      </c>
      <c r="D2809">
        <v>27</v>
      </c>
      <c r="E2809" t="str">
        <f>"676"</f>
        <v>676</v>
      </c>
      <c r="F2809" t="str">
        <f t="shared" si="224"/>
        <v>0000</v>
      </c>
    </row>
    <row r="2810" spans="1:6">
      <c r="C2810" t="str">
        <f t="shared" si="223"/>
        <v>4</v>
      </c>
      <c r="D2810">
        <v>27</v>
      </c>
      <c r="E2810" t="str">
        <f>"588"</f>
        <v>588</v>
      </c>
      <c r="F2810" t="str">
        <f t="shared" si="224"/>
        <v>0000</v>
      </c>
    </row>
    <row r="2811" spans="1:6">
      <c r="C2811" t="str">
        <f t="shared" ref="C2811:C2874" si="225">"4"</f>
        <v>4</v>
      </c>
      <c r="D2811">
        <v>27</v>
      </c>
      <c r="E2811" t="str">
        <f>"1855"</f>
        <v>1855</v>
      </c>
      <c r="F2811" t="str">
        <f t="shared" ref="F2811:F2874" si="226">"0000"</f>
        <v>0000</v>
      </c>
    </row>
    <row r="2812" spans="1:6">
      <c r="C2812" t="str">
        <f t="shared" si="225"/>
        <v>4</v>
      </c>
      <c r="D2812">
        <v>27</v>
      </c>
      <c r="E2812" t="str">
        <f>"1421"</f>
        <v>1421</v>
      </c>
      <c r="F2812" t="str">
        <f t="shared" si="226"/>
        <v>0000</v>
      </c>
    </row>
    <row r="2813" spans="1:6">
      <c r="A2813" t="str">
        <f>"E1235-444"</f>
        <v>E1235-444</v>
      </c>
      <c r="B2813" t="str">
        <f>"VIA FELICE MARITANO  80-"</f>
        <v>VIA FELICE MARITANO  80-</v>
      </c>
      <c r="C2813" t="str">
        <f t="shared" si="225"/>
        <v>4</v>
      </c>
      <c r="D2813">
        <v>27</v>
      </c>
      <c r="E2813" t="str">
        <f>"124"</f>
        <v>124</v>
      </c>
      <c r="F2813" t="str">
        <f t="shared" si="226"/>
        <v>0000</v>
      </c>
    </row>
    <row r="2814" spans="1:6">
      <c r="C2814" t="str">
        <f t="shared" si="225"/>
        <v>4</v>
      </c>
      <c r="D2814">
        <v>27</v>
      </c>
      <c r="E2814" t="str">
        <f>"1421"</f>
        <v>1421</v>
      </c>
      <c r="F2814" t="str">
        <f t="shared" si="226"/>
        <v>0000</v>
      </c>
    </row>
    <row r="2815" spans="1:6">
      <c r="C2815" t="str">
        <f t="shared" si="225"/>
        <v>4</v>
      </c>
      <c r="D2815">
        <v>27</v>
      </c>
      <c r="E2815" t="str">
        <f>"1422"</f>
        <v>1422</v>
      </c>
      <c r="F2815" t="str">
        <f t="shared" si="226"/>
        <v>0000</v>
      </c>
    </row>
    <row r="2816" spans="1:6">
      <c r="C2816" t="str">
        <f t="shared" si="225"/>
        <v>4</v>
      </c>
      <c r="D2816">
        <v>27</v>
      </c>
      <c r="E2816" t="str">
        <f>"1241"</f>
        <v>1241</v>
      </c>
      <c r="F2816" t="str">
        <f t="shared" si="226"/>
        <v>0000</v>
      </c>
    </row>
    <row r="2817" spans="1:6">
      <c r="C2817" t="str">
        <f t="shared" si="225"/>
        <v>4</v>
      </c>
      <c r="D2817">
        <v>27</v>
      </c>
      <c r="E2817" t="str">
        <f>"1855"</f>
        <v>1855</v>
      </c>
      <c r="F2817" t="str">
        <f t="shared" si="226"/>
        <v>0000</v>
      </c>
    </row>
    <row r="2818" spans="1:6">
      <c r="C2818" t="str">
        <f t="shared" si="225"/>
        <v>4</v>
      </c>
      <c r="D2818">
        <v>27</v>
      </c>
      <c r="E2818" t="str">
        <f>"588"</f>
        <v>588</v>
      </c>
      <c r="F2818" t="str">
        <f t="shared" si="226"/>
        <v>0000</v>
      </c>
    </row>
    <row r="2819" spans="1:6">
      <c r="C2819" t="str">
        <f t="shared" si="225"/>
        <v>4</v>
      </c>
      <c r="D2819">
        <v>27</v>
      </c>
      <c r="E2819" t="str">
        <f>"676"</f>
        <v>676</v>
      </c>
      <c r="F2819" t="str">
        <f t="shared" si="226"/>
        <v>0000</v>
      </c>
    </row>
    <row r="2820" spans="1:6">
      <c r="C2820" t="str">
        <f t="shared" si="225"/>
        <v>4</v>
      </c>
      <c r="D2820">
        <v>27</v>
      </c>
      <c r="E2820" t="str">
        <f>"678"</f>
        <v>678</v>
      </c>
      <c r="F2820" t="str">
        <f t="shared" si="226"/>
        <v>0000</v>
      </c>
    </row>
    <row r="2821" spans="1:6">
      <c r="C2821" t="str">
        <f t="shared" si="225"/>
        <v>4</v>
      </c>
      <c r="D2821">
        <v>27</v>
      </c>
      <c r="E2821" t="str">
        <f>"99999"</f>
        <v>99999</v>
      </c>
      <c r="F2821" t="str">
        <f t="shared" si="226"/>
        <v>0000</v>
      </c>
    </row>
    <row r="2822" spans="1:6">
      <c r="C2822" t="str">
        <f t="shared" si="225"/>
        <v>4</v>
      </c>
      <c r="D2822">
        <v>27</v>
      </c>
      <c r="E2822" t="str">
        <f>"975"</f>
        <v>975</v>
      </c>
      <c r="F2822" t="str">
        <f t="shared" si="226"/>
        <v>0000</v>
      </c>
    </row>
    <row r="2823" spans="1:6">
      <c r="C2823" t="str">
        <f t="shared" si="225"/>
        <v>4</v>
      </c>
      <c r="D2823">
        <v>27</v>
      </c>
      <c r="E2823" t="str">
        <f>"677"</f>
        <v>677</v>
      </c>
      <c r="F2823" t="str">
        <f t="shared" si="226"/>
        <v>0000</v>
      </c>
    </row>
    <row r="2824" spans="1:6">
      <c r="C2824" t="str">
        <f t="shared" si="225"/>
        <v>4</v>
      </c>
      <c r="D2824">
        <v>27</v>
      </c>
      <c r="E2824" t="str">
        <f>"589"</f>
        <v>589</v>
      </c>
      <c r="F2824" t="str">
        <f t="shared" si="226"/>
        <v>0000</v>
      </c>
    </row>
    <row r="2825" spans="1:6">
      <c r="C2825" t="str">
        <f t="shared" si="225"/>
        <v>4</v>
      </c>
      <c r="D2825">
        <v>27</v>
      </c>
      <c r="E2825" t="str">
        <f>"587"</f>
        <v>587</v>
      </c>
      <c r="F2825" t="str">
        <f t="shared" si="226"/>
        <v>0000</v>
      </c>
    </row>
    <row r="2826" spans="1:6">
      <c r="A2826" t="str">
        <f>"E1235-445"</f>
        <v>E1235-445</v>
      </c>
      <c r="B2826" t="str">
        <f>"VIA FELICE MARITANO  80-"</f>
        <v>VIA FELICE MARITANO  80-</v>
      </c>
      <c r="C2826" t="str">
        <f t="shared" si="225"/>
        <v>4</v>
      </c>
      <c r="D2826">
        <v>27</v>
      </c>
      <c r="E2826" t="str">
        <f>"124"</f>
        <v>124</v>
      </c>
      <c r="F2826" t="str">
        <f t="shared" si="226"/>
        <v>0000</v>
      </c>
    </row>
    <row r="2827" spans="1:6">
      <c r="C2827" t="str">
        <f t="shared" si="225"/>
        <v>4</v>
      </c>
      <c r="D2827">
        <v>27</v>
      </c>
      <c r="E2827" t="str">
        <f>"1422"</f>
        <v>1422</v>
      </c>
      <c r="F2827" t="str">
        <f t="shared" si="226"/>
        <v>0000</v>
      </c>
    </row>
    <row r="2828" spans="1:6">
      <c r="C2828" t="str">
        <f t="shared" si="225"/>
        <v>4</v>
      </c>
      <c r="D2828">
        <v>27</v>
      </c>
      <c r="E2828" t="str">
        <f>"587"</f>
        <v>587</v>
      </c>
      <c r="F2828" t="str">
        <f t="shared" si="226"/>
        <v>0000</v>
      </c>
    </row>
    <row r="2829" spans="1:6">
      <c r="C2829" t="str">
        <f t="shared" si="225"/>
        <v>4</v>
      </c>
      <c r="D2829">
        <v>27</v>
      </c>
      <c r="E2829" t="str">
        <f>"99999"</f>
        <v>99999</v>
      </c>
      <c r="F2829" t="str">
        <f t="shared" si="226"/>
        <v>0000</v>
      </c>
    </row>
    <row r="2830" spans="1:6">
      <c r="C2830" t="str">
        <f t="shared" si="225"/>
        <v>4</v>
      </c>
      <c r="D2830">
        <v>27</v>
      </c>
      <c r="E2830" t="str">
        <f>"975"</f>
        <v>975</v>
      </c>
      <c r="F2830" t="str">
        <f t="shared" si="226"/>
        <v>0000</v>
      </c>
    </row>
    <row r="2831" spans="1:6">
      <c r="C2831" t="str">
        <f t="shared" si="225"/>
        <v>4</v>
      </c>
      <c r="D2831">
        <v>27</v>
      </c>
      <c r="E2831" t="str">
        <f>"678"</f>
        <v>678</v>
      </c>
      <c r="F2831" t="str">
        <f t="shared" si="226"/>
        <v>0000</v>
      </c>
    </row>
    <row r="2832" spans="1:6">
      <c r="C2832" t="str">
        <f t="shared" si="225"/>
        <v>4</v>
      </c>
      <c r="D2832">
        <v>27</v>
      </c>
      <c r="E2832" t="str">
        <f>"677"</f>
        <v>677</v>
      </c>
      <c r="F2832" t="str">
        <f t="shared" si="226"/>
        <v>0000</v>
      </c>
    </row>
    <row r="2833" spans="1:6">
      <c r="C2833" t="str">
        <f t="shared" si="225"/>
        <v>4</v>
      </c>
      <c r="D2833">
        <v>27</v>
      </c>
      <c r="E2833" t="str">
        <f>"676"</f>
        <v>676</v>
      </c>
      <c r="F2833" t="str">
        <f t="shared" si="226"/>
        <v>0000</v>
      </c>
    </row>
    <row r="2834" spans="1:6">
      <c r="C2834" t="str">
        <f t="shared" si="225"/>
        <v>4</v>
      </c>
      <c r="D2834">
        <v>27</v>
      </c>
      <c r="E2834" t="str">
        <f>"589"</f>
        <v>589</v>
      </c>
      <c r="F2834" t="str">
        <f t="shared" si="226"/>
        <v>0000</v>
      </c>
    </row>
    <row r="2835" spans="1:6">
      <c r="C2835" t="str">
        <f t="shared" si="225"/>
        <v>4</v>
      </c>
      <c r="D2835">
        <v>27</v>
      </c>
      <c r="E2835" t="str">
        <f>"588"</f>
        <v>588</v>
      </c>
      <c r="F2835" t="str">
        <f t="shared" si="226"/>
        <v>0000</v>
      </c>
    </row>
    <row r="2836" spans="1:6">
      <c r="C2836" t="str">
        <f t="shared" si="225"/>
        <v>4</v>
      </c>
      <c r="D2836">
        <v>27</v>
      </c>
      <c r="E2836" t="str">
        <f>"1855"</f>
        <v>1855</v>
      </c>
      <c r="F2836" t="str">
        <f t="shared" si="226"/>
        <v>0000</v>
      </c>
    </row>
    <row r="2837" spans="1:6">
      <c r="C2837" t="str">
        <f t="shared" si="225"/>
        <v>4</v>
      </c>
      <c r="D2837">
        <v>27</v>
      </c>
      <c r="E2837" t="str">
        <f>"1421"</f>
        <v>1421</v>
      </c>
      <c r="F2837" t="str">
        <f t="shared" si="226"/>
        <v>0000</v>
      </c>
    </row>
    <row r="2838" spans="1:6">
      <c r="C2838" t="str">
        <f t="shared" si="225"/>
        <v>4</v>
      </c>
      <c r="D2838">
        <v>27</v>
      </c>
      <c r="E2838" t="str">
        <f>"1241"</f>
        <v>1241</v>
      </c>
      <c r="F2838" t="str">
        <f t="shared" si="226"/>
        <v>0000</v>
      </c>
    </row>
    <row r="2839" spans="1:6">
      <c r="A2839" t="str">
        <f>"E1235-446"</f>
        <v>E1235-446</v>
      </c>
      <c r="B2839" t="str">
        <f>"VIA FELICE MARITANO  80-"</f>
        <v>VIA FELICE MARITANO  80-</v>
      </c>
      <c r="C2839" t="str">
        <f t="shared" si="225"/>
        <v>4</v>
      </c>
      <c r="D2839">
        <v>27</v>
      </c>
      <c r="E2839" t="str">
        <f>"124"</f>
        <v>124</v>
      </c>
      <c r="F2839" t="str">
        <f t="shared" si="226"/>
        <v>0000</v>
      </c>
    </row>
    <row r="2840" spans="1:6">
      <c r="C2840" t="str">
        <f t="shared" si="225"/>
        <v>4</v>
      </c>
      <c r="D2840">
        <v>27</v>
      </c>
      <c r="E2840" t="str">
        <f>"1241"</f>
        <v>1241</v>
      </c>
      <c r="F2840" t="str">
        <f t="shared" si="226"/>
        <v>0000</v>
      </c>
    </row>
    <row r="2841" spans="1:6">
      <c r="C2841" t="str">
        <f t="shared" si="225"/>
        <v>4</v>
      </c>
      <c r="D2841">
        <v>27</v>
      </c>
      <c r="E2841" t="str">
        <f>"1421"</f>
        <v>1421</v>
      </c>
      <c r="F2841" t="str">
        <f t="shared" si="226"/>
        <v>0000</v>
      </c>
    </row>
    <row r="2842" spans="1:6">
      <c r="C2842" t="str">
        <f t="shared" si="225"/>
        <v>4</v>
      </c>
      <c r="D2842">
        <v>27</v>
      </c>
      <c r="E2842" t="str">
        <f>"1855"</f>
        <v>1855</v>
      </c>
      <c r="F2842" t="str">
        <f t="shared" si="226"/>
        <v>0000</v>
      </c>
    </row>
    <row r="2843" spans="1:6">
      <c r="C2843" t="str">
        <f t="shared" si="225"/>
        <v>4</v>
      </c>
      <c r="D2843">
        <v>27</v>
      </c>
      <c r="E2843" t="str">
        <f>"588"</f>
        <v>588</v>
      </c>
      <c r="F2843" t="str">
        <f t="shared" si="226"/>
        <v>0000</v>
      </c>
    </row>
    <row r="2844" spans="1:6">
      <c r="C2844" t="str">
        <f t="shared" si="225"/>
        <v>4</v>
      </c>
      <c r="D2844">
        <v>27</v>
      </c>
      <c r="E2844" t="str">
        <f>"676"</f>
        <v>676</v>
      </c>
      <c r="F2844" t="str">
        <f t="shared" si="226"/>
        <v>0000</v>
      </c>
    </row>
    <row r="2845" spans="1:6">
      <c r="C2845" t="str">
        <f t="shared" si="225"/>
        <v>4</v>
      </c>
      <c r="D2845">
        <v>27</v>
      </c>
      <c r="E2845" t="str">
        <f>"99999"</f>
        <v>99999</v>
      </c>
      <c r="F2845" t="str">
        <f t="shared" si="226"/>
        <v>0000</v>
      </c>
    </row>
    <row r="2846" spans="1:6">
      <c r="C2846" t="str">
        <f t="shared" si="225"/>
        <v>4</v>
      </c>
      <c r="D2846">
        <v>27</v>
      </c>
      <c r="E2846" t="str">
        <f>"975"</f>
        <v>975</v>
      </c>
      <c r="F2846" t="str">
        <f t="shared" si="226"/>
        <v>0000</v>
      </c>
    </row>
    <row r="2847" spans="1:6">
      <c r="C2847" t="str">
        <f t="shared" si="225"/>
        <v>4</v>
      </c>
      <c r="D2847">
        <v>27</v>
      </c>
      <c r="E2847" t="str">
        <f>"678"</f>
        <v>678</v>
      </c>
      <c r="F2847" t="str">
        <f t="shared" si="226"/>
        <v>0000</v>
      </c>
    </row>
    <row r="2848" spans="1:6">
      <c r="C2848" t="str">
        <f t="shared" si="225"/>
        <v>4</v>
      </c>
      <c r="D2848">
        <v>27</v>
      </c>
      <c r="E2848" t="str">
        <f>"677"</f>
        <v>677</v>
      </c>
      <c r="F2848" t="str">
        <f t="shared" si="226"/>
        <v>0000</v>
      </c>
    </row>
    <row r="2849" spans="1:6">
      <c r="C2849" t="str">
        <f t="shared" si="225"/>
        <v>4</v>
      </c>
      <c r="D2849">
        <v>27</v>
      </c>
      <c r="E2849" t="str">
        <f>"589"</f>
        <v>589</v>
      </c>
      <c r="F2849" t="str">
        <f t="shared" si="226"/>
        <v>0000</v>
      </c>
    </row>
    <row r="2850" spans="1:6">
      <c r="C2850" t="str">
        <f t="shared" si="225"/>
        <v>4</v>
      </c>
      <c r="D2850">
        <v>27</v>
      </c>
      <c r="E2850" t="str">
        <f>"587"</f>
        <v>587</v>
      </c>
      <c r="F2850" t="str">
        <f t="shared" si="226"/>
        <v>0000</v>
      </c>
    </row>
    <row r="2851" spans="1:6">
      <c r="C2851" t="str">
        <f t="shared" si="225"/>
        <v>4</v>
      </c>
      <c r="D2851">
        <v>27</v>
      </c>
      <c r="E2851" t="str">
        <f>"1422"</f>
        <v>1422</v>
      </c>
      <c r="F2851" t="str">
        <f t="shared" si="226"/>
        <v>0000</v>
      </c>
    </row>
    <row r="2852" spans="1:6">
      <c r="A2852" t="str">
        <f>"E1235-447"</f>
        <v>E1235-447</v>
      </c>
      <c r="B2852" t="str">
        <f>"VIA FELICE MARITANO  80-"</f>
        <v>VIA FELICE MARITANO  80-</v>
      </c>
      <c r="C2852" t="str">
        <f t="shared" si="225"/>
        <v>4</v>
      </c>
      <c r="D2852">
        <v>27</v>
      </c>
      <c r="E2852" t="str">
        <f>"124"</f>
        <v>124</v>
      </c>
      <c r="F2852" t="str">
        <f t="shared" si="226"/>
        <v>0000</v>
      </c>
    </row>
    <row r="2853" spans="1:6">
      <c r="C2853" t="str">
        <f t="shared" si="225"/>
        <v>4</v>
      </c>
      <c r="D2853">
        <v>27</v>
      </c>
      <c r="E2853" t="str">
        <f>"99999"</f>
        <v>99999</v>
      </c>
      <c r="F2853" t="str">
        <f t="shared" si="226"/>
        <v>0000</v>
      </c>
    </row>
    <row r="2854" spans="1:6">
      <c r="C2854" t="str">
        <f t="shared" si="225"/>
        <v>4</v>
      </c>
      <c r="D2854">
        <v>27</v>
      </c>
      <c r="E2854" t="str">
        <f>"975"</f>
        <v>975</v>
      </c>
      <c r="F2854" t="str">
        <f t="shared" si="226"/>
        <v>0000</v>
      </c>
    </row>
    <row r="2855" spans="1:6">
      <c r="C2855" t="str">
        <f t="shared" si="225"/>
        <v>4</v>
      </c>
      <c r="D2855">
        <v>27</v>
      </c>
      <c r="E2855" t="str">
        <f>"678"</f>
        <v>678</v>
      </c>
      <c r="F2855" t="str">
        <f t="shared" si="226"/>
        <v>0000</v>
      </c>
    </row>
    <row r="2856" spans="1:6">
      <c r="C2856" t="str">
        <f t="shared" si="225"/>
        <v>4</v>
      </c>
      <c r="D2856">
        <v>27</v>
      </c>
      <c r="E2856" t="str">
        <f>"677"</f>
        <v>677</v>
      </c>
      <c r="F2856" t="str">
        <f t="shared" si="226"/>
        <v>0000</v>
      </c>
    </row>
    <row r="2857" spans="1:6">
      <c r="C2857" t="str">
        <f t="shared" si="225"/>
        <v>4</v>
      </c>
      <c r="D2857">
        <v>27</v>
      </c>
      <c r="E2857" t="str">
        <f>"676"</f>
        <v>676</v>
      </c>
      <c r="F2857" t="str">
        <f t="shared" si="226"/>
        <v>0000</v>
      </c>
    </row>
    <row r="2858" spans="1:6">
      <c r="C2858" t="str">
        <f t="shared" si="225"/>
        <v>4</v>
      </c>
      <c r="D2858">
        <v>27</v>
      </c>
      <c r="E2858" t="str">
        <f>"589"</f>
        <v>589</v>
      </c>
      <c r="F2858" t="str">
        <f t="shared" si="226"/>
        <v>0000</v>
      </c>
    </row>
    <row r="2859" spans="1:6">
      <c r="C2859" t="str">
        <f t="shared" si="225"/>
        <v>4</v>
      </c>
      <c r="D2859">
        <v>27</v>
      </c>
      <c r="E2859" t="str">
        <f>"588"</f>
        <v>588</v>
      </c>
      <c r="F2859" t="str">
        <f t="shared" si="226"/>
        <v>0000</v>
      </c>
    </row>
    <row r="2860" spans="1:6">
      <c r="C2860" t="str">
        <f t="shared" si="225"/>
        <v>4</v>
      </c>
      <c r="D2860">
        <v>27</v>
      </c>
      <c r="E2860" t="str">
        <f>"587"</f>
        <v>587</v>
      </c>
      <c r="F2860" t="str">
        <f t="shared" si="226"/>
        <v>0000</v>
      </c>
    </row>
    <row r="2861" spans="1:6">
      <c r="C2861" t="str">
        <f t="shared" si="225"/>
        <v>4</v>
      </c>
      <c r="D2861">
        <v>27</v>
      </c>
      <c r="E2861" t="str">
        <f>"1855"</f>
        <v>1855</v>
      </c>
      <c r="F2861" t="str">
        <f t="shared" si="226"/>
        <v>0000</v>
      </c>
    </row>
    <row r="2862" spans="1:6">
      <c r="C2862" t="str">
        <f t="shared" si="225"/>
        <v>4</v>
      </c>
      <c r="D2862">
        <v>27</v>
      </c>
      <c r="E2862" t="str">
        <f>"1241"</f>
        <v>1241</v>
      </c>
      <c r="F2862" t="str">
        <f t="shared" si="226"/>
        <v>0000</v>
      </c>
    </row>
    <row r="2863" spans="1:6">
      <c r="C2863" t="str">
        <f t="shared" si="225"/>
        <v>4</v>
      </c>
      <c r="D2863">
        <v>27</v>
      </c>
      <c r="E2863" t="str">
        <f>"1422"</f>
        <v>1422</v>
      </c>
      <c r="F2863" t="str">
        <f t="shared" si="226"/>
        <v>0000</v>
      </c>
    </row>
    <row r="2864" spans="1:6">
      <c r="C2864" t="str">
        <f t="shared" si="225"/>
        <v>4</v>
      </c>
      <c r="D2864">
        <v>27</v>
      </c>
      <c r="E2864" t="str">
        <f>"1421"</f>
        <v>1421</v>
      </c>
      <c r="F2864" t="str">
        <f t="shared" si="226"/>
        <v>0000</v>
      </c>
    </row>
    <row r="2865" spans="1:6">
      <c r="A2865" t="str">
        <f>"E1235-448"</f>
        <v>E1235-448</v>
      </c>
      <c r="B2865" t="str">
        <f>"VIA FELICE MARITANO  80-"</f>
        <v>VIA FELICE MARITANO  80-</v>
      </c>
      <c r="C2865" t="str">
        <f t="shared" si="225"/>
        <v>4</v>
      </c>
      <c r="D2865">
        <v>27</v>
      </c>
      <c r="E2865" t="str">
        <f>"124"</f>
        <v>124</v>
      </c>
      <c r="F2865" t="str">
        <f t="shared" si="226"/>
        <v>0000</v>
      </c>
    </row>
    <row r="2866" spans="1:6">
      <c r="C2866" t="str">
        <f t="shared" si="225"/>
        <v>4</v>
      </c>
      <c r="D2866">
        <v>27</v>
      </c>
      <c r="E2866" t="str">
        <f>"1241"</f>
        <v>1241</v>
      </c>
      <c r="F2866" t="str">
        <f t="shared" si="226"/>
        <v>0000</v>
      </c>
    </row>
    <row r="2867" spans="1:6">
      <c r="C2867" t="str">
        <f t="shared" si="225"/>
        <v>4</v>
      </c>
      <c r="D2867">
        <v>27</v>
      </c>
      <c r="E2867" t="str">
        <f>"1422"</f>
        <v>1422</v>
      </c>
      <c r="F2867" t="str">
        <f t="shared" si="226"/>
        <v>0000</v>
      </c>
    </row>
    <row r="2868" spans="1:6">
      <c r="C2868" t="str">
        <f t="shared" si="225"/>
        <v>4</v>
      </c>
      <c r="D2868">
        <v>27</v>
      </c>
      <c r="E2868" t="str">
        <f>"587"</f>
        <v>587</v>
      </c>
      <c r="F2868" t="str">
        <f t="shared" si="226"/>
        <v>0000</v>
      </c>
    </row>
    <row r="2869" spans="1:6">
      <c r="C2869" t="str">
        <f t="shared" si="225"/>
        <v>4</v>
      </c>
      <c r="D2869">
        <v>27</v>
      </c>
      <c r="E2869" t="str">
        <f>"589"</f>
        <v>589</v>
      </c>
      <c r="F2869" t="str">
        <f t="shared" si="226"/>
        <v>0000</v>
      </c>
    </row>
    <row r="2870" spans="1:6">
      <c r="C2870" t="str">
        <f t="shared" si="225"/>
        <v>4</v>
      </c>
      <c r="D2870">
        <v>27</v>
      </c>
      <c r="E2870" t="str">
        <f>"99999"</f>
        <v>99999</v>
      </c>
      <c r="F2870" t="str">
        <f t="shared" si="226"/>
        <v>0000</v>
      </c>
    </row>
    <row r="2871" spans="1:6">
      <c r="C2871" t="str">
        <f t="shared" si="225"/>
        <v>4</v>
      </c>
      <c r="D2871">
        <v>27</v>
      </c>
      <c r="E2871" t="str">
        <f>"975"</f>
        <v>975</v>
      </c>
      <c r="F2871" t="str">
        <f t="shared" si="226"/>
        <v>0000</v>
      </c>
    </row>
    <row r="2872" spans="1:6">
      <c r="C2872" t="str">
        <f t="shared" si="225"/>
        <v>4</v>
      </c>
      <c r="D2872">
        <v>27</v>
      </c>
      <c r="E2872" t="str">
        <f>"678"</f>
        <v>678</v>
      </c>
      <c r="F2872" t="str">
        <f t="shared" si="226"/>
        <v>0000</v>
      </c>
    </row>
    <row r="2873" spans="1:6">
      <c r="C2873" t="str">
        <f t="shared" si="225"/>
        <v>4</v>
      </c>
      <c r="D2873">
        <v>27</v>
      </c>
      <c r="E2873" t="str">
        <f>"677"</f>
        <v>677</v>
      </c>
      <c r="F2873" t="str">
        <f t="shared" si="226"/>
        <v>0000</v>
      </c>
    </row>
    <row r="2874" spans="1:6">
      <c r="C2874" t="str">
        <f t="shared" si="225"/>
        <v>4</v>
      </c>
      <c r="D2874">
        <v>27</v>
      </c>
      <c r="E2874" t="str">
        <f>"676"</f>
        <v>676</v>
      </c>
      <c r="F2874" t="str">
        <f t="shared" si="226"/>
        <v>0000</v>
      </c>
    </row>
    <row r="2875" spans="1:6">
      <c r="C2875" t="str">
        <f t="shared" ref="C2875:C2938" si="227">"4"</f>
        <v>4</v>
      </c>
      <c r="D2875">
        <v>27</v>
      </c>
      <c r="E2875" t="str">
        <f>"588"</f>
        <v>588</v>
      </c>
      <c r="F2875" t="str">
        <f t="shared" ref="F2875:F2938" si="228">"0000"</f>
        <v>0000</v>
      </c>
    </row>
    <row r="2876" spans="1:6">
      <c r="C2876" t="str">
        <f t="shared" si="227"/>
        <v>4</v>
      </c>
      <c r="D2876">
        <v>27</v>
      </c>
      <c r="E2876" t="str">
        <f>"1855"</f>
        <v>1855</v>
      </c>
      <c r="F2876" t="str">
        <f t="shared" si="228"/>
        <v>0000</v>
      </c>
    </row>
    <row r="2877" spans="1:6">
      <c r="C2877" t="str">
        <f t="shared" si="227"/>
        <v>4</v>
      </c>
      <c r="D2877">
        <v>27</v>
      </c>
      <c r="E2877" t="str">
        <f>"1421"</f>
        <v>1421</v>
      </c>
      <c r="F2877" t="str">
        <f t="shared" si="228"/>
        <v>0000</v>
      </c>
    </row>
    <row r="2878" spans="1:6">
      <c r="A2878" t="str">
        <f>"E1235-449"</f>
        <v>E1235-449</v>
      </c>
      <c r="B2878" t="str">
        <f>"VIA FELICE MARITANO  80-"</f>
        <v>VIA FELICE MARITANO  80-</v>
      </c>
      <c r="C2878" t="str">
        <f t="shared" si="227"/>
        <v>4</v>
      </c>
      <c r="D2878">
        <v>27</v>
      </c>
      <c r="E2878" t="str">
        <f>"124"</f>
        <v>124</v>
      </c>
      <c r="F2878" t="str">
        <f t="shared" si="228"/>
        <v>0000</v>
      </c>
    </row>
    <row r="2879" spans="1:6">
      <c r="C2879" t="str">
        <f t="shared" si="227"/>
        <v>4</v>
      </c>
      <c r="D2879">
        <v>27</v>
      </c>
      <c r="E2879" t="str">
        <f>"1421"</f>
        <v>1421</v>
      </c>
      <c r="F2879" t="str">
        <f t="shared" si="228"/>
        <v>0000</v>
      </c>
    </row>
    <row r="2880" spans="1:6">
      <c r="C2880" t="str">
        <f t="shared" si="227"/>
        <v>4</v>
      </c>
      <c r="D2880">
        <v>27</v>
      </c>
      <c r="E2880" t="str">
        <f>"1422"</f>
        <v>1422</v>
      </c>
      <c r="F2880" t="str">
        <f t="shared" si="228"/>
        <v>0000</v>
      </c>
    </row>
    <row r="2881" spans="1:6">
      <c r="C2881" t="str">
        <f t="shared" si="227"/>
        <v>4</v>
      </c>
      <c r="D2881">
        <v>27</v>
      </c>
      <c r="E2881" t="str">
        <f>"1241"</f>
        <v>1241</v>
      </c>
      <c r="F2881" t="str">
        <f t="shared" si="228"/>
        <v>0000</v>
      </c>
    </row>
    <row r="2882" spans="1:6">
      <c r="C2882" t="str">
        <f t="shared" si="227"/>
        <v>4</v>
      </c>
      <c r="D2882">
        <v>27</v>
      </c>
      <c r="E2882" t="str">
        <f>"1855"</f>
        <v>1855</v>
      </c>
      <c r="F2882" t="str">
        <f t="shared" si="228"/>
        <v>0000</v>
      </c>
    </row>
    <row r="2883" spans="1:6">
      <c r="C2883" t="str">
        <f t="shared" si="227"/>
        <v>4</v>
      </c>
      <c r="D2883">
        <v>27</v>
      </c>
      <c r="E2883" t="str">
        <f>"588"</f>
        <v>588</v>
      </c>
      <c r="F2883" t="str">
        <f t="shared" si="228"/>
        <v>0000</v>
      </c>
    </row>
    <row r="2884" spans="1:6">
      <c r="C2884" t="str">
        <f t="shared" si="227"/>
        <v>4</v>
      </c>
      <c r="D2884">
        <v>27</v>
      </c>
      <c r="E2884" t="str">
        <f>"676"</f>
        <v>676</v>
      </c>
      <c r="F2884" t="str">
        <f t="shared" si="228"/>
        <v>0000</v>
      </c>
    </row>
    <row r="2885" spans="1:6">
      <c r="C2885" t="str">
        <f t="shared" si="227"/>
        <v>4</v>
      </c>
      <c r="D2885">
        <v>27</v>
      </c>
      <c r="E2885" t="str">
        <f>"678"</f>
        <v>678</v>
      </c>
      <c r="F2885" t="str">
        <f t="shared" si="228"/>
        <v>0000</v>
      </c>
    </row>
    <row r="2886" spans="1:6">
      <c r="C2886" t="str">
        <f t="shared" si="227"/>
        <v>4</v>
      </c>
      <c r="D2886">
        <v>27</v>
      </c>
      <c r="E2886" t="str">
        <f>"99999"</f>
        <v>99999</v>
      </c>
      <c r="F2886" t="str">
        <f t="shared" si="228"/>
        <v>0000</v>
      </c>
    </row>
    <row r="2887" spans="1:6">
      <c r="C2887" t="str">
        <f t="shared" si="227"/>
        <v>4</v>
      </c>
      <c r="D2887">
        <v>27</v>
      </c>
      <c r="E2887" t="str">
        <f>"975"</f>
        <v>975</v>
      </c>
      <c r="F2887" t="str">
        <f t="shared" si="228"/>
        <v>0000</v>
      </c>
    </row>
    <row r="2888" spans="1:6">
      <c r="C2888" t="str">
        <f t="shared" si="227"/>
        <v>4</v>
      </c>
      <c r="D2888">
        <v>27</v>
      </c>
      <c r="E2888" t="str">
        <f>"677"</f>
        <v>677</v>
      </c>
      <c r="F2888" t="str">
        <f t="shared" si="228"/>
        <v>0000</v>
      </c>
    </row>
    <row r="2889" spans="1:6">
      <c r="C2889" t="str">
        <f t="shared" si="227"/>
        <v>4</v>
      </c>
      <c r="D2889">
        <v>27</v>
      </c>
      <c r="E2889" t="str">
        <f>"589"</f>
        <v>589</v>
      </c>
      <c r="F2889" t="str">
        <f t="shared" si="228"/>
        <v>0000</v>
      </c>
    </row>
    <row r="2890" spans="1:6">
      <c r="C2890" t="str">
        <f t="shared" si="227"/>
        <v>4</v>
      </c>
      <c r="D2890">
        <v>27</v>
      </c>
      <c r="E2890" t="str">
        <f>"587"</f>
        <v>587</v>
      </c>
      <c r="F2890" t="str">
        <f t="shared" si="228"/>
        <v>0000</v>
      </c>
    </row>
    <row r="2891" spans="1:6">
      <c r="A2891" t="str">
        <f>"E1235-450"</f>
        <v>E1235-450</v>
      </c>
      <c r="B2891" t="str">
        <f>"VIA FELICE MARITANO  80-"</f>
        <v>VIA FELICE MARITANO  80-</v>
      </c>
      <c r="C2891" t="str">
        <f t="shared" si="227"/>
        <v>4</v>
      </c>
      <c r="D2891">
        <v>27</v>
      </c>
      <c r="E2891" t="str">
        <f>"124"</f>
        <v>124</v>
      </c>
      <c r="F2891" t="str">
        <f t="shared" si="228"/>
        <v>0000</v>
      </c>
    </row>
    <row r="2892" spans="1:6">
      <c r="C2892" t="str">
        <f t="shared" si="227"/>
        <v>4</v>
      </c>
      <c r="D2892">
        <v>27</v>
      </c>
      <c r="E2892" t="str">
        <f>"1422"</f>
        <v>1422</v>
      </c>
      <c r="F2892" t="str">
        <f t="shared" si="228"/>
        <v>0000</v>
      </c>
    </row>
    <row r="2893" spans="1:6">
      <c r="C2893" t="str">
        <f t="shared" si="227"/>
        <v>4</v>
      </c>
      <c r="D2893">
        <v>27</v>
      </c>
      <c r="E2893" t="str">
        <f>"587"</f>
        <v>587</v>
      </c>
      <c r="F2893" t="str">
        <f t="shared" si="228"/>
        <v>0000</v>
      </c>
    </row>
    <row r="2894" spans="1:6">
      <c r="C2894" t="str">
        <f t="shared" si="227"/>
        <v>4</v>
      </c>
      <c r="D2894">
        <v>27</v>
      </c>
      <c r="E2894" t="str">
        <f>"99999"</f>
        <v>99999</v>
      </c>
      <c r="F2894" t="str">
        <f t="shared" si="228"/>
        <v>0000</v>
      </c>
    </row>
    <row r="2895" spans="1:6">
      <c r="C2895" t="str">
        <f t="shared" si="227"/>
        <v>4</v>
      </c>
      <c r="D2895">
        <v>27</v>
      </c>
      <c r="E2895" t="str">
        <f>"975"</f>
        <v>975</v>
      </c>
      <c r="F2895" t="str">
        <f t="shared" si="228"/>
        <v>0000</v>
      </c>
    </row>
    <row r="2896" spans="1:6">
      <c r="C2896" t="str">
        <f t="shared" si="227"/>
        <v>4</v>
      </c>
      <c r="D2896">
        <v>27</v>
      </c>
      <c r="E2896" t="str">
        <f>"678"</f>
        <v>678</v>
      </c>
      <c r="F2896" t="str">
        <f t="shared" si="228"/>
        <v>0000</v>
      </c>
    </row>
    <row r="2897" spans="1:6">
      <c r="C2897" t="str">
        <f t="shared" si="227"/>
        <v>4</v>
      </c>
      <c r="D2897">
        <v>27</v>
      </c>
      <c r="E2897" t="str">
        <f>"677"</f>
        <v>677</v>
      </c>
      <c r="F2897" t="str">
        <f t="shared" si="228"/>
        <v>0000</v>
      </c>
    </row>
    <row r="2898" spans="1:6">
      <c r="C2898" t="str">
        <f t="shared" si="227"/>
        <v>4</v>
      </c>
      <c r="D2898">
        <v>27</v>
      </c>
      <c r="E2898" t="str">
        <f>"676"</f>
        <v>676</v>
      </c>
      <c r="F2898" t="str">
        <f t="shared" si="228"/>
        <v>0000</v>
      </c>
    </row>
    <row r="2899" spans="1:6">
      <c r="C2899" t="str">
        <f t="shared" si="227"/>
        <v>4</v>
      </c>
      <c r="D2899">
        <v>27</v>
      </c>
      <c r="E2899" t="str">
        <f>"589"</f>
        <v>589</v>
      </c>
      <c r="F2899" t="str">
        <f t="shared" si="228"/>
        <v>0000</v>
      </c>
    </row>
    <row r="2900" spans="1:6">
      <c r="C2900" t="str">
        <f t="shared" si="227"/>
        <v>4</v>
      </c>
      <c r="D2900">
        <v>27</v>
      </c>
      <c r="E2900" t="str">
        <f>"588"</f>
        <v>588</v>
      </c>
      <c r="F2900" t="str">
        <f t="shared" si="228"/>
        <v>0000</v>
      </c>
    </row>
    <row r="2901" spans="1:6">
      <c r="C2901" t="str">
        <f t="shared" si="227"/>
        <v>4</v>
      </c>
      <c r="D2901">
        <v>27</v>
      </c>
      <c r="E2901" t="str">
        <f>"1855"</f>
        <v>1855</v>
      </c>
      <c r="F2901" t="str">
        <f t="shared" si="228"/>
        <v>0000</v>
      </c>
    </row>
    <row r="2902" spans="1:6">
      <c r="C2902" t="str">
        <f t="shared" si="227"/>
        <v>4</v>
      </c>
      <c r="D2902">
        <v>27</v>
      </c>
      <c r="E2902" t="str">
        <f>"1421"</f>
        <v>1421</v>
      </c>
      <c r="F2902" t="str">
        <f t="shared" si="228"/>
        <v>0000</v>
      </c>
    </row>
    <row r="2903" spans="1:6">
      <c r="C2903" t="str">
        <f t="shared" si="227"/>
        <v>4</v>
      </c>
      <c r="D2903">
        <v>27</v>
      </c>
      <c r="E2903" t="str">
        <f>"1241"</f>
        <v>1241</v>
      </c>
      <c r="F2903" t="str">
        <f t="shared" si="228"/>
        <v>0000</v>
      </c>
    </row>
    <row r="2904" spans="1:6">
      <c r="A2904" t="str">
        <f>"E1235-451"</f>
        <v>E1235-451</v>
      </c>
      <c r="B2904" t="str">
        <f>"VIA FELICE MARITANO  80-"</f>
        <v>VIA FELICE MARITANO  80-</v>
      </c>
      <c r="C2904" t="str">
        <f t="shared" si="227"/>
        <v>4</v>
      </c>
      <c r="D2904">
        <v>27</v>
      </c>
      <c r="E2904" t="str">
        <f>"124"</f>
        <v>124</v>
      </c>
      <c r="F2904" t="str">
        <f t="shared" si="228"/>
        <v>0000</v>
      </c>
    </row>
    <row r="2905" spans="1:6">
      <c r="C2905" t="str">
        <f t="shared" si="227"/>
        <v>4</v>
      </c>
      <c r="D2905">
        <v>27</v>
      </c>
      <c r="E2905" t="str">
        <f>"1241"</f>
        <v>1241</v>
      </c>
      <c r="F2905" t="str">
        <f t="shared" si="228"/>
        <v>0000</v>
      </c>
    </row>
    <row r="2906" spans="1:6">
      <c r="C2906" t="str">
        <f t="shared" si="227"/>
        <v>4</v>
      </c>
      <c r="D2906">
        <v>27</v>
      </c>
      <c r="E2906" t="str">
        <f>"1421"</f>
        <v>1421</v>
      </c>
      <c r="F2906" t="str">
        <f t="shared" si="228"/>
        <v>0000</v>
      </c>
    </row>
    <row r="2907" spans="1:6">
      <c r="C2907" t="str">
        <f t="shared" si="227"/>
        <v>4</v>
      </c>
      <c r="D2907">
        <v>27</v>
      </c>
      <c r="E2907" t="str">
        <f>"1855"</f>
        <v>1855</v>
      </c>
      <c r="F2907" t="str">
        <f t="shared" si="228"/>
        <v>0000</v>
      </c>
    </row>
    <row r="2908" spans="1:6">
      <c r="C2908" t="str">
        <f t="shared" si="227"/>
        <v>4</v>
      </c>
      <c r="D2908">
        <v>27</v>
      </c>
      <c r="E2908" t="str">
        <f>"588"</f>
        <v>588</v>
      </c>
      <c r="F2908" t="str">
        <f t="shared" si="228"/>
        <v>0000</v>
      </c>
    </row>
    <row r="2909" spans="1:6">
      <c r="C2909" t="str">
        <f t="shared" si="227"/>
        <v>4</v>
      </c>
      <c r="D2909">
        <v>27</v>
      </c>
      <c r="E2909" t="str">
        <f>"676"</f>
        <v>676</v>
      </c>
      <c r="F2909" t="str">
        <f t="shared" si="228"/>
        <v>0000</v>
      </c>
    </row>
    <row r="2910" spans="1:6">
      <c r="C2910" t="str">
        <f t="shared" si="227"/>
        <v>4</v>
      </c>
      <c r="D2910">
        <v>27</v>
      </c>
      <c r="E2910" t="str">
        <f>"99999"</f>
        <v>99999</v>
      </c>
      <c r="F2910" t="str">
        <f t="shared" si="228"/>
        <v>0000</v>
      </c>
    </row>
    <row r="2911" spans="1:6">
      <c r="C2911" t="str">
        <f t="shared" si="227"/>
        <v>4</v>
      </c>
      <c r="D2911">
        <v>27</v>
      </c>
      <c r="E2911" t="str">
        <f>"975"</f>
        <v>975</v>
      </c>
      <c r="F2911" t="str">
        <f t="shared" si="228"/>
        <v>0000</v>
      </c>
    </row>
    <row r="2912" spans="1:6">
      <c r="C2912" t="str">
        <f t="shared" si="227"/>
        <v>4</v>
      </c>
      <c r="D2912">
        <v>27</v>
      </c>
      <c r="E2912" t="str">
        <f>"678"</f>
        <v>678</v>
      </c>
      <c r="F2912" t="str">
        <f t="shared" si="228"/>
        <v>0000</v>
      </c>
    </row>
    <row r="2913" spans="1:6">
      <c r="C2913" t="str">
        <f t="shared" si="227"/>
        <v>4</v>
      </c>
      <c r="D2913">
        <v>27</v>
      </c>
      <c r="E2913" t="str">
        <f>"677"</f>
        <v>677</v>
      </c>
      <c r="F2913" t="str">
        <f t="shared" si="228"/>
        <v>0000</v>
      </c>
    </row>
    <row r="2914" spans="1:6">
      <c r="C2914" t="str">
        <f t="shared" si="227"/>
        <v>4</v>
      </c>
      <c r="D2914">
        <v>27</v>
      </c>
      <c r="E2914" t="str">
        <f>"589"</f>
        <v>589</v>
      </c>
      <c r="F2914" t="str">
        <f t="shared" si="228"/>
        <v>0000</v>
      </c>
    </row>
    <row r="2915" spans="1:6">
      <c r="C2915" t="str">
        <f t="shared" si="227"/>
        <v>4</v>
      </c>
      <c r="D2915">
        <v>27</v>
      </c>
      <c r="E2915" t="str">
        <f>"587"</f>
        <v>587</v>
      </c>
      <c r="F2915" t="str">
        <f t="shared" si="228"/>
        <v>0000</v>
      </c>
    </row>
    <row r="2916" spans="1:6">
      <c r="C2916" t="str">
        <f t="shared" si="227"/>
        <v>4</v>
      </c>
      <c r="D2916">
        <v>27</v>
      </c>
      <c r="E2916" t="str">
        <f>"1422"</f>
        <v>1422</v>
      </c>
      <c r="F2916" t="str">
        <f t="shared" si="228"/>
        <v>0000</v>
      </c>
    </row>
    <row r="2917" spans="1:6">
      <c r="A2917" t="str">
        <f>"E1235-452"</f>
        <v>E1235-452</v>
      </c>
      <c r="B2917" t="str">
        <f>"VIA FELICE MARITANO  80-"</f>
        <v>VIA FELICE MARITANO  80-</v>
      </c>
      <c r="C2917" t="str">
        <f t="shared" si="227"/>
        <v>4</v>
      </c>
      <c r="D2917">
        <v>27</v>
      </c>
      <c r="E2917" t="str">
        <f>"124"</f>
        <v>124</v>
      </c>
      <c r="F2917" t="str">
        <f t="shared" si="228"/>
        <v>0000</v>
      </c>
    </row>
    <row r="2918" spans="1:6">
      <c r="C2918" t="str">
        <f t="shared" si="227"/>
        <v>4</v>
      </c>
      <c r="D2918">
        <v>27</v>
      </c>
      <c r="E2918" t="str">
        <f>"99999"</f>
        <v>99999</v>
      </c>
      <c r="F2918" t="str">
        <f t="shared" si="228"/>
        <v>0000</v>
      </c>
    </row>
    <row r="2919" spans="1:6">
      <c r="C2919" t="str">
        <f t="shared" si="227"/>
        <v>4</v>
      </c>
      <c r="D2919">
        <v>27</v>
      </c>
      <c r="E2919" t="str">
        <f>"975"</f>
        <v>975</v>
      </c>
      <c r="F2919" t="str">
        <f t="shared" si="228"/>
        <v>0000</v>
      </c>
    </row>
    <row r="2920" spans="1:6">
      <c r="C2920" t="str">
        <f t="shared" si="227"/>
        <v>4</v>
      </c>
      <c r="D2920">
        <v>27</v>
      </c>
      <c r="E2920" t="str">
        <f>"678"</f>
        <v>678</v>
      </c>
      <c r="F2920" t="str">
        <f t="shared" si="228"/>
        <v>0000</v>
      </c>
    </row>
    <row r="2921" spans="1:6">
      <c r="C2921" t="str">
        <f t="shared" si="227"/>
        <v>4</v>
      </c>
      <c r="D2921">
        <v>27</v>
      </c>
      <c r="E2921" t="str">
        <f>"677"</f>
        <v>677</v>
      </c>
      <c r="F2921" t="str">
        <f t="shared" si="228"/>
        <v>0000</v>
      </c>
    </row>
    <row r="2922" spans="1:6">
      <c r="C2922" t="str">
        <f t="shared" si="227"/>
        <v>4</v>
      </c>
      <c r="D2922">
        <v>27</v>
      </c>
      <c r="E2922" t="str">
        <f>"676"</f>
        <v>676</v>
      </c>
      <c r="F2922" t="str">
        <f t="shared" si="228"/>
        <v>0000</v>
      </c>
    </row>
    <row r="2923" spans="1:6">
      <c r="C2923" t="str">
        <f t="shared" si="227"/>
        <v>4</v>
      </c>
      <c r="D2923">
        <v>27</v>
      </c>
      <c r="E2923" t="str">
        <f>"589"</f>
        <v>589</v>
      </c>
      <c r="F2923" t="str">
        <f t="shared" si="228"/>
        <v>0000</v>
      </c>
    </row>
    <row r="2924" spans="1:6">
      <c r="C2924" t="str">
        <f t="shared" si="227"/>
        <v>4</v>
      </c>
      <c r="D2924">
        <v>27</v>
      </c>
      <c r="E2924" t="str">
        <f>"588"</f>
        <v>588</v>
      </c>
      <c r="F2924" t="str">
        <f t="shared" si="228"/>
        <v>0000</v>
      </c>
    </row>
    <row r="2925" spans="1:6">
      <c r="C2925" t="str">
        <f t="shared" si="227"/>
        <v>4</v>
      </c>
      <c r="D2925">
        <v>27</v>
      </c>
      <c r="E2925" t="str">
        <f>"587"</f>
        <v>587</v>
      </c>
      <c r="F2925" t="str">
        <f t="shared" si="228"/>
        <v>0000</v>
      </c>
    </row>
    <row r="2926" spans="1:6">
      <c r="C2926" t="str">
        <f t="shared" si="227"/>
        <v>4</v>
      </c>
      <c r="D2926">
        <v>27</v>
      </c>
      <c r="E2926" t="str">
        <f>"1855"</f>
        <v>1855</v>
      </c>
      <c r="F2926" t="str">
        <f t="shared" si="228"/>
        <v>0000</v>
      </c>
    </row>
    <row r="2927" spans="1:6">
      <c r="C2927" t="str">
        <f t="shared" si="227"/>
        <v>4</v>
      </c>
      <c r="D2927">
        <v>27</v>
      </c>
      <c r="E2927" t="str">
        <f>"1241"</f>
        <v>1241</v>
      </c>
      <c r="F2927" t="str">
        <f t="shared" si="228"/>
        <v>0000</v>
      </c>
    </row>
    <row r="2928" spans="1:6">
      <c r="C2928" t="str">
        <f t="shared" si="227"/>
        <v>4</v>
      </c>
      <c r="D2928">
        <v>27</v>
      </c>
      <c r="E2928" t="str">
        <f>"1422"</f>
        <v>1422</v>
      </c>
      <c r="F2928" t="str">
        <f t="shared" si="228"/>
        <v>0000</v>
      </c>
    </row>
    <row r="2929" spans="1:6">
      <c r="C2929" t="str">
        <f t="shared" si="227"/>
        <v>4</v>
      </c>
      <c r="D2929">
        <v>27</v>
      </c>
      <c r="E2929" t="str">
        <f>"1421"</f>
        <v>1421</v>
      </c>
      <c r="F2929" t="str">
        <f t="shared" si="228"/>
        <v>0000</v>
      </c>
    </row>
    <row r="2930" spans="1:6">
      <c r="A2930" t="str">
        <f>"E1235-453"</f>
        <v>E1235-453</v>
      </c>
      <c r="B2930" t="str">
        <f>"VIA FELICE MARITANO  80-"</f>
        <v>VIA FELICE MARITANO  80-</v>
      </c>
      <c r="C2930" t="str">
        <f t="shared" si="227"/>
        <v>4</v>
      </c>
      <c r="D2930">
        <v>27</v>
      </c>
      <c r="E2930" t="str">
        <f>"124"</f>
        <v>124</v>
      </c>
      <c r="F2930" t="str">
        <f t="shared" si="228"/>
        <v>0000</v>
      </c>
    </row>
    <row r="2931" spans="1:6">
      <c r="C2931" t="str">
        <f t="shared" si="227"/>
        <v>4</v>
      </c>
      <c r="D2931">
        <v>27</v>
      </c>
      <c r="E2931" t="str">
        <f>"1241"</f>
        <v>1241</v>
      </c>
      <c r="F2931" t="str">
        <f t="shared" si="228"/>
        <v>0000</v>
      </c>
    </row>
    <row r="2932" spans="1:6">
      <c r="C2932" t="str">
        <f t="shared" si="227"/>
        <v>4</v>
      </c>
      <c r="D2932">
        <v>27</v>
      </c>
      <c r="E2932" t="str">
        <f>"1422"</f>
        <v>1422</v>
      </c>
      <c r="F2932" t="str">
        <f t="shared" si="228"/>
        <v>0000</v>
      </c>
    </row>
    <row r="2933" spans="1:6">
      <c r="C2933" t="str">
        <f t="shared" si="227"/>
        <v>4</v>
      </c>
      <c r="D2933">
        <v>27</v>
      </c>
      <c r="E2933" t="str">
        <f>"587"</f>
        <v>587</v>
      </c>
      <c r="F2933" t="str">
        <f t="shared" si="228"/>
        <v>0000</v>
      </c>
    </row>
    <row r="2934" spans="1:6">
      <c r="C2934" t="str">
        <f t="shared" si="227"/>
        <v>4</v>
      </c>
      <c r="D2934">
        <v>27</v>
      </c>
      <c r="E2934" t="str">
        <f>"589"</f>
        <v>589</v>
      </c>
      <c r="F2934" t="str">
        <f t="shared" si="228"/>
        <v>0000</v>
      </c>
    </row>
    <row r="2935" spans="1:6">
      <c r="C2935" t="str">
        <f t="shared" si="227"/>
        <v>4</v>
      </c>
      <c r="D2935">
        <v>27</v>
      </c>
      <c r="E2935" t="str">
        <f>"99999"</f>
        <v>99999</v>
      </c>
      <c r="F2935" t="str">
        <f t="shared" si="228"/>
        <v>0000</v>
      </c>
    </row>
    <row r="2936" spans="1:6">
      <c r="C2936" t="str">
        <f t="shared" si="227"/>
        <v>4</v>
      </c>
      <c r="D2936">
        <v>27</v>
      </c>
      <c r="E2936" t="str">
        <f>"975"</f>
        <v>975</v>
      </c>
      <c r="F2936" t="str">
        <f t="shared" si="228"/>
        <v>0000</v>
      </c>
    </row>
    <row r="2937" spans="1:6">
      <c r="C2937" t="str">
        <f t="shared" si="227"/>
        <v>4</v>
      </c>
      <c r="D2937">
        <v>27</v>
      </c>
      <c r="E2937" t="str">
        <f>"678"</f>
        <v>678</v>
      </c>
      <c r="F2937" t="str">
        <f t="shared" si="228"/>
        <v>0000</v>
      </c>
    </row>
    <row r="2938" spans="1:6">
      <c r="C2938" t="str">
        <f t="shared" si="227"/>
        <v>4</v>
      </c>
      <c r="D2938">
        <v>27</v>
      </c>
      <c r="E2938" t="str">
        <f>"677"</f>
        <v>677</v>
      </c>
      <c r="F2938" t="str">
        <f t="shared" si="228"/>
        <v>0000</v>
      </c>
    </row>
    <row r="2939" spans="1:6">
      <c r="C2939" t="str">
        <f t="shared" ref="C2939:C3002" si="229">"4"</f>
        <v>4</v>
      </c>
      <c r="D2939">
        <v>27</v>
      </c>
      <c r="E2939" t="str">
        <f>"676"</f>
        <v>676</v>
      </c>
      <c r="F2939" t="str">
        <f t="shared" ref="F2939:F3002" si="230">"0000"</f>
        <v>0000</v>
      </c>
    </row>
    <row r="2940" spans="1:6">
      <c r="C2940" t="str">
        <f t="shared" si="229"/>
        <v>4</v>
      </c>
      <c r="D2940">
        <v>27</v>
      </c>
      <c r="E2940" t="str">
        <f>"588"</f>
        <v>588</v>
      </c>
      <c r="F2940" t="str">
        <f t="shared" si="230"/>
        <v>0000</v>
      </c>
    </row>
    <row r="2941" spans="1:6">
      <c r="C2941" t="str">
        <f t="shared" si="229"/>
        <v>4</v>
      </c>
      <c r="D2941">
        <v>27</v>
      </c>
      <c r="E2941" t="str">
        <f>"1855"</f>
        <v>1855</v>
      </c>
      <c r="F2941" t="str">
        <f t="shared" si="230"/>
        <v>0000</v>
      </c>
    </row>
    <row r="2942" spans="1:6">
      <c r="C2942" t="str">
        <f t="shared" si="229"/>
        <v>4</v>
      </c>
      <c r="D2942">
        <v>27</v>
      </c>
      <c r="E2942" t="str">
        <f>"1421"</f>
        <v>1421</v>
      </c>
      <c r="F2942" t="str">
        <f t="shared" si="230"/>
        <v>0000</v>
      </c>
    </row>
    <row r="2943" spans="1:6">
      <c r="A2943" t="str">
        <f>"E1235-454"</f>
        <v>E1235-454</v>
      </c>
      <c r="B2943" t="str">
        <f>"VIA FELICE MARITANO  80-"</f>
        <v>VIA FELICE MARITANO  80-</v>
      </c>
      <c r="C2943" t="str">
        <f t="shared" si="229"/>
        <v>4</v>
      </c>
      <c r="D2943">
        <v>27</v>
      </c>
      <c r="E2943" t="str">
        <f>"124"</f>
        <v>124</v>
      </c>
      <c r="F2943" t="str">
        <f t="shared" si="230"/>
        <v>0000</v>
      </c>
    </row>
    <row r="2944" spans="1:6">
      <c r="C2944" t="str">
        <f t="shared" si="229"/>
        <v>4</v>
      </c>
      <c r="D2944">
        <v>27</v>
      </c>
      <c r="E2944" t="str">
        <f>"1421"</f>
        <v>1421</v>
      </c>
      <c r="F2944" t="str">
        <f t="shared" si="230"/>
        <v>0000</v>
      </c>
    </row>
    <row r="2945" spans="1:6">
      <c r="C2945" t="str">
        <f t="shared" si="229"/>
        <v>4</v>
      </c>
      <c r="D2945">
        <v>27</v>
      </c>
      <c r="E2945" t="str">
        <f>"1422"</f>
        <v>1422</v>
      </c>
      <c r="F2945" t="str">
        <f t="shared" si="230"/>
        <v>0000</v>
      </c>
    </row>
    <row r="2946" spans="1:6">
      <c r="C2946" t="str">
        <f t="shared" si="229"/>
        <v>4</v>
      </c>
      <c r="D2946">
        <v>27</v>
      </c>
      <c r="E2946" t="str">
        <f>"1241"</f>
        <v>1241</v>
      </c>
      <c r="F2946" t="str">
        <f t="shared" si="230"/>
        <v>0000</v>
      </c>
    </row>
    <row r="2947" spans="1:6">
      <c r="C2947" t="str">
        <f t="shared" si="229"/>
        <v>4</v>
      </c>
      <c r="D2947">
        <v>27</v>
      </c>
      <c r="E2947" t="str">
        <f>"1855"</f>
        <v>1855</v>
      </c>
      <c r="F2947" t="str">
        <f t="shared" si="230"/>
        <v>0000</v>
      </c>
    </row>
    <row r="2948" spans="1:6">
      <c r="C2948" t="str">
        <f t="shared" si="229"/>
        <v>4</v>
      </c>
      <c r="D2948">
        <v>27</v>
      </c>
      <c r="E2948" t="str">
        <f>"588"</f>
        <v>588</v>
      </c>
      <c r="F2948" t="str">
        <f t="shared" si="230"/>
        <v>0000</v>
      </c>
    </row>
    <row r="2949" spans="1:6">
      <c r="C2949" t="str">
        <f t="shared" si="229"/>
        <v>4</v>
      </c>
      <c r="D2949">
        <v>27</v>
      </c>
      <c r="E2949" t="str">
        <f>"676"</f>
        <v>676</v>
      </c>
      <c r="F2949" t="str">
        <f t="shared" si="230"/>
        <v>0000</v>
      </c>
    </row>
    <row r="2950" spans="1:6">
      <c r="C2950" t="str">
        <f t="shared" si="229"/>
        <v>4</v>
      </c>
      <c r="D2950">
        <v>27</v>
      </c>
      <c r="E2950" t="str">
        <f>"678"</f>
        <v>678</v>
      </c>
      <c r="F2950" t="str">
        <f t="shared" si="230"/>
        <v>0000</v>
      </c>
    </row>
    <row r="2951" spans="1:6">
      <c r="C2951" t="str">
        <f t="shared" si="229"/>
        <v>4</v>
      </c>
      <c r="D2951">
        <v>27</v>
      </c>
      <c r="E2951" t="str">
        <f>"99999"</f>
        <v>99999</v>
      </c>
      <c r="F2951" t="str">
        <f t="shared" si="230"/>
        <v>0000</v>
      </c>
    </row>
    <row r="2952" spans="1:6">
      <c r="C2952" t="str">
        <f t="shared" si="229"/>
        <v>4</v>
      </c>
      <c r="D2952">
        <v>27</v>
      </c>
      <c r="E2952" t="str">
        <f>"975"</f>
        <v>975</v>
      </c>
      <c r="F2952" t="str">
        <f t="shared" si="230"/>
        <v>0000</v>
      </c>
    </row>
    <row r="2953" spans="1:6">
      <c r="C2953" t="str">
        <f t="shared" si="229"/>
        <v>4</v>
      </c>
      <c r="D2953">
        <v>27</v>
      </c>
      <c r="E2953" t="str">
        <f>"677"</f>
        <v>677</v>
      </c>
      <c r="F2953" t="str">
        <f t="shared" si="230"/>
        <v>0000</v>
      </c>
    </row>
    <row r="2954" spans="1:6">
      <c r="C2954" t="str">
        <f t="shared" si="229"/>
        <v>4</v>
      </c>
      <c r="D2954">
        <v>27</v>
      </c>
      <c r="E2954" t="str">
        <f>"589"</f>
        <v>589</v>
      </c>
      <c r="F2954" t="str">
        <f t="shared" si="230"/>
        <v>0000</v>
      </c>
    </row>
    <row r="2955" spans="1:6">
      <c r="C2955" t="str">
        <f t="shared" si="229"/>
        <v>4</v>
      </c>
      <c r="D2955">
        <v>27</v>
      </c>
      <c r="E2955" t="str">
        <f>"587"</f>
        <v>587</v>
      </c>
      <c r="F2955" t="str">
        <f t="shared" si="230"/>
        <v>0000</v>
      </c>
    </row>
    <row r="2956" spans="1:6">
      <c r="A2956" t="str">
        <f>"E1235-455"</f>
        <v>E1235-455</v>
      </c>
      <c r="B2956" t="str">
        <f>"VIA FELICE MARITANO  80-"</f>
        <v>VIA FELICE MARITANO  80-</v>
      </c>
      <c r="C2956" t="str">
        <f t="shared" si="229"/>
        <v>4</v>
      </c>
      <c r="D2956">
        <v>27</v>
      </c>
      <c r="E2956" t="str">
        <f>"124"</f>
        <v>124</v>
      </c>
      <c r="F2956" t="str">
        <f t="shared" si="230"/>
        <v>0000</v>
      </c>
    </row>
    <row r="2957" spans="1:6">
      <c r="C2957" t="str">
        <f t="shared" si="229"/>
        <v>4</v>
      </c>
      <c r="D2957">
        <v>27</v>
      </c>
      <c r="E2957" t="str">
        <f>"1422"</f>
        <v>1422</v>
      </c>
      <c r="F2957" t="str">
        <f t="shared" si="230"/>
        <v>0000</v>
      </c>
    </row>
    <row r="2958" spans="1:6">
      <c r="C2958" t="str">
        <f t="shared" si="229"/>
        <v>4</v>
      </c>
      <c r="D2958">
        <v>27</v>
      </c>
      <c r="E2958" t="str">
        <f>"587"</f>
        <v>587</v>
      </c>
      <c r="F2958" t="str">
        <f t="shared" si="230"/>
        <v>0000</v>
      </c>
    </row>
    <row r="2959" spans="1:6">
      <c r="C2959" t="str">
        <f t="shared" si="229"/>
        <v>4</v>
      </c>
      <c r="D2959">
        <v>27</v>
      </c>
      <c r="E2959" t="str">
        <f>"99999"</f>
        <v>99999</v>
      </c>
      <c r="F2959" t="str">
        <f t="shared" si="230"/>
        <v>0000</v>
      </c>
    </row>
    <row r="2960" spans="1:6">
      <c r="C2960" t="str">
        <f t="shared" si="229"/>
        <v>4</v>
      </c>
      <c r="D2960">
        <v>27</v>
      </c>
      <c r="E2960" t="str">
        <f>"975"</f>
        <v>975</v>
      </c>
      <c r="F2960" t="str">
        <f t="shared" si="230"/>
        <v>0000</v>
      </c>
    </row>
    <row r="2961" spans="1:6">
      <c r="C2961" t="str">
        <f t="shared" si="229"/>
        <v>4</v>
      </c>
      <c r="D2961">
        <v>27</v>
      </c>
      <c r="E2961" t="str">
        <f>"678"</f>
        <v>678</v>
      </c>
      <c r="F2961" t="str">
        <f t="shared" si="230"/>
        <v>0000</v>
      </c>
    </row>
    <row r="2962" spans="1:6">
      <c r="C2962" t="str">
        <f t="shared" si="229"/>
        <v>4</v>
      </c>
      <c r="D2962">
        <v>27</v>
      </c>
      <c r="E2962" t="str">
        <f>"677"</f>
        <v>677</v>
      </c>
      <c r="F2962" t="str">
        <f t="shared" si="230"/>
        <v>0000</v>
      </c>
    </row>
    <row r="2963" spans="1:6">
      <c r="C2963" t="str">
        <f t="shared" si="229"/>
        <v>4</v>
      </c>
      <c r="D2963">
        <v>27</v>
      </c>
      <c r="E2963" t="str">
        <f>"676"</f>
        <v>676</v>
      </c>
      <c r="F2963" t="str">
        <f t="shared" si="230"/>
        <v>0000</v>
      </c>
    </row>
    <row r="2964" spans="1:6">
      <c r="C2964" t="str">
        <f t="shared" si="229"/>
        <v>4</v>
      </c>
      <c r="D2964">
        <v>27</v>
      </c>
      <c r="E2964" t="str">
        <f>"589"</f>
        <v>589</v>
      </c>
      <c r="F2964" t="str">
        <f t="shared" si="230"/>
        <v>0000</v>
      </c>
    </row>
    <row r="2965" spans="1:6">
      <c r="C2965" t="str">
        <f t="shared" si="229"/>
        <v>4</v>
      </c>
      <c r="D2965">
        <v>27</v>
      </c>
      <c r="E2965" t="str">
        <f>"588"</f>
        <v>588</v>
      </c>
      <c r="F2965" t="str">
        <f t="shared" si="230"/>
        <v>0000</v>
      </c>
    </row>
    <row r="2966" spans="1:6">
      <c r="C2966" t="str">
        <f t="shared" si="229"/>
        <v>4</v>
      </c>
      <c r="D2966">
        <v>27</v>
      </c>
      <c r="E2966" t="str">
        <f>"1855"</f>
        <v>1855</v>
      </c>
      <c r="F2966" t="str">
        <f t="shared" si="230"/>
        <v>0000</v>
      </c>
    </row>
    <row r="2967" spans="1:6">
      <c r="C2967" t="str">
        <f t="shared" si="229"/>
        <v>4</v>
      </c>
      <c r="D2967">
        <v>27</v>
      </c>
      <c r="E2967" t="str">
        <f>"1421"</f>
        <v>1421</v>
      </c>
      <c r="F2967" t="str">
        <f t="shared" si="230"/>
        <v>0000</v>
      </c>
    </row>
    <row r="2968" spans="1:6">
      <c r="C2968" t="str">
        <f t="shared" si="229"/>
        <v>4</v>
      </c>
      <c r="D2968">
        <v>27</v>
      </c>
      <c r="E2968" t="str">
        <f>"1241"</f>
        <v>1241</v>
      </c>
      <c r="F2968" t="str">
        <f t="shared" si="230"/>
        <v>0000</v>
      </c>
    </row>
    <row r="2969" spans="1:6">
      <c r="A2969" t="str">
        <f>"E1235-456"</f>
        <v>E1235-456</v>
      </c>
      <c r="B2969" t="str">
        <f>"VIA FELICE MARITANO  80-"</f>
        <v>VIA FELICE MARITANO  80-</v>
      </c>
      <c r="C2969" t="str">
        <f t="shared" si="229"/>
        <v>4</v>
      </c>
      <c r="D2969">
        <v>27</v>
      </c>
      <c r="E2969" t="str">
        <f>"124"</f>
        <v>124</v>
      </c>
      <c r="F2969" t="str">
        <f t="shared" si="230"/>
        <v>0000</v>
      </c>
    </row>
    <row r="2970" spans="1:6">
      <c r="C2970" t="str">
        <f t="shared" si="229"/>
        <v>4</v>
      </c>
      <c r="D2970">
        <v>27</v>
      </c>
      <c r="E2970" t="str">
        <f>"1241"</f>
        <v>1241</v>
      </c>
      <c r="F2970" t="str">
        <f t="shared" si="230"/>
        <v>0000</v>
      </c>
    </row>
    <row r="2971" spans="1:6">
      <c r="C2971" t="str">
        <f t="shared" si="229"/>
        <v>4</v>
      </c>
      <c r="D2971">
        <v>27</v>
      </c>
      <c r="E2971" t="str">
        <f>"1421"</f>
        <v>1421</v>
      </c>
      <c r="F2971" t="str">
        <f t="shared" si="230"/>
        <v>0000</v>
      </c>
    </row>
    <row r="2972" spans="1:6">
      <c r="C2972" t="str">
        <f t="shared" si="229"/>
        <v>4</v>
      </c>
      <c r="D2972">
        <v>27</v>
      </c>
      <c r="E2972" t="str">
        <f>"1855"</f>
        <v>1855</v>
      </c>
      <c r="F2972" t="str">
        <f t="shared" si="230"/>
        <v>0000</v>
      </c>
    </row>
    <row r="2973" spans="1:6">
      <c r="C2973" t="str">
        <f t="shared" si="229"/>
        <v>4</v>
      </c>
      <c r="D2973">
        <v>27</v>
      </c>
      <c r="E2973" t="str">
        <f>"588"</f>
        <v>588</v>
      </c>
      <c r="F2973" t="str">
        <f t="shared" si="230"/>
        <v>0000</v>
      </c>
    </row>
    <row r="2974" spans="1:6">
      <c r="C2974" t="str">
        <f t="shared" si="229"/>
        <v>4</v>
      </c>
      <c r="D2974">
        <v>27</v>
      </c>
      <c r="E2974" t="str">
        <f>"676"</f>
        <v>676</v>
      </c>
      <c r="F2974" t="str">
        <f t="shared" si="230"/>
        <v>0000</v>
      </c>
    </row>
    <row r="2975" spans="1:6">
      <c r="C2975" t="str">
        <f t="shared" si="229"/>
        <v>4</v>
      </c>
      <c r="D2975">
        <v>27</v>
      </c>
      <c r="E2975" t="str">
        <f>"99999"</f>
        <v>99999</v>
      </c>
      <c r="F2975" t="str">
        <f t="shared" si="230"/>
        <v>0000</v>
      </c>
    </row>
    <row r="2976" spans="1:6">
      <c r="C2976" t="str">
        <f t="shared" si="229"/>
        <v>4</v>
      </c>
      <c r="D2976">
        <v>27</v>
      </c>
      <c r="E2976" t="str">
        <f>"975"</f>
        <v>975</v>
      </c>
      <c r="F2976" t="str">
        <f t="shared" si="230"/>
        <v>0000</v>
      </c>
    </row>
    <row r="2977" spans="1:6">
      <c r="C2977" t="str">
        <f t="shared" si="229"/>
        <v>4</v>
      </c>
      <c r="D2977">
        <v>27</v>
      </c>
      <c r="E2977" t="str">
        <f>"678"</f>
        <v>678</v>
      </c>
      <c r="F2977" t="str">
        <f t="shared" si="230"/>
        <v>0000</v>
      </c>
    </row>
    <row r="2978" spans="1:6">
      <c r="C2978" t="str">
        <f t="shared" si="229"/>
        <v>4</v>
      </c>
      <c r="D2978">
        <v>27</v>
      </c>
      <c r="E2978" t="str">
        <f>"677"</f>
        <v>677</v>
      </c>
      <c r="F2978" t="str">
        <f t="shared" si="230"/>
        <v>0000</v>
      </c>
    </row>
    <row r="2979" spans="1:6">
      <c r="C2979" t="str">
        <f t="shared" si="229"/>
        <v>4</v>
      </c>
      <c r="D2979">
        <v>27</v>
      </c>
      <c r="E2979" t="str">
        <f>"589"</f>
        <v>589</v>
      </c>
      <c r="F2979" t="str">
        <f t="shared" si="230"/>
        <v>0000</v>
      </c>
    </row>
    <row r="2980" spans="1:6">
      <c r="C2980" t="str">
        <f t="shared" si="229"/>
        <v>4</v>
      </c>
      <c r="D2980">
        <v>27</v>
      </c>
      <c r="E2980" t="str">
        <f>"587"</f>
        <v>587</v>
      </c>
      <c r="F2980" t="str">
        <f t="shared" si="230"/>
        <v>0000</v>
      </c>
    </row>
    <row r="2981" spans="1:6">
      <c r="C2981" t="str">
        <f t="shared" si="229"/>
        <v>4</v>
      </c>
      <c r="D2981">
        <v>27</v>
      </c>
      <c r="E2981" t="str">
        <f>"1422"</f>
        <v>1422</v>
      </c>
      <c r="F2981" t="str">
        <f t="shared" si="230"/>
        <v>0000</v>
      </c>
    </row>
    <row r="2982" spans="1:6">
      <c r="A2982" t="str">
        <f>"E1235-457"</f>
        <v>E1235-457</v>
      </c>
      <c r="B2982" t="str">
        <f>"VIA FELICE MARITANO  90-"</f>
        <v>VIA FELICE MARITANO  90-</v>
      </c>
      <c r="C2982" t="str">
        <f t="shared" si="229"/>
        <v>4</v>
      </c>
      <c r="D2982">
        <v>27</v>
      </c>
      <c r="E2982" t="str">
        <f>"124"</f>
        <v>124</v>
      </c>
      <c r="F2982" t="str">
        <f t="shared" si="230"/>
        <v>0000</v>
      </c>
    </row>
    <row r="2983" spans="1:6">
      <c r="C2983" t="str">
        <f t="shared" si="229"/>
        <v>4</v>
      </c>
      <c r="D2983">
        <v>27</v>
      </c>
      <c r="E2983" t="str">
        <f>"99999"</f>
        <v>99999</v>
      </c>
      <c r="F2983" t="str">
        <f t="shared" si="230"/>
        <v>0000</v>
      </c>
    </row>
    <row r="2984" spans="1:6">
      <c r="C2984" t="str">
        <f t="shared" si="229"/>
        <v>4</v>
      </c>
      <c r="D2984">
        <v>27</v>
      </c>
      <c r="E2984" t="str">
        <f>"975"</f>
        <v>975</v>
      </c>
      <c r="F2984" t="str">
        <f t="shared" si="230"/>
        <v>0000</v>
      </c>
    </row>
    <row r="2985" spans="1:6">
      <c r="C2985" t="str">
        <f t="shared" si="229"/>
        <v>4</v>
      </c>
      <c r="D2985">
        <v>27</v>
      </c>
      <c r="E2985" t="str">
        <f>"678"</f>
        <v>678</v>
      </c>
      <c r="F2985" t="str">
        <f t="shared" si="230"/>
        <v>0000</v>
      </c>
    </row>
    <row r="2986" spans="1:6">
      <c r="C2986" t="str">
        <f t="shared" si="229"/>
        <v>4</v>
      </c>
      <c r="D2986">
        <v>27</v>
      </c>
      <c r="E2986" t="str">
        <f>"677"</f>
        <v>677</v>
      </c>
      <c r="F2986" t="str">
        <f t="shared" si="230"/>
        <v>0000</v>
      </c>
    </row>
    <row r="2987" spans="1:6">
      <c r="C2987" t="str">
        <f t="shared" si="229"/>
        <v>4</v>
      </c>
      <c r="D2987">
        <v>27</v>
      </c>
      <c r="E2987" t="str">
        <f>"676"</f>
        <v>676</v>
      </c>
      <c r="F2987" t="str">
        <f t="shared" si="230"/>
        <v>0000</v>
      </c>
    </row>
    <row r="2988" spans="1:6">
      <c r="C2988" t="str">
        <f t="shared" si="229"/>
        <v>4</v>
      </c>
      <c r="D2988">
        <v>27</v>
      </c>
      <c r="E2988" t="str">
        <f>"589"</f>
        <v>589</v>
      </c>
      <c r="F2988" t="str">
        <f t="shared" si="230"/>
        <v>0000</v>
      </c>
    </row>
    <row r="2989" spans="1:6">
      <c r="C2989" t="str">
        <f t="shared" si="229"/>
        <v>4</v>
      </c>
      <c r="D2989">
        <v>27</v>
      </c>
      <c r="E2989" t="str">
        <f>"588"</f>
        <v>588</v>
      </c>
      <c r="F2989" t="str">
        <f t="shared" si="230"/>
        <v>0000</v>
      </c>
    </row>
    <row r="2990" spans="1:6">
      <c r="C2990" t="str">
        <f t="shared" si="229"/>
        <v>4</v>
      </c>
      <c r="D2990">
        <v>27</v>
      </c>
      <c r="E2990" t="str">
        <f>"587"</f>
        <v>587</v>
      </c>
      <c r="F2990" t="str">
        <f t="shared" si="230"/>
        <v>0000</v>
      </c>
    </row>
    <row r="2991" spans="1:6">
      <c r="C2991" t="str">
        <f t="shared" si="229"/>
        <v>4</v>
      </c>
      <c r="D2991">
        <v>27</v>
      </c>
      <c r="E2991" t="str">
        <f>"1855"</f>
        <v>1855</v>
      </c>
      <c r="F2991" t="str">
        <f t="shared" si="230"/>
        <v>0000</v>
      </c>
    </row>
    <row r="2992" spans="1:6">
      <c r="C2992" t="str">
        <f t="shared" si="229"/>
        <v>4</v>
      </c>
      <c r="D2992">
        <v>27</v>
      </c>
      <c r="E2992" t="str">
        <f>"1241"</f>
        <v>1241</v>
      </c>
      <c r="F2992" t="str">
        <f t="shared" si="230"/>
        <v>0000</v>
      </c>
    </row>
    <row r="2993" spans="1:6">
      <c r="C2993" t="str">
        <f t="shared" si="229"/>
        <v>4</v>
      </c>
      <c r="D2993">
        <v>27</v>
      </c>
      <c r="E2993" t="str">
        <f>"1422"</f>
        <v>1422</v>
      </c>
      <c r="F2993" t="str">
        <f t="shared" si="230"/>
        <v>0000</v>
      </c>
    </row>
    <row r="2994" spans="1:6">
      <c r="C2994" t="str">
        <f t="shared" si="229"/>
        <v>4</v>
      </c>
      <c r="D2994">
        <v>27</v>
      </c>
      <c r="E2994" t="str">
        <f>"1421"</f>
        <v>1421</v>
      </c>
      <c r="F2994" t="str">
        <f t="shared" si="230"/>
        <v>0000</v>
      </c>
    </row>
    <row r="2995" spans="1:6">
      <c r="A2995" t="str">
        <f>"E1235-458"</f>
        <v>E1235-458</v>
      </c>
      <c r="B2995" t="str">
        <f>"VIA FELICE MARITANO  90-"</f>
        <v>VIA FELICE MARITANO  90-</v>
      </c>
      <c r="C2995" t="str">
        <f t="shared" si="229"/>
        <v>4</v>
      </c>
      <c r="D2995">
        <v>27</v>
      </c>
      <c r="E2995" t="str">
        <f>"124"</f>
        <v>124</v>
      </c>
      <c r="F2995" t="str">
        <f t="shared" si="230"/>
        <v>0000</v>
      </c>
    </row>
    <row r="2996" spans="1:6">
      <c r="C2996" t="str">
        <f t="shared" si="229"/>
        <v>4</v>
      </c>
      <c r="D2996">
        <v>27</v>
      </c>
      <c r="E2996" t="str">
        <f>"1241"</f>
        <v>1241</v>
      </c>
      <c r="F2996" t="str">
        <f t="shared" si="230"/>
        <v>0000</v>
      </c>
    </row>
    <row r="2997" spans="1:6">
      <c r="C2997" t="str">
        <f t="shared" si="229"/>
        <v>4</v>
      </c>
      <c r="D2997">
        <v>27</v>
      </c>
      <c r="E2997" t="str">
        <f>"1422"</f>
        <v>1422</v>
      </c>
      <c r="F2997" t="str">
        <f t="shared" si="230"/>
        <v>0000</v>
      </c>
    </row>
    <row r="2998" spans="1:6">
      <c r="C2998" t="str">
        <f t="shared" si="229"/>
        <v>4</v>
      </c>
      <c r="D2998">
        <v>27</v>
      </c>
      <c r="E2998" t="str">
        <f>"587"</f>
        <v>587</v>
      </c>
      <c r="F2998" t="str">
        <f t="shared" si="230"/>
        <v>0000</v>
      </c>
    </row>
    <row r="2999" spans="1:6">
      <c r="C2999" t="str">
        <f t="shared" si="229"/>
        <v>4</v>
      </c>
      <c r="D2999">
        <v>27</v>
      </c>
      <c r="E2999" t="str">
        <f>"589"</f>
        <v>589</v>
      </c>
      <c r="F2999" t="str">
        <f t="shared" si="230"/>
        <v>0000</v>
      </c>
    </row>
    <row r="3000" spans="1:6">
      <c r="C3000" t="str">
        <f t="shared" si="229"/>
        <v>4</v>
      </c>
      <c r="D3000">
        <v>27</v>
      </c>
      <c r="E3000" t="str">
        <f>"99999"</f>
        <v>99999</v>
      </c>
      <c r="F3000" t="str">
        <f t="shared" si="230"/>
        <v>0000</v>
      </c>
    </row>
    <row r="3001" spans="1:6">
      <c r="C3001" t="str">
        <f t="shared" si="229"/>
        <v>4</v>
      </c>
      <c r="D3001">
        <v>27</v>
      </c>
      <c r="E3001" t="str">
        <f>"975"</f>
        <v>975</v>
      </c>
      <c r="F3001" t="str">
        <f t="shared" si="230"/>
        <v>0000</v>
      </c>
    </row>
    <row r="3002" spans="1:6">
      <c r="C3002" t="str">
        <f t="shared" si="229"/>
        <v>4</v>
      </c>
      <c r="D3002">
        <v>27</v>
      </c>
      <c r="E3002" t="str">
        <f>"678"</f>
        <v>678</v>
      </c>
      <c r="F3002" t="str">
        <f t="shared" si="230"/>
        <v>0000</v>
      </c>
    </row>
    <row r="3003" spans="1:6">
      <c r="C3003" t="str">
        <f t="shared" ref="C3003:C3066" si="231">"4"</f>
        <v>4</v>
      </c>
      <c r="D3003">
        <v>27</v>
      </c>
      <c r="E3003" t="str">
        <f>"677"</f>
        <v>677</v>
      </c>
      <c r="F3003" t="str">
        <f t="shared" ref="F3003:F3066" si="232">"0000"</f>
        <v>0000</v>
      </c>
    </row>
    <row r="3004" spans="1:6">
      <c r="C3004" t="str">
        <f t="shared" si="231"/>
        <v>4</v>
      </c>
      <c r="D3004">
        <v>27</v>
      </c>
      <c r="E3004" t="str">
        <f>"676"</f>
        <v>676</v>
      </c>
      <c r="F3004" t="str">
        <f t="shared" si="232"/>
        <v>0000</v>
      </c>
    </row>
    <row r="3005" spans="1:6">
      <c r="C3005" t="str">
        <f t="shared" si="231"/>
        <v>4</v>
      </c>
      <c r="D3005">
        <v>27</v>
      </c>
      <c r="E3005" t="str">
        <f>"588"</f>
        <v>588</v>
      </c>
      <c r="F3005" t="str">
        <f t="shared" si="232"/>
        <v>0000</v>
      </c>
    </row>
    <row r="3006" spans="1:6">
      <c r="C3006" t="str">
        <f t="shared" si="231"/>
        <v>4</v>
      </c>
      <c r="D3006">
        <v>27</v>
      </c>
      <c r="E3006" t="str">
        <f>"1855"</f>
        <v>1855</v>
      </c>
      <c r="F3006" t="str">
        <f t="shared" si="232"/>
        <v>0000</v>
      </c>
    </row>
    <row r="3007" spans="1:6">
      <c r="C3007" t="str">
        <f t="shared" si="231"/>
        <v>4</v>
      </c>
      <c r="D3007">
        <v>27</v>
      </c>
      <c r="E3007" t="str">
        <f>"1421"</f>
        <v>1421</v>
      </c>
      <c r="F3007" t="str">
        <f t="shared" si="232"/>
        <v>0000</v>
      </c>
    </row>
    <row r="3008" spans="1:6">
      <c r="A3008" t="str">
        <f>"E1235-459"</f>
        <v>E1235-459</v>
      </c>
      <c r="B3008" t="str">
        <f>"VIA FELICE MARITANO  90-"</f>
        <v>VIA FELICE MARITANO  90-</v>
      </c>
      <c r="C3008" t="str">
        <f t="shared" si="231"/>
        <v>4</v>
      </c>
      <c r="D3008">
        <v>27</v>
      </c>
      <c r="E3008" t="str">
        <f>"124"</f>
        <v>124</v>
      </c>
      <c r="F3008" t="str">
        <f t="shared" si="232"/>
        <v>0000</v>
      </c>
    </row>
    <row r="3009" spans="1:6">
      <c r="C3009" t="str">
        <f t="shared" si="231"/>
        <v>4</v>
      </c>
      <c r="D3009">
        <v>27</v>
      </c>
      <c r="E3009" t="str">
        <f>"1421"</f>
        <v>1421</v>
      </c>
      <c r="F3009" t="str">
        <f t="shared" si="232"/>
        <v>0000</v>
      </c>
    </row>
    <row r="3010" spans="1:6">
      <c r="C3010" t="str">
        <f t="shared" si="231"/>
        <v>4</v>
      </c>
      <c r="D3010">
        <v>27</v>
      </c>
      <c r="E3010" t="str">
        <f>"1422"</f>
        <v>1422</v>
      </c>
      <c r="F3010" t="str">
        <f t="shared" si="232"/>
        <v>0000</v>
      </c>
    </row>
    <row r="3011" spans="1:6">
      <c r="C3011" t="str">
        <f t="shared" si="231"/>
        <v>4</v>
      </c>
      <c r="D3011">
        <v>27</v>
      </c>
      <c r="E3011" t="str">
        <f>"1241"</f>
        <v>1241</v>
      </c>
      <c r="F3011" t="str">
        <f t="shared" si="232"/>
        <v>0000</v>
      </c>
    </row>
    <row r="3012" spans="1:6">
      <c r="C3012" t="str">
        <f t="shared" si="231"/>
        <v>4</v>
      </c>
      <c r="D3012">
        <v>27</v>
      </c>
      <c r="E3012" t="str">
        <f>"1855"</f>
        <v>1855</v>
      </c>
      <c r="F3012" t="str">
        <f t="shared" si="232"/>
        <v>0000</v>
      </c>
    </row>
    <row r="3013" spans="1:6">
      <c r="C3013" t="str">
        <f t="shared" si="231"/>
        <v>4</v>
      </c>
      <c r="D3013">
        <v>27</v>
      </c>
      <c r="E3013" t="str">
        <f>"588"</f>
        <v>588</v>
      </c>
      <c r="F3013" t="str">
        <f t="shared" si="232"/>
        <v>0000</v>
      </c>
    </row>
    <row r="3014" spans="1:6">
      <c r="C3014" t="str">
        <f t="shared" si="231"/>
        <v>4</v>
      </c>
      <c r="D3014">
        <v>27</v>
      </c>
      <c r="E3014" t="str">
        <f>"676"</f>
        <v>676</v>
      </c>
      <c r="F3014" t="str">
        <f t="shared" si="232"/>
        <v>0000</v>
      </c>
    </row>
    <row r="3015" spans="1:6">
      <c r="C3015" t="str">
        <f t="shared" si="231"/>
        <v>4</v>
      </c>
      <c r="D3015">
        <v>27</v>
      </c>
      <c r="E3015" t="str">
        <f>"678"</f>
        <v>678</v>
      </c>
      <c r="F3015" t="str">
        <f t="shared" si="232"/>
        <v>0000</v>
      </c>
    </row>
    <row r="3016" spans="1:6">
      <c r="C3016" t="str">
        <f t="shared" si="231"/>
        <v>4</v>
      </c>
      <c r="D3016">
        <v>27</v>
      </c>
      <c r="E3016" t="str">
        <f>"99999"</f>
        <v>99999</v>
      </c>
      <c r="F3016" t="str">
        <f t="shared" si="232"/>
        <v>0000</v>
      </c>
    </row>
    <row r="3017" spans="1:6">
      <c r="C3017" t="str">
        <f t="shared" si="231"/>
        <v>4</v>
      </c>
      <c r="D3017">
        <v>27</v>
      </c>
      <c r="E3017" t="str">
        <f>"975"</f>
        <v>975</v>
      </c>
      <c r="F3017" t="str">
        <f t="shared" si="232"/>
        <v>0000</v>
      </c>
    </row>
    <row r="3018" spans="1:6">
      <c r="C3018" t="str">
        <f t="shared" si="231"/>
        <v>4</v>
      </c>
      <c r="D3018">
        <v>27</v>
      </c>
      <c r="E3018" t="str">
        <f>"677"</f>
        <v>677</v>
      </c>
      <c r="F3018" t="str">
        <f t="shared" si="232"/>
        <v>0000</v>
      </c>
    </row>
    <row r="3019" spans="1:6">
      <c r="C3019" t="str">
        <f t="shared" si="231"/>
        <v>4</v>
      </c>
      <c r="D3019">
        <v>27</v>
      </c>
      <c r="E3019" t="str">
        <f>"589"</f>
        <v>589</v>
      </c>
      <c r="F3019" t="str">
        <f t="shared" si="232"/>
        <v>0000</v>
      </c>
    </row>
    <row r="3020" spans="1:6">
      <c r="C3020" t="str">
        <f t="shared" si="231"/>
        <v>4</v>
      </c>
      <c r="D3020">
        <v>27</v>
      </c>
      <c r="E3020" t="str">
        <f>"587"</f>
        <v>587</v>
      </c>
      <c r="F3020" t="str">
        <f t="shared" si="232"/>
        <v>0000</v>
      </c>
    </row>
    <row r="3021" spans="1:6">
      <c r="A3021" t="str">
        <f>"E1235-460"</f>
        <v>E1235-460</v>
      </c>
      <c r="B3021" t="str">
        <f>"VIA FELICE MARITANO  90-"</f>
        <v>VIA FELICE MARITANO  90-</v>
      </c>
      <c r="C3021" t="str">
        <f t="shared" si="231"/>
        <v>4</v>
      </c>
      <c r="D3021">
        <v>27</v>
      </c>
      <c r="E3021" t="str">
        <f>"124"</f>
        <v>124</v>
      </c>
      <c r="F3021" t="str">
        <f t="shared" si="232"/>
        <v>0000</v>
      </c>
    </row>
    <row r="3022" spans="1:6">
      <c r="C3022" t="str">
        <f t="shared" si="231"/>
        <v>4</v>
      </c>
      <c r="D3022">
        <v>27</v>
      </c>
      <c r="E3022" t="str">
        <f>"1422"</f>
        <v>1422</v>
      </c>
      <c r="F3022" t="str">
        <f t="shared" si="232"/>
        <v>0000</v>
      </c>
    </row>
    <row r="3023" spans="1:6">
      <c r="C3023" t="str">
        <f t="shared" si="231"/>
        <v>4</v>
      </c>
      <c r="D3023">
        <v>27</v>
      </c>
      <c r="E3023" t="str">
        <f>"587"</f>
        <v>587</v>
      </c>
      <c r="F3023" t="str">
        <f t="shared" si="232"/>
        <v>0000</v>
      </c>
    </row>
    <row r="3024" spans="1:6">
      <c r="C3024" t="str">
        <f t="shared" si="231"/>
        <v>4</v>
      </c>
      <c r="D3024">
        <v>27</v>
      </c>
      <c r="E3024" t="str">
        <f>"99999"</f>
        <v>99999</v>
      </c>
      <c r="F3024" t="str">
        <f t="shared" si="232"/>
        <v>0000</v>
      </c>
    </row>
    <row r="3025" spans="1:6">
      <c r="C3025" t="str">
        <f t="shared" si="231"/>
        <v>4</v>
      </c>
      <c r="D3025">
        <v>27</v>
      </c>
      <c r="E3025" t="str">
        <f>"975"</f>
        <v>975</v>
      </c>
      <c r="F3025" t="str">
        <f t="shared" si="232"/>
        <v>0000</v>
      </c>
    </row>
    <row r="3026" spans="1:6">
      <c r="C3026" t="str">
        <f t="shared" si="231"/>
        <v>4</v>
      </c>
      <c r="D3026">
        <v>27</v>
      </c>
      <c r="E3026" t="str">
        <f>"678"</f>
        <v>678</v>
      </c>
      <c r="F3026" t="str">
        <f t="shared" si="232"/>
        <v>0000</v>
      </c>
    </row>
    <row r="3027" spans="1:6">
      <c r="C3027" t="str">
        <f t="shared" si="231"/>
        <v>4</v>
      </c>
      <c r="D3027">
        <v>27</v>
      </c>
      <c r="E3027" t="str">
        <f>"677"</f>
        <v>677</v>
      </c>
      <c r="F3027" t="str">
        <f t="shared" si="232"/>
        <v>0000</v>
      </c>
    </row>
    <row r="3028" spans="1:6">
      <c r="C3028" t="str">
        <f t="shared" si="231"/>
        <v>4</v>
      </c>
      <c r="D3028">
        <v>27</v>
      </c>
      <c r="E3028" t="str">
        <f>"676"</f>
        <v>676</v>
      </c>
      <c r="F3028" t="str">
        <f t="shared" si="232"/>
        <v>0000</v>
      </c>
    </row>
    <row r="3029" spans="1:6">
      <c r="C3029" t="str">
        <f t="shared" si="231"/>
        <v>4</v>
      </c>
      <c r="D3029">
        <v>27</v>
      </c>
      <c r="E3029" t="str">
        <f>"589"</f>
        <v>589</v>
      </c>
      <c r="F3029" t="str">
        <f t="shared" si="232"/>
        <v>0000</v>
      </c>
    </row>
    <row r="3030" spans="1:6">
      <c r="C3030" t="str">
        <f t="shared" si="231"/>
        <v>4</v>
      </c>
      <c r="D3030">
        <v>27</v>
      </c>
      <c r="E3030" t="str">
        <f>"588"</f>
        <v>588</v>
      </c>
      <c r="F3030" t="str">
        <f t="shared" si="232"/>
        <v>0000</v>
      </c>
    </row>
    <row r="3031" spans="1:6">
      <c r="C3031" t="str">
        <f t="shared" si="231"/>
        <v>4</v>
      </c>
      <c r="D3031">
        <v>27</v>
      </c>
      <c r="E3031" t="str">
        <f>"1855"</f>
        <v>1855</v>
      </c>
      <c r="F3031" t="str">
        <f t="shared" si="232"/>
        <v>0000</v>
      </c>
    </row>
    <row r="3032" spans="1:6">
      <c r="C3032" t="str">
        <f t="shared" si="231"/>
        <v>4</v>
      </c>
      <c r="D3032">
        <v>27</v>
      </c>
      <c r="E3032" t="str">
        <f>"1421"</f>
        <v>1421</v>
      </c>
      <c r="F3032" t="str">
        <f t="shared" si="232"/>
        <v>0000</v>
      </c>
    </row>
    <row r="3033" spans="1:6">
      <c r="C3033" t="str">
        <f t="shared" si="231"/>
        <v>4</v>
      </c>
      <c r="D3033">
        <v>27</v>
      </c>
      <c r="E3033" t="str">
        <f>"1241"</f>
        <v>1241</v>
      </c>
      <c r="F3033" t="str">
        <f t="shared" si="232"/>
        <v>0000</v>
      </c>
    </row>
    <row r="3034" spans="1:6">
      <c r="A3034" t="str">
        <f>"E1235-461"</f>
        <v>E1235-461</v>
      </c>
      <c r="B3034" t="str">
        <f>"VIA FELICE MARITANO  90-"</f>
        <v>VIA FELICE MARITANO  90-</v>
      </c>
      <c r="C3034" t="str">
        <f t="shared" si="231"/>
        <v>4</v>
      </c>
      <c r="D3034">
        <v>27</v>
      </c>
      <c r="E3034" t="str">
        <f>"124"</f>
        <v>124</v>
      </c>
      <c r="F3034" t="str">
        <f t="shared" si="232"/>
        <v>0000</v>
      </c>
    </row>
    <row r="3035" spans="1:6">
      <c r="C3035" t="str">
        <f t="shared" si="231"/>
        <v>4</v>
      </c>
      <c r="D3035">
        <v>27</v>
      </c>
      <c r="E3035" t="str">
        <f>"1241"</f>
        <v>1241</v>
      </c>
      <c r="F3035" t="str">
        <f t="shared" si="232"/>
        <v>0000</v>
      </c>
    </row>
    <row r="3036" spans="1:6">
      <c r="C3036" t="str">
        <f t="shared" si="231"/>
        <v>4</v>
      </c>
      <c r="D3036">
        <v>27</v>
      </c>
      <c r="E3036" t="str">
        <f>"1421"</f>
        <v>1421</v>
      </c>
      <c r="F3036" t="str">
        <f t="shared" si="232"/>
        <v>0000</v>
      </c>
    </row>
    <row r="3037" spans="1:6">
      <c r="C3037" t="str">
        <f t="shared" si="231"/>
        <v>4</v>
      </c>
      <c r="D3037">
        <v>27</v>
      </c>
      <c r="E3037" t="str">
        <f>"1855"</f>
        <v>1855</v>
      </c>
      <c r="F3037" t="str">
        <f t="shared" si="232"/>
        <v>0000</v>
      </c>
    </row>
    <row r="3038" spans="1:6">
      <c r="C3038" t="str">
        <f t="shared" si="231"/>
        <v>4</v>
      </c>
      <c r="D3038">
        <v>27</v>
      </c>
      <c r="E3038" t="str">
        <f>"588"</f>
        <v>588</v>
      </c>
      <c r="F3038" t="str">
        <f t="shared" si="232"/>
        <v>0000</v>
      </c>
    </row>
    <row r="3039" spans="1:6">
      <c r="C3039" t="str">
        <f t="shared" si="231"/>
        <v>4</v>
      </c>
      <c r="D3039">
        <v>27</v>
      </c>
      <c r="E3039" t="str">
        <f>"676"</f>
        <v>676</v>
      </c>
      <c r="F3039" t="str">
        <f t="shared" si="232"/>
        <v>0000</v>
      </c>
    </row>
    <row r="3040" spans="1:6">
      <c r="C3040" t="str">
        <f t="shared" si="231"/>
        <v>4</v>
      </c>
      <c r="D3040">
        <v>27</v>
      </c>
      <c r="E3040" t="str">
        <f>"99999"</f>
        <v>99999</v>
      </c>
      <c r="F3040" t="str">
        <f t="shared" si="232"/>
        <v>0000</v>
      </c>
    </row>
    <row r="3041" spans="1:6">
      <c r="C3041" t="str">
        <f t="shared" si="231"/>
        <v>4</v>
      </c>
      <c r="D3041">
        <v>27</v>
      </c>
      <c r="E3041" t="str">
        <f>"975"</f>
        <v>975</v>
      </c>
      <c r="F3041" t="str">
        <f t="shared" si="232"/>
        <v>0000</v>
      </c>
    </row>
    <row r="3042" spans="1:6">
      <c r="C3042" t="str">
        <f t="shared" si="231"/>
        <v>4</v>
      </c>
      <c r="D3042">
        <v>27</v>
      </c>
      <c r="E3042" t="str">
        <f>"678"</f>
        <v>678</v>
      </c>
      <c r="F3042" t="str">
        <f t="shared" si="232"/>
        <v>0000</v>
      </c>
    </row>
    <row r="3043" spans="1:6">
      <c r="C3043" t="str">
        <f t="shared" si="231"/>
        <v>4</v>
      </c>
      <c r="D3043">
        <v>27</v>
      </c>
      <c r="E3043" t="str">
        <f>"677"</f>
        <v>677</v>
      </c>
      <c r="F3043" t="str">
        <f t="shared" si="232"/>
        <v>0000</v>
      </c>
    </row>
    <row r="3044" spans="1:6">
      <c r="C3044" t="str">
        <f t="shared" si="231"/>
        <v>4</v>
      </c>
      <c r="D3044">
        <v>27</v>
      </c>
      <c r="E3044" t="str">
        <f>"589"</f>
        <v>589</v>
      </c>
      <c r="F3044" t="str">
        <f t="shared" si="232"/>
        <v>0000</v>
      </c>
    </row>
    <row r="3045" spans="1:6">
      <c r="C3045" t="str">
        <f t="shared" si="231"/>
        <v>4</v>
      </c>
      <c r="D3045">
        <v>27</v>
      </c>
      <c r="E3045" t="str">
        <f>"587"</f>
        <v>587</v>
      </c>
      <c r="F3045" t="str">
        <f t="shared" si="232"/>
        <v>0000</v>
      </c>
    </row>
    <row r="3046" spans="1:6">
      <c r="C3046" t="str">
        <f t="shared" si="231"/>
        <v>4</v>
      </c>
      <c r="D3046">
        <v>27</v>
      </c>
      <c r="E3046" t="str">
        <f>"1422"</f>
        <v>1422</v>
      </c>
      <c r="F3046" t="str">
        <f t="shared" si="232"/>
        <v>0000</v>
      </c>
    </row>
    <row r="3047" spans="1:6">
      <c r="A3047" t="str">
        <f>"E1235-462"</f>
        <v>E1235-462</v>
      </c>
      <c r="B3047" t="str">
        <f>"VIA FELICE MARITANO  90-"</f>
        <v>VIA FELICE MARITANO  90-</v>
      </c>
      <c r="C3047" t="str">
        <f t="shared" si="231"/>
        <v>4</v>
      </c>
      <c r="D3047">
        <v>27</v>
      </c>
      <c r="E3047" t="str">
        <f>"124"</f>
        <v>124</v>
      </c>
      <c r="F3047" t="str">
        <f t="shared" si="232"/>
        <v>0000</v>
      </c>
    </row>
    <row r="3048" spans="1:6">
      <c r="C3048" t="str">
        <f t="shared" si="231"/>
        <v>4</v>
      </c>
      <c r="D3048">
        <v>27</v>
      </c>
      <c r="E3048" t="str">
        <f>"99999"</f>
        <v>99999</v>
      </c>
      <c r="F3048" t="str">
        <f t="shared" si="232"/>
        <v>0000</v>
      </c>
    </row>
    <row r="3049" spans="1:6">
      <c r="C3049" t="str">
        <f t="shared" si="231"/>
        <v>4</v>
      </c>
      <c r="D3049">
        <v>27</v>
      </c>
      <c r="E3049" t="str">
        <f>"975"</f>
        <v>975</v>
      </c>
      <c r="F3049" t="str">
        <f t="shared" si="232"/>
        <v>0000</v>
      </c>
    </row>
    <row r="3050" spans="1:6">
      <c r="C3050" t="str">
        <f t="shared" si="231"/>
        <v>4</v>
      </c>
      <c r="D3050">
        <v>27</v>
      </c>
      <c r="E3050" t="str">
        <f>"678"</f>
        <v>678</v>
      </c>
      <c r="F3050" t="str">
        <f t="shared" si="232"/>
        <v>0000</v>
      </c>
    </row>
    <row r="3051" spans="1:6">
      <c r="C3051" t="str">
        <f t="shared" si="231"/>
        <v>4</v>
      </c>
      <c r="D3051">
        <v>27</v>
      </c>
      <c r="E3051" t="str">
        <f>"677"</f>
        <v>677</v>
      </c>
      <c r="F3051" t="str">
        <f t="shared" si="232"/>
        <v>0000</v>
      </c>
    </row>
    <row r="3052" spans="1:6">
      <c r="C3052" t="str">
        <f t="shared" si="231"/>
        <v>4</v>
      </c>
      <c r="D3052">
        <v>27</v>
      </c>
      <c r="E3052" t="str">
        <f>"676"</f>
        <v>676</v>
      </c>
      <c r="F3052" t="str">
        <f t="shared" si="232"/>
        <v>0000</v>
      </c>
    </row>
    <row r="3053" spans="1:6">
      <c r="C3053" t="str">
        <f t="shared" si="231"/>
        <v>4</v>
      </c>
      <c r="D3053">
        <v>27</v>
      </c>
      <c r="E3053" t="str">
        <f>"589"</f>
        <v>589</v>
      </c>
      <c r="F3053" t="str">
        <f t="shared" si="232"/>
        <v>0000</v>
      </c>
    </row>
    <row r="3054" spans="1:6">
      <c r="C3054" t="str">
        <f t="shared" si="231"/>
        <v>4</v>
      </c>
      <c r="D3054">
        <v>27</v>
      </c>
      <c r="E3054" t="str">
        <f>"588"</f>
        <v>588</v>
      </c>
      <c r="F3054" t="str">
        <f t="shared" si="232"/>
        <v>0000</v>
      </c>
    </row>
    <row r="3055" spans="1:6">
      <c r="C3055" t="str">
        <f t="shared" si="231"/>
        <v>4</v>
      </c>
      <c r="D3055">
        <v>27</v>
      </c>
      <c r="E3055" t="str">
        <f>"587"</f>
        <v>587</v>
      </c>
      <c r="F3055" t="str">
        <f t="shared" si="232"/>
        <v>0000</v>
      </c>
    </row>
    <row r="3056" spans="1:6">
      <c r="C3056" t="str">
        <f t="shared" si="231"/>
        <v>4</v>
      </c>
      <c r="D3056">
        <v>27</v>
      </c>
      <c r="E3056" t="str">
        <f>"1855"</f>
        <v>1855</v>
      </c>
      <c r="F3056" t="str">
        <f t="shared" si="232"/>
        <v>0000</v>
      </c>
    </row>
    <row r="3057" spans="1:6">
      <c r="C3057" t="str">
        <f t="shared" si="231"/>
        <v>4</v>
      </c>
      <c r="D3057">
        <v>27</v>
      </c>
      <c r="E3057" t="str">
        <f>"1241"</f>
        <v>1241</v>
      </c>
      <c r="F3057" t="str">
        <f t="shared" si="232"/>
        <v>0000</v>
      </c>
    </row>
    <row r="3058" spans="1:6">
      <c r="C3058" t="str">
        <f t="shared" si="231"/>
        <v>4</v>
      </c>
      <c r="D3058">
        <v>27</v>
      </c>
      <c r="E3058" t="str">
        <f>"1422"</f>
        <v>1422</v>
      </c>
      <c r="F3058" t="str">
        <f t="shared" si="232"/>
        <v>0000</v>
      </c>
    </row>
    <row r="3059" spans="1:6">
      <c r="C3059" t="str">
        <f t="shared" si="231"/>
        <v>4</v>
      </c>
      <c r="D3059">
        <v>27</v>
      </c>
      <c r="E3059" t="str">
        <f>"1421"</f>
        <v>1421</v>
      </c>
      <c r="F3059" t="str">
        <f t="shared" si="232"/>
        <v>0000</v>
      </c>
    </row>
    <row r="3060" spans="1:6">
      <c r="A3060" t="str">
        <f>"E1235-463"</f>
        <v>E1235-463</v>
      </c>
      <c r="B3060" t="str">
        <f>"VIA FELICE MARITANO  90-"</f>
        <v>VIA FELICE MARITANO  90-</v>
      </c>
      <c r="C3060" t="str">
        <f t="shared" si="231"/>
        <v>4</v>
      </c>
      <c r="D3060">
        <v>27</v>
      </c>
      <c r="E3060" t="str">
        <f>"124"</f>
        <v>124</v>
      </c>
      <c r="F3060" t="str">
        <f t="shared" si="232"/>
        <v>0000</v>
      </c>
    </row>
    <row r="3061" spans="1:6">
      <c r="C3061" t="str">
        <f t="shared" si="231"/>
        <v>4</v>
      </c>
      <c r="D3061">
        <v>27</v>
      </c>
      <c r="E3061" t="str">
        <f>"1241"</f>
        <v>1241</v>
      </c>
      <c r="F3061" t="str">
        <f t="shared" si="232"/>
        <v>0000</v>
      </c>
    </row>
    <row r="3062" spans="1:6">
      <c r="C3062" t="str">
        <f t="shared" si="231"/>
        <v>4</v>
      </c>
      <c r="D3062">
        <v>27</v>
      </c>
      <c r="E3062" t="str">
        <f>"1422"</f>
        <v>1422</v>
      </c>
      <c r="F3062" t="str">
        <f t="shared" si="232"/>
        <v>0000</v>
      </c>
    </row>
    <row r="3063" spans="1:6">
      <c r="C3063" t="str">
        <f t="shared" si="231"/>
        <v>4</v>
      </c>
      <c r="D3063">
        <v>27</v>
      </c>
      <c r="E3063" t="str">
        <f>"587"</f>
        <v>587</v>
      </c>
      <c r="F3063" t="str">
        <f t="shared" si="232"/>
        <v>0000</v>
      </c>
    </row>
    <row r="3064" spans="1:6">
      <c r="C3064" t="str">
        <f t="shared" si="231"/>
        <v>4</v>
      </c>
      <c r="D3064">
        <v>27</v>
      </c>
      <c r="E3064" t="str">
        <f>"589"</f>
        <v>589</v>
      </c>
      <c r="F3064" t="str">
        <f t="shared" si="232"/>
        <v>0000</v>
      </c>
    </row>
    <row r="3065" spans="1:6">
      <c r="C3065" t="str">
        <f t="shared" si="231"/>
        <v>4</v>
      </c>
      <c r="D3065">
        <v>27</v>
      </c>
      <c r="E3065" t="str">
        <f>"99999"</f>
        <v>99999</v>
      </c>
      <c r="F3065" t="str">
        <f t="shared" si="232"/>
        <v>0000</v>
      </c>
    </row>
    <row r="3066" spans="1:6">
      <c r="C3066" t="str">
        <f t="shared" si="231"/>
        <v>4</v>
      </c>
      <c r="D3066">
        <v>27</v>
      </c>
      <c r="E3066" t="str">
        <f>"975"</f>
        <v>975</v>
      </c>
      <c r="F3066" t="str">
        <f t="shared" si="232"/>
        <v>0000</v>
      </c>
    </row>
    <row r="3067" spans="1:6">
      <c r="C3067" t="str">
        <f t="shared" ref="C3067:C3130" si="233">"4"</f>
        <v>4</v>
      </c>
      <c r="D3067">
        <v>27</v>
      </c>
      <c r="E3067" t="str">
        <f>"678"</f>
        <v>678</v>
      </c>
      <c r="F3067" t="str">
        <f t="shared" ref="F3067:F3130" si="234">"0000"</f>
        <v>0000</v>
      </c>
    </row>
    <row r="3068" spans="1:6">
      <c r="C3068" t="str">
        <f t="shared" si="233"/>
        <v>4</v>
      </c>
      <c r="D3068">
        <v>27</v>
      </c>
      <c r="E3068" t="str">
        <f>"677"</f>
        <v>677</v>
      </c>
      <c r="F3068" t="str">
        <f t="shared" si="234"/>
        <v>0000</v>
      </c>
    </row>
    <row r="3069" spans="1:6">
      <c r="C3069" t="str">
        <f t="shared" si="233"/>
        <v>4</v>
      </c>
      <c r="D3069">
        <v>27</v>
      </c>
      <c r="E3069" t="str">
        <f>"676"</f>
        <v>676</v>
      </c>
      <c r="F3069" t="str">
        <f t="shared" si="234"/>
        <v>0000</v>
      </c>
    </row>
    <row r="3070" spans="1:6">
      <c r="C3070" t="str">
        <f t="shared" si="233"/>
        <v>4</v>
      </c>
      <c r="D3070">
        <v>27</v>
      </c>
      <c r="E3070" t="str">
        <f>"588"</f>
        <v>588</v>
      </c>
      <c r="F3070" t="str">
        <f t="shared" si="234"/>
        <v>0000</v>
      </c>
    </row>
    <row r="3071" spans="1:6">
      <c r="C3071" t="str">
        <f t="shared" si="233"/>
        <v>4</v>
      </c>
      <c r="D3071">
        <v>27</v>
      </c>
      <c r="E3071" t="str">
        <f>"1855"</f>
        <v>1855</v>
      </c>
      <c r="F3071" t="str">
        <f t="shared" si="234"/>
        <v>0000</v>
      </c>
    </row>
    <row r="3072" spans="1:6">
      <c r="C3072" t="str">
        <f t="shared" si="233"/>
        <v>4</v>
      </c>
      <c r="D3072">
        <v>27</v>
      </c>
      <c r="E3072" t="str">
        <f>"1421"</f>
        <v>1421</v>
      </c>
      <c r="F3072" t="str">
        <f t="shared" si="234"/>
        <v>0000</v>
      </c>
    </row>
    <row r="3073" spans="1:6">
      <c r="A3073" t="str">
        <f>"E1235-464"</f>
        <v>E1235-464</v>
      </c>
      <c r="B3073" t="str">
        <f>"VIA FELICE MARITANO  90-"</f>
        <v>VIA FELICE MARITANO  90-</v>
      </c>
      <c r="C3073" t="str">
        <f t="shared" si="233"/>
        <v>4</v>
      </c>
      <c r="D3073">
        <v>27</v>
      </c>
      <c r="E3073" t="str">
        <f>"124"</f>
        <v>124</v>
      </c>
      <c r="F3073" t="str">
        <f t="shared" si="234"/>
        <v>0000</v>
      </c>
    </row>
    <row r="3074" spans="1:6">
      <c r="C3074" t="str">
        <f t="shared" si="233"/>
        <v>4</v>
      </c>
      <c r="D3074">
        <v>27</v>
      </c>
      <c r="E3074" t="str">
        <f>"1421"</f>
        <v>1421</v>
      </c>
      <c r="F3074" t="str">
        <f t="shared" si="234"/>
        <v>0000</v>
      </c>
    </row>
    <row r="3075" spans="1:6">
      <c r="C3075" t="str">
        <f t="shared" si="233"/>
        <v>4</v>
      </c>
      <c r="D3075">
        <v>27</v>
      </c>
      <c r="E3075" t="str">
        <f>"1422"</f>
        <v>1422</v>
      </c>
      <c r="F3075" t="str">
        <f t="shared" si="234"/>
        <v>0000</v>
      </c>
    </row>
    <row r="3076" spans="1:6">
      <c r="C3076" t="str">
        <f t="shared" si="233"/>
        <v>4</v>
      </c>
      <c r="D3076">
        <v>27</v>
      </c>
      <c r="E3076" t="str">
        <f>"1241"</f>
        <v>1241</v>
      </c>
      <c r="F3076" t="str">
        <f t="shared" si="234"/>
        <v>0000</v>
      </c>
    </row>
    <row r="3077" spans="1:6">
      <c r="C3077" t="str">
        <f t="shared" si="233"/>
        <v>4</v>
      </c>
      <c r="D3077">
        <v>27</v>
      </c>
      <c r="E3077" t="str">
        <f>"1855"</f>
        <v>1855</v>
      </c>
      <c r="F3077" t="str">
        <f t="shared" si="234"/>
        <v>0000</v>
      </c>
    </row>
    <row r="3078" spans="1:6">
      <c r="C3078" t="str">
        <f t="shared" si="233"/>
        <v>4</v>
      </c>
      <c r="D3078">
        <v>27</v>
      </c>
      <c r="E3078" t="str">
        <f>"588"</f>
        <v>588</v>
      </c>
      <c r="F3078" t="str">
        <f t="shared" si="234"/>
        <v>0000</v>
      </c>
    </row>
    <row r="3079" spans="1:6">
      <c r="C3079" t="str">
        <f t="shared" si="233"/>
        <v>4</v>
      </c>
      <c r="D3079">
        <v>27</v>
      </c>
      <c r="E3079" t="str">
        <f>"676"</f>
        <v>676</v>
      </c>
      <c r="F3079" t="str">
        <f t="shared" si="234"/>
        <v>0000</v>
      </c>
    </row>
    <row r="3080" spans="1:6">
      <c r="C3080" t="str">
        <f t="shared" si="233"/>
        <v>4</v>
      </c>
      <c r="D3080">
        <v>27</v>
      </c>
      <c r="E3080" t="str">
        <f>"678"</f>
        <v>678</v>
      </c>
      <c r="F3080" t="str">
        <f t="shared" si="234"/>
        <v>0000</v>
      </c>
    </row>
    <row r="3081" spans="1:6">
      <c r="C3081" t="str">
        <f t="shared" si="233"/>
        <v>4</v>
      </c>
      <c r="D3081">
        <v>27</v>
      </c>
      <c r="E3081" t="str">
        <f>"99999"</f>
        <v>99999</v>
      </c>
      <c r="F3081" t="str">
        <f t="shared" si="234"/>
        <v>0000</v>
      </c>
    </row>
    <row r="3082" spans="1:6">
      <c r="C3082" t="str">
        <f t="shared" si="233"/>
        <v>4</v>
      </c>
      <c r="D3082">
        <v>27</v>
      </c>
      <c r="E3082" t="str">
        <f>"975"</f>
        <v>975</v>
      </c>
      <c r="F3082" t="str">
        <f t="shared" si="234"/>
        <v>0000</v>
      </c>
    </row>
    <row r="3083" spans="1:6">
      <c r="C3083" t="str">
        <f t="shared" si="233"/>
        <v>4</v>
      </c>
      <c r="D3083">
        <v>27</v>
      </c>
      <c r="E3083" t="str">
        <f>"677"</f>
        <v>677</v>
      </c>
      <c r="F3083" t="str">
        <f t="shared" si="234"/>
        <v>0000</v>
      </c>
    </row>
    <row r="3084" spans="1:6">
      <c r="C3084" t="str">
        <f t="shared" si="233"/>
        <v>4</v>
      </c>
      <c r="D3084">
        <v>27</v>
      </c>
      <c r="E3084" t="str">
        <f>"589"</f>
        <v>589</v>
      </c>
      <c r="F3084" t="str">
        <f t="shared" si="234"/>
        <v>0000</v>
      </c>
    </row>
    <row r="3085" spans="1:6">
      <c r="C3085" t="str">
        <f t="shared" si="233"/>
        <v>4</v>
      </c>
      <c r="D3085">
        <v>27</v>
      </c>
      <c r="E3085" t="str">
        <f>"587"</f>
        <v>587</v>
      </c>
      <c r="F3085" t="str">
        <f t="shared" si="234"/>
        <v>0000</v>
      </c>
    </row>
    <row r="3086" spans="1:6">
      <c r="A3086" t="str">
        <f>"E1235-465"</f>
        <v>E1235-465</v>
      </c>
      <c r="B3086" t="str">
        <f>"VIA FELICE MARITANO  90-"</f>
        <v>VIA FELICE MARITANO  90-</v>
      </c>
      <c r="C3086" t="str">
        <f t="shared" si="233"/>
        <v>4</v>
      </c>
      <c r="D3086">
        <v>27</v>
      </c>
      <c r="E3086" t="str">
        <f>"124"</f>
        <v>124</v>
      </c>
      <c r="F3086" t="str">
        <f t="shared" si="234"/>
        <v>0000</v>
      </c>
    </row>
    <row r="3087" spans="1:6">
      <c r="C3087" t="str">
        <f t="shared" si="233"/>
        <v>4</v>
      </c>
      <c r="D3087">
        <v>27</v>
      </c>
      <c r="E3087" t="str">
        <f>"1422"</f>
        <v>1422</v>
      </c>
      <c r="F3087" t="str">
        <f t="shared" si="234"/>
        <v>0000</v>
      </c>
    </row>
    <row r="3088" spans="1:6">
      <c r="C3088" t="str">
        <f t="shared" si="233"/>
        <v>4</v>
      </c>
      <c r="D3088">
        <v>27</v>
      </c>
      <c r="E3088" t="str">
        <f>"587"</f>
        <v>587</v>
      </c>
      <c r="F3088" t="str">
        <f t="shared" si="234"/>
        <v>0000</v>
      </c>
    </row>
    <row r="3089" spans="1:6">
      <c r="C3089" t="str">
        <f t="shared" si="233"/>
        <v>4</v>
      </c>
      <c r="D3089">
        <v>27</v>
      </c>
      <c r="E3089" t="str">
        <f>"99999"</f>
        <v>99999</v>
      </c>
      <c r="F3089" t="str">
        <f t="shared" si="234"/>
        <v>0000</v>
      </c>
    </row>
    <row r="3090" spans="1:6">
      <c r="C3090" t="str">
        <f t="shared" si="233"/>
        <v>4</v>
      </c>
      <c r="D3090">
        <v>27</v>
      </c>
      <c r="E3090" t="str">
        <f>"975"</f>
        <v>975</v>
      </c>
      <c r="F3090" t="str">
        <f t="shared" si="234"/>
        <v>0000</v>
      </c>
    </row>
    <row r="3091" spans="1:6">
      <c r="C3091" t="str">
        <f t="shared" si="233"/>
        <v>4</v>
      </c>
      <c r="D3091">
        <v>27</v>
      </c>
      <c r="E3091" t="str">
        <f>"678"</f>
        <v>678</v>
      </c>
      <c r="F3091" t="str">
        <f t="shared" si="234"/>
        <v>0000</v>
      </c>
    </row>
    <row r="3092" spans="1:6">
      <c r="C3092" t="str">
        <f t="shared" si="233"/>
        <v>4</v>
      </c>
      <c r="D3092">
        <v>27</v>
      </c>
      <c r="E3092" t="str">
        <f>"677"</f>
        <v>677</v>
      </c>
      <c r="F3092" t="str">
        <f t="shared" si="234"/>
        <v>0000</v>
      </c>
    </row>
    <row r="3093" spans="1:6">
      <c r="C3093" t="str">
        <f t="shared" si="233"/>
        <v>4</v>
      </c>
      <c r="D3093">
        <v>27</v>
      </c>
      <c r="E3093" t="str">
        <f>"676"</f>
        <v>676</v>
      </c>
      <c r="F3093" t="str">
        <f t="shared" si="234"/>
        <v>0000</v>
      </c>
    </row>
    <row r="3094" spans="1:6">
      <c r="C3094" t="str">
        <f t="shared" si="233"/>
        <v>4</v>
      </c>
      <c r="D3094">
        <v>27</v>
      </c>
      <c r="E3094" t="str">
        <f>"589"</f>
        <v>589</v>
      </c>
      <c r="F3094" t="str">
        <f t="shared" si="234"/>
        <v>0000</v>
      </c>
    </row>
    <row r="3095" spans="1:6">
      <c r="C3095" t="str">
        <f t="shared" si="233"/>
        <v>4</v>
      </c>
      <c r="D3095">
        <v>27</v>
      </c>
      <c r="E3095" t="str">
        <f>"588"</f>
        <v>588</v>
      </c>
      <c r="F3095" t="str">
        <f t="shared" si="234"/>
        <v>0000</v>
      </c>
    </row>
    <row r="3096" spans="1:6">
      <c r="C3096" t="str">
        <f t="shared" si="233"/>
        <v>4</v>
      </c>
      <c r="D3096">
        <v>27</v>
      </c>
      <c r="E3096" t="str">
        <f>"1855"</f>
        <v>1855</v>
      </c>
      <c r="F3096" t="str">
        <f t="shared" si="234"/>
        <v>0000</v>
      </c>
    </row>
    <row r="3097" spans="1:6">
      <c r="C3097" t="str">
        <f t="shared" si="233"/>
        <v>4</v>
      </c>
      <c r="D3097">
        <v>27</v>
      </c>
      <c r="E3097" t="str">
        <f>"1421"</f>
        <v>1421</v>
      </c>
      <c r="F3097" t="str">
        <f t="shared" si="234"/>
        <v>0000</v>
      </c>
    </row>
    <row r="3098" spans="1:6">
      <c r="C3098" t="str">
        <f t="shared" si="233"/>
        <v>4</v>
      </c>
      <c r="D3098">
        <v>27</v>
      </c>
      <c r="E3098" t="str">
        <f>"1241"</f>
        <v>1241</v>
      </c>
      <c r="F3098" t="str">
        <f t="shared" si="234"/>
        <v>0000</v>
      </c>
    </row>
    <row r="3099" spans="1:6">
      <c r="A3099" t="str">
        <f>"E1235-466"</f>
        <v>E1235-466</v>
      </c>
      <c r="B3099" t="str">
        <f>"VIA FELICE MARITANO  90-"</f>
        <v>VIA FELICE MARITANO  90-</v>
      </c>
      <c r="C3099" t="str">
        <f t="shared" si="233"/>
        <v>4</v>
      </c>
      <c r="D3099">
        <v>27</v>
      </c>
      <c r="E3099" t="str">
        <f>"124"</f>
        <v>124</v>
      </c>
      <c r="F3099" t="str">
        <f t="shared" si="234"/>
        <v>0000</v>
      </c>
    </row>
    <row r="3100" spans="1:6">
      <c r="C3100" t="str">
        <f t="shared" si="233"/>
        <v>4</v>
      </c>
      <c r="D3100">
        <v>27</v>
      </c>
      <c r="E3100" t="str">
        <f>"1241"</f>
        <v>1241</v>
      </c>
      <c r="F3100" t="str">
        <f t="shared" si="234"/>
        <v>0000</v>
      </c>
    </row>
    <row r="3101" spans="1:6">
      <c r="C3101" t="str">
        <f t="shared" si="233"/>
        <v>4</v>
      </c>
      <c r="D3101">
        <v>27</v>
      </c>
      <c r="E3101" t="str">
        <f>"1421"</f>
        <v>1421</v>
      </c>
      <c r="F3101" t="str">
        <f t="shared" si="234"/>
        <v>0000</v>
      </c>
    </row>
    <row r="3102" spans="1:6">
      <c r="C3102" t="str">
        <f t="shared" si="233"/>
        <v>4</v>
      </c>
      <c r="D3102">
        <v>27</v>
      </c>
      <c r="E3102" t="str">
        <f>"1855"</f>
        <v>1855</v>
      </c>
      <c r="F3102" t="str">
        <f t="shared" si="234"/>
        <v>0000</v>
      </c>
    </row>
    <row r="3103" spans="1:6">
      <c r="C3103" t="str">
        <f t="shared" si="233"/>
        <v>4</v>
      </c>
      <c r="D3103">
        <v>27</v>
      </c>
      <c r="E3103" t="str">
        <f>"588"</f>
        <v>588</v>
      </c>
      <c r="F3103" t="str">
        <f t="shared" si="234"/>
        <v>0000</v>
      </c>
    </row>
    <row r="3104" spans="1:6">
      <c r="C3104" t="str">
        <f t="shared" si="233"/>
        <v>4</v>
      </c>
      <c r="D3104">
        <v>27</v>
      </c>
      <c r="E3104" t="str">
        <f>"676"</f>
        <v>676</v>
      </c>
      <c r="F3104" t="str">
        <f t="shared" si="234"/>
        <v>0000</v>
      </c>
    </row>
    <row r="3105" spans="1:6">
      <c r="C3105" t="str">
        <f t="shared" si="233"/>
        <v>4</v>
      </c>
      <c r="D3105">
        <v>27</v>
      </c>
      <c r="E3105" t="str">
        <f>"99999"</f>
        <v>99999</v>
      </c>
      <c r="F3105" t="str">
        <f t="shared" si="234"/>
        <v>0000</v>
      </c>
    </row>
    <row r="3106" spans="1:6">
      <c r="C3106" t="str">
        <f t="shared" si="233"/>
        <v>4</v>
      </c>
      <c r="D3106">
        <v>27</v>
      </c>
      <c r="E3106" t="str">
        <f>"975"</f>
        <v>975</v>
      </c>
      <c r="F3106" t="str">
        <f t="shared" si="234"/>
        <v>0000</v>
      </c>
    </row>
    <row r="3107" spans="1:6">
      <c r="C3107" t="str">
        <f t="shared" si="233"/>
        <v>4</v>
      </c>
      <c r="D3107">
        <v>27</v>
      </c>
      <c r="E3107" t="str">
        <f>"678"</f>
        <v>678</v>
      </c>
      <c r="F3107" t="str">
        <f t="shared" si="234"/>
        <v>0000</v>
      </c>
    </row>
    <row r="3108" spans="1:6">
      <c r="C3108" t="str">
        <f t="shared" si="233"/>
        <v>4</v>
      </c>
      <c r="D3108">
        <v>27</v>
      </c>
      <c r="E3108" t="str">
        <f>"677"</f>
        <v>677</v>
      </c>
      <c r="F3108" t="str">
        <f t="shared" si="234"/>
        <v>0000</v>
      </c>
    </row>
    <row r="3109" spans="1:6">
      <c r="C3109" t="str">
        <f t="shared" si="233"/>
        <v>4</v>
      </c>
      <c r="D3109">
        <v>27</v>
      </c>
      <c r="E3109" t="str">
        <f>"589"</f>
        <v>589</v>
      </c>
      <c r="F3109" t="str">
        <f t="shared" si="234"/>
        <v>0000</v>
      </c>
    </row>
    <row r="3110" spans="1:6">
      <c r="C3110" t="str">
        <f t="shared" si="233"/>
        <v>4</v>
      </c>
      <c r="D3110">
        <v>27</v>
      </c>
      <c r="E3110" t="str">
        <f>"587"</f>
        <v>587</v>
      </c>
      <c r="F3110" t="str">
        <f t="shared" si="234"/>
        <v>0000</v>
      </c>
    </row>
    <row r="3111" spans="1:6">
      <c r="C3111" t="str">
        <f t="shared" si="233"/>
        <v>4</v>
      </c>
      <c r="D3111">
        <v>27</v>
      </c>
      <c r="E3111" t="str">
        <f>"1422"</f>
        <v>1422</v>
      </c>
      <c r="F3111" t="str">
        <f t="shared" si="234"/>
        <v>0000</v>
      </c>
    </row>
    <row r="3112" spans="1:6">
      <c r="A3112" t="str">
        <f>"E1235-467"</f>
        <v>E1235-467</v>
      </c>
      <c r="B3112" t="str">
        <f>"VIA FELICE MARITANO  90-"</f>
        <v>VIA FELICE MARITANO  90-</v>
      </c>
      <c r="C3112" t="str">
        <f t="shared" si="233"/>
        <v>4</v>
      </c>
      <c r="D3112">
        <v>27</v>
      </c>
      <c r="E3112" t="str">
        <f>"124"</f>
        <v>124</v>
      </c>
      <c r="F3112" t="str">
        <f t="shared" si="234"/>
        <v>0000</v>
      </c>
    </row>
    <row r="3113" spans="1:6">
      <c r="C3113" t="str">
        <f t="shared" si="233"/>
        <v>4</v>
      </c>
      <c r="D3113">
        <v>27</v>
      </c>
      <c r="E3113" t="str">
        <f>"99999"</f>
        <v>99999</v>
      </c>
      <c r="F3113" t="str">
        <f t="shared" si="234"/>
        <v>0000</v>
      </c>
    </row>
    <row r="3114" spans="1:6">
      <c r="C3114" t="str">
        <f t="shared" si="233"/>
        <v>4</v>
      </c>
      <c r="D3114">
        <v>27</v>
      </c>
      <c r="E3114" t="str">
        <f>"975"</f>
        <v>975</v>
      </c>
      <c r="F3114" t="str">
        <f t="shared" si="234"/>
        <v>0000</v>
      </c>
    </row>
    <row r="3115" spans="1:6">
      <c r="C3115" t="str">
        <f t="shared" si="233"/>
        <v>4</v>
      </c>
      <c r="D3115">
        <v>27</v>
      </c>
      <c r="E3115" t="str">
        <f>"678"</f>
        <v>678</v>
      </c>
      <c r="F3115" t="str">
        <f t="shared" si="234"/>
        <v>0000</v>
      </c>
    </row>
    <row r="3116" spans="1:6">
      <c r="C3116" t="str">
        <f t="shared" si="233"/>
        <v>4</v>
      </c>
      <c r="D3116">
        <v>27</v>
      </c>
      <c r="E3116" t="str">
        <f>"677"</f>
        <v>677</v>
      </c>
      <c r="F3116" t="str">
        <f t="shared" si="234"/>
        <v>0000</v>
      </c>
    </row>
    <row r="3117" spans="1:6">
      <c r="C3117" t="str">
        <f t="shared" si="233"/>
        <v>4</v>
      </c>
      <c r="D3117">
        <v>27</v>
      </c>
      <c r="E3117" t="str">
        <f>"676"</f>
        <v>676</v>
      </c>
      <c r="F3117" t="str">
        <f t="shared" si="234"/>
        <v>0000</v>
      </c>
    </row>
    <row r="3118" spans="1:6">
      <c r="C3118" t="str">
        <f t="shared" si="233"/>
        <v>4</v>
      </c>
      <c r="D3118">
        <v>27</v>
      </c>
      <c r="E3118" t="str">
        <f>"589"</f>
        <v>589</v>
      </c>
      <c r="F3118" t="str">
        <f t="shared" si="234"/>
        <v>0000</v>
      </c>
    </row>
    <row r="3119" spans="1:6">
      <c r="C3119" t="str">
        <f t="shared" si="233"/>
        <v>4</v>
      </c>
      <c r="D3119">
        <v>27</v>
      </c>
      <c r="E3119" t="str">
        <f>"588"</f>
        <v>588</v>
      </c>
      <c r="F3119" t="str">
        <f t="shared" si="234"/>
        <v>0000</v>
      </c>
    </row>
    <row r="3120" spans="1:6">
      <c r="C3120" t="str">
        <f t="shared" si="233"/>
        <v>4</v>
      </c>
      <c r="D3120">
        <v>27</v>
      </c>
      <c r="E3120" t="str">
        <f>"587"</f>
        <v>587</v>
      </c>
      <c r="F3120" t="str">
        <f t="shared" si="234"/>
        <v>0000</v>
      </c>
    </row>
    <row r="3121" spans="1:6">
      <c r="C3121" t="str">
        <f t="shared" si="233"/>
        <v>4</v>
      </c>
      <c r="D3121">
        <v>27</v>
      </c>
      <c r="E3121" t="str">
        <f>"1855"</f>
        <v>1855</v>
      </c>
      <c r="F3121" t="str">
        <f t="shared" si="234"/>
        <v>0000</v>
      </c>
    </row>
    <row r="3122" spans="1:6">
      <c r="C3122" t="str">
        <f t="shared" si="233"/>
        <v>4</v>
      </c>
      <c r="D3122">
        <v>27</v>
      </c>
      <c r="E3122" t="str">
        <f>"1241"</f>
        <v>1241</v>
      </c>
      <c r="F3122" t="str">
        <f t="shared" si="234"/>
        <v>0000</v>
      </c>
    </row>
    <row r="3123" spans="1:6">
      <c r="C3123" t="str">
        <f t="shared" si="233"/>
        <v>4</v>
      </c>
      <c r="D3123">
        <v>27</v>
      </c>
      <c r="E3123" t="str">
        <f>"1422"</f>
        <v>1422</v>
      </c>
      <c r="F3123" t="str">
        <f t="shared" si="234"/>
        <v>0000</v>
      </c>
    </row>
    <row r="3124" spans="1:6">
      <c r="C3124" t="str">
        <f t="shared" si="233"/>
        <v>4</v>
      </c>
      <c r="D3124">
        <v>27</v>
      </c>
      <c r="E3124" t="str">
        <f>"1421"</f>
        <v>1421</v>
      </c>
      <c r="F3124" t="str">
        <f t="shared" si="234"/>
        <v>0000</v>
      </c>
    </row>
    <row r="3125" spans="1:6">
      <c r="A3125" t="str">
        <f>"E1235-468"</f>
        <v>E1235-468</v>
      </c>
      <c r="B3125" t="str">
        <f>"VIA FELICE MARITANO  90-"</f>
        <v>VIA FELICE MARITANO  90-</v>
      </c>
      <c r="C3125" t="str">
        <f t="shared" si="233"/>
        <v>4</v>
      </c>
      <c r="D3125">
        <v>27</v>
      </c>
      <c r="E3125" t="str">
        <f>"124"</f>
        <v>124</v>
      </c>
      <c r="F3125" t="str">
        <f t="shared" si="234"/>
        <v>0000</v>
      </c>
    </row>
    <row r="3126" spans="1:6">
      <c r="C3126" t="str">
        <f t="shared" si="233"/>
        <v>4</v>
      </c>
      <c r="D3126">
        <v>27</v>
      </c>
      <c r="E3126" t="str">
        <f>"1241"</f>
        <v>1241</v>
      </c>
      <c r="F3126" t="str">
        <f t="shared" si="234"/>
        <v>0000</v>
      </c>
    </row>
    <row r="3127" spans="1:6">
      <c r="C3127" t="str">
        <f t="shared" si="233"/>
        <v>4</v>
      </c>
      <c r="D3127">
        <v>27</v>
      </c>
      <c r="E3127" t="str">
        <f>"1422"</f>
        <v>1422</v>
      </c>
      <c r="F3127" t="str">
        <f t="shared" si="234"/>
        <v>0000</v>
      </c>
    </row>
    <row r="3128" spans="1:6">
      <c r="C3128" t="str">
        <f t="shared" si="233"/>
        <v>4</v>
      </c>
      <c r="D3128">
        <v>27</v>
      </c>
      <c r="E3128" t="str">
        <f>"587"</f>
        <v>587</v>
      </c>
      <c r="F3128" t="str">
        <f t="shared" si="234"/>
        <v>0000</v>
      </c>
    </row>
    <row r="3129" spans="1:6">
      <c r="C3129" t="str">
        <f t="shared" si="233"/>
        <v>4</v>
      </c>
      <c r="D3129">
        <v>27</v>
      </c>
      <c r="E3129" t="str">
        <f>"589"</f>
        <v>589</v>
      </c>
      <c r="F3129" t="str">
        <f t="shared" si="234"/>
        <v>0000</v>
      </c>
    </row>
    <row r="3130" spans="1:6">
      <c r="C3130" t="str">
        <f t="shared" si="233"/>
        <v>4</v>
      </c>
      <c r="D3130">
        <v>27</v>
      </c>
      <c r="E3130" t="str">
        <f>"99999"</f>
        <v>99999</v>
      </c>
      <c r="F3130" t="str">
        <f t="shared" si="234"/>
        <v>0000</v>
      </c>
    </row>
    <row r="3131" spans="1:6">
      <c r="C3131" t="str">
        <f t="shared" ref="C3131:C3194" si="235">"4"</f>
        <v>4</v>
      </c>
      <c r="D3131">
        <v>27</v>
      </c>
      <c r="E3131" t="str">
        <f>"975"</f>
        <v>975</v>
      </c>
      <c r="F3131" t="str">
        <f t="shared" ref="F3131:F3194" si="236">"0000"</f>
        <v>0000</v>
      </c>
    </row>
    <row r="3132" spans="1:6">
      <c r="C3132" t="str">
        <f t="shared" si="235"/>
        <v>4</v>
      </c>
      <c r="D3132">
        <v>27</v>
      </c>
      <c r="E3132" t="str">
        <f>"678"</f>
        <v>678</v>
      </c>
      <c r="F3132" t="str">
        <f t="shared" si="236"/>
        <v>0000</v>
      </c>
    </row>
    <row r="3133" spans="1:6">
      <c r="C3133" t="str">
        <f t="shared" si="235"/>
        <v>4</v>
      </c>
      <c r="D3133">
        <v>27</v>
      </c>
      <c r="E3133" t="str">
        <f>"677"</f>
        <v>677</v>
      </c>
      <c r="F3133" t="str">
        <f t="shared" si="236"/>
        <v>0000</v>
      </c>
    </row>
    <row r="3134" spans="1:6">
      <c r="C3134" t="str">
        <f t="shared" si="235"/>
        <v>4</v>
      </c>
      <c r="D3134">
        <v>27</v>
      </c>
      <c r="E3134" t="str">
        <f>"676"</f>
        <v>676</v>
      </c>
      <c r="F3134" t="str">
        <f t="shared" si="236"/>
        <v>0000</v>
      </c>
    </row>
    <row r="3135" spans="1:6">
      <c r="C3135" t="str">
        <f t="shared" si="235"/>
        <v>4</v>
      </c>
      <c r="D3135">
        <v>27</v>
      </c>
      <c r="E3135" t="str">
        <f>"588"</f>
        <v>588</v>
      </c>
      <c r="F3135" t="str">
        <f t="shared" si="236"/>
        <v>0000</v>
      </c>
    </row>
    <row r="3136" spans="1:6">
      <c r="C3136" t="str">
        <f t="shared" si="235"/>
        <v>4</v>
      </c>
      <c r="D3136">
        <v>27</v>
      </c>
      <c r="E3136" t="str">
        <f>"1855"</f>
        <v>1855</v>
      </c>
      <c r="F3136" t="str">
        <f t="shared" si="236"/>
        <v>0000</v>
      </c>
    </row>
    <row r="3137" spans="1:6">
      <c r="C3137" t="str">
        <f t="shared" si="235"/>
        <v>4</v>
      </c>
      <c r="D3137">
        <v>27</v>
      </c>
      <c r="E3137" t="str">
        <f>"1421"</f>
        <v>1421</v>
      </c>
      <c r="F3137" t="str">
        <f t="shared" si="236"/>
        <v>0000</v>
      </c>
    </row>
    <row r="3138" spans="1:6">
      <c r="A3138" t="str">
        <f>"E1235-469"</f>
        <v>E1235-469</v>
      </c>
      <c r="B3138" t="str">
        <f>"VIA FELICE MARITANO  90-"</f>
        <v>VIA FELICE MARITANO  90-</v>
      </c>
      <c r="C3138" t="str">
        <f t="shared" si="235"/>
        <v>4</v>
      </c>
      <c r="D3138">
        <v>27</v>
      </c>
      <c r="E3138" t="str">
        <f>"124"</f>
        <v>124</v>
      </c>
      <c r="F3138" t="str">
        <f t="shared" si="236"/>
        <v>0000</v>
      </c>
    </row>
    <row r="3139" spans="1:6">
      <c r="C3139" t="str">
        <f t="shared" si="235"/>
        <v>4</v>
      </c>
      <c r="D3139">
        <v>27</v>
      </c>
      <c r="E3139" t="str">
        <f>"1421"</f>
        <v>1421</v>
      </c>
      <c r="F3139" t="str">
        <f t="shared" si="236"/>
        <v>0000</v>
      </c>
    </row>
    <row r="3140" spans="1:6">
      <c r="C3140" t="str">
        <f t="shared" si="235"/>
        <v>4</v>
      </c>
      <c r="D3140">
        <v>27</v>
      </c>
      <c r="E3140" t="str">
        <f>"1422"</f>
        <v>1422</v>
      </c>
      <c r="F3140" t="str">
        <f t="shared" si="236"/>
        <v>0000</v>
      </c>
    </row>
    <row r="3141" spans="1:6">
      <c r="C3141" t="str">
        <f t="shared" si="235"/>
        <v>4</v>
      </c>
      <c r="D3141">
        <v>27</v>
      </c>
      <c r="E3141" t="str">
        <f>"1241"</f>
        <v>1241</v>
      </c>
      <c r="F3141" t="str">
        <f t="shared" si="236"/>
        <v>0000</v>
      </c>
    </row>
    <row r="3142" spans="1:6">
      <c r="C3142" t="str">
        <f t="shared" si="235"/>
        <v>4</v>
      </c>
      <c r="D3142">
        <v>27</v>
      </c>
      <c r="E3142" t="str">
        <f>"1855"</f>
        <v>1855</v>
      </c>
      <c r="F3142" t="str">
        <f t="shared" si="236"/>
        <v>0000</v>
      </c>
    </row>
    <row r="3143" spans="1:6">
      <c r="C3143" t="str">
        <f t="shared" si="235"/>
        <v>4</v>
      </c>
      <c r="D3143">
        <v>27</v>
      </c>
      <c r="E3143" t="str">
        <f>"588"</f>
        <v>588</v>
      </c>
      <c r="F3143" t="str">
        <f t="shared" si="236"/>
        <v>0000</v>
      </c>
    </row>
    <row r="3144" spans="1:6">
      <c r="C3144" t="str">
        <f t="shared" si="235"/>
        <v>4</v>
      </c>
      <c r="D3144">
        <v>27</v>
      </c>
      <c r="E3144" t="str">
        <f>"676"</f>
        <v>676</v>
      </c>
      <c r="F3144" t="str">
        <f t="shared" si="236"/>
        <v>0000</v>
      </c>
    </row>
    <row r="3145" spans="1:6">
      <c r="C3145" t="str">
        <f t="shared" si="235"/>
        <v>4</v>
      </c>
      <c r="D3145">
        <v>27</v>
      </c>
      <c r="E3145" t="str">
        <f>"678"</f>
        <v>678</v>
      </c>
      <c r="F3145" t="str">
        <f t="shared" si="236"/>
        <v>0000</v>
      </c>
    </row>
    <row r="3146" spans="1:6">
      <c r="C3146" t="str">
        <f t="shared" si="235"/>
        <v>4</v>
      </c>
      <c r="D3146">
        <v>27</v>
      </c>
      <c r="E3146" t="str">
        <f>"99999"</f>
        <v>99999</v>
      </c>
      <c r="F3146" t="str">
        <f t="shared" si="236"/>
        <v>0000</v>
      </c>
    </row>
    <row r="3147" spans="1:6">
      <c r="C3147" t="str">
        <f t="shared" si="235"/>
        <v>4</v>
      </c>
      <c r="D3147">
        <v>27</v>
      </c>
      <c r="E3147" t="str">
        <f>"975"</f>
        <v>975</v>
      </c>
      <c r="F3147" t="str">
        <f t="shared" si="236"/>
        <v>0000</v>
      </c>
    </row>
    <row r="3148" spans="1:6">
      <c r="C3148" t="str">
        <f t="shared" si="235"/>
        <v>4</v>
      </c>
      <c r="D3148">
        <v>27</v>
      </c>
      <c r="E3148" t="str">
        <f>"677"</f>
        <v>677</v>
      </c>
      <c r="F3148" t="str">
        <f t="shared" si="236"/>
        <v>0000</v>
      </c>
    </row>
    <row r="3149" spans="1:6">
      <c r="C3149" t="str">
        <f t="shared" si="235"/>
        <v>4</v>
      </c>
      <c r="D3149">
        <v>27</v>
      </c>
      <c r="E3149" t="str">
        <f>"589"</f>
        <v>589</v>
      </c>
      <c r="F3149" t="str">
        <f t="shared" si="236"/>
        <v>0000</v>
      </c>
    </row>
    <row r="3150" spans="1:6">
      <c r="C3150" t="str">
        <f t="shared" si="235"/>
        <v>4</v>
      </c>
      <c r="D3150">
        <v>27</v>
      </c>
      <c r="E3150" t="str">
        <f>"587"</f>
        <v>587</v>
      </c>
      <c r="F3150" t="str">
        <f t="shared" si="236"/>
        <v>0000</v>
      </c>
    </row>
    <row r="3151" spans="1:6">
      <c r="A3151" t="str">
        <f>"E1235-470"</f>
        <v>E1235-470</v>
      </c>
      <c r="B3151" t="str">
        <f>"VIA FELICE MARITANO  90-"</f>
        <v>VIA FELICE MARITANO  90-</v>
      </c>
      <c r="C3151" t="str">
        <f t="shared" si="235"/>
        <v>4</v>
      </c>
      <c r="D3151">
        <v>27</v>
      </c>
      <c r="E3151" t="str">
        <f>"124"</f>
        <v>124</v>
      </c>
      <c r="F3151" t="str">
        <f t="shared" si="236"/>
        <v>0000</v>
      </c>
    </row>
    <row r="3152" spans="1:6">
      <c r="C3152" t="str">
        <f t="shared" si="235"/>
        <v>4</v>
      </c>
      <c r="D3152">
        <v>27</v>
      </c>
      <c r="E3152" t="str">
        <f>"1422"</f>
        <v>1422</v>
      </c>
      <c r="F3152" t="str">
        <f t="shared" si="236"/>
        <v>0000</v>
      </c>
    </row>
    <row r="3153" spans="1:6">
      <c r="C3153" t="str">
        <f t="shared" si="235"/>
        <v>4</v>
      </c>
      <c r="D3153">
        <v>27</v>
      </c>
      <c r="E3153" t="str">
        <f>"587"</f>
        <v>587</v>
      </c>
      <c r="F3153" t="str">
        <f t="shared" si="236"/>
        <v>0000</v>
      </c>
    </row>
    <row r="3154" spans="1:6">
      <c r="C3154" t="str">
        <f t="shared" si="235"/>
        <v>4</v>
      </c>
      <c r="D3154">
        <v>27</v>
      </c>
      <c r="E3154" t="str">
        <f>"99999"</f>
        <v>99999</v>
      </c>
      <c r="F3154" t="str">
        <f t="shared" si="236"/>
        <v>0000</v>
      </c>
    </row>
    <row r="3155" spans="1:6">
      <c r="C3155" t="str">
        <f t="shared" si="235"/>
        <v>4</v>
      </c>
      <c r="D3155">
        <v>27</v>
      </c>
      <c r="E3155" t="str">
        <f>"975"</f>
        <v>975</v>
      </c>
      <c r="F3155" t="str">
        <f t="shared" si="236"/>
        <v>0000</v>
      </c>
    </row>
    <row r="3156" spans="1:6">
      <c r="C3156" t="str">
        <f t="shared" si="235"/>
        <v>4</v>
      </c>
      <c r="D3156">
        <v>27</v>
      </c>
      <c r="E3156" t="str">
        <f>"678"</f>
        <v>678</v>
      </c>
      <c r="F3156" t="str">
        <f t="shared" si="236"/>
        <v>0000</v>
      </c>
    </row>
    <row r="3157" spans="1:6">
      <c r="C3157" t="str">
        <f t="shared" si="235"/>
        <v>4</v>
      </c>
      <c r="D3157">
        <v>27</v>
      </c>
      <c r="E3157" t="str">
        <f>"677"</f>
        <v>677</v>
      </c>
      <c r="F3157" t="str">
        <f t="shared" si="236"/>
        <v>0000</v>
      </c>
    </row>
    <row r="3158" spans="1:6">
      <c r="C3158" t="str">
        <f t="shared" si="235"/>
        <v>4</v>
      </c>
      <c r="D3158">
        <v>27</v>
      </c>
      <c r="E3158" t="str">
        <f>"676"</f>
        <v>676</v>
      </c>
      <c r="F3158" t="str">
        <f t="shared" si="236"/>
        <v>0000</v>
      </c>
    </row>
    <row r="3159" spans="1:6">
      <c r="C3159" t="str">
        <f t="shared" si="235"/>
        <v>4</v>
      </c>
      <c r="D3159">
        <v>27</v>
      </c>
      <c r="E3159" t="str">
        <f>"589"</f>
        <v>589</v>
      </c>
      <c r="F3159" t="str">
        <f t="shared" si="236"/>
        <v>0000</v>
      </c>
    </row>
    <row r="3160" spans="1:6">
      <c r="C3160" t="str">
        <f t="shared" si="235"/>
        <v>4</v>
      </c>
      <c r="D3160">
        <v>27</v>
      </c>
      <c r="E3160" t="str">
        <f>"588"</f>
        <v>588</v>
      </c>
      <c r="F3160" t="str">
        <f t="shared" si="236"/>
        <v>0000</v>
      </c>
    </row>
    <row r="3161" spans="1:6">
      <c r="C3161" t="str">
        <f t="shared" si="235"/>
        <v>4</v>
      </c>
      <c r="D3161">
        <v>27</v>
      </c>
      <c r="E3161" t="str">
        <f>"1855"</f>
        <v>1855</v>
      </c>
      <c r="F3161" t="str">
        <f t="shared" si="236"/>
        <v>0000</v>
      </c>
    </row>
    <row r="3162" spans="1:6">
      <c r="C3162" t="str">
        <f t="shared" si="235"/>
        <v>4</v>
      </c>
      <c r="D3162">
        <v>27</v>
      </c>
      <c r="E3162" t="str">
        <f>"1421"</f>
        <v>1421</v>
      </c>
      <c r="F3162" t="str">
        <f t="shared" si="236"/>
        <v>0000</v>
      </c>
    </row>
    <row r="3163" spans="1:6">
      <c r="C3163" t="str">
        <f t="shared" si="235"/>
        <v>4</v>
      </c>
      <c r="D3163">
        <v>27</v>
      </c>
      <c r="E3163" t="str">
        <f>"1241"</f>
        <v>1241</v>
      </c>
      <c r="F3163" t="str">
        <f t="shared" si="236"/>
        <v>0000</v>
      </c>
    </row>
    <row r="3164" spans="1:6">
      <c r="A3164" t="str">
        <f>"E1235-471"</f>
        <v>E1235-471</v>
      </c>
      <c r="B3164" t="str">
        <f>"VIA FELICE MARITANO  90-"</f>
        <v>VIA FELICE MARITANO  90-</v>
      </c>
      <c r="C3164" t="str">
        <f t="shared" si="235"/>
        <v>4</v>
      </c>
      <c r="D3164">
        <v>27</v>
      </c>
      <c r="E3164" t="str">
        <f>"124"</f>
        <v>124</v>
      </c>
      <c r="F3164" t="str">
        <f t="shared" si="236"/>
        <v>0000</v>
      </c>
    </row>
    <row r="3165" spans="1:6">
      <c r="C3165" t="str">
        <f t="shared" si="235"/>
        <v>4</v>
      </c>
      <c r="D3165">
        <v>27</v>
      </c>
      <c r="E3165" t="str">
        <f>"1241"</f>
        <v>1241</v>
      </c>
      <c r="F3165" t="str">
        <f t="shared" si="236"/>
        <v>0000</v>
      </c>
    </row>
    <row r="3166" spans="1:6">
      <c r="C3166" t="str">
        <f t="shared" si="235"/>
        <v>4</v>
      </c>
      <c r="D3166">
        <v>27</v>
      </c>
      <c r="E3166" t="str">
        <f>"1421"</f>
        <v>1421</v>
      </c>
      <c r="F3166" t="str">
        <f t="shared" si="236"/>
        <v>0000</v>
      </c>
    </row>
    <row r="3167" spans="1:6">
      <c r="C3167" t="str">
        <f t="shared" si="235"/>
        <v>4</v>
      </c>
      <c r="D3167">
        <v>27</v>
      </c>
      <c r="E3167" t="str">
        <f>"1855"</f>
        <v>1855</v>
      </c>
      <c r="F3167" t="str">
        <f t="shared" si="236"/>
        <v>0000</v>
      </c>
    </row>
    <row r="3168" spans="1:6">
      <c r="C3168" t="str">
        <f t="shared" si="235"/>
        <v>4</v>
      </c>
      <c r="D3168">
        <v>27</v>
      </c>
      <c r="E3168" t="str">
        <f>"588"</f>
        <v>588</v>
      </c>
      <c r="F3168" t="str">
        <f t="shared" si="236"/>
        <v>0000</v>
      </c>
    </row>
    <row r="3169" spans="1:6">
      <c r="C3169" t="str">
        <f t="shared" si="235"/>
        <v>4</v>
      </c>
      <c r="D3169">
        <v>27</v>
      </c>
      <c r="E3169" t="str">
        <f>"676"</f>
        <v>676</v>
      </c>
      <c r="F3169" t="str">
        <f t="shared" si="236"/>
        <v>0000</v>
      </c>
    </row>
    <row r="3170" spans="1:6">
      <c r="C3170" t="str">
        <f t="shared" si="235"/>
        <v>4</v>
      </c>
      <c r="D3170">
        <v>27</v>
      </c>
      <c r="E3170" t="str">
        <f>"99999"</f>
        <v>99999</v>
      </c>
      <c r="F3170" t="str">
        <f t="shared" si="236"/>
        <v>0000</v>
      </c>
    </row>
    <row r="3171" spans="1:6">
      <c r="C3171" t="str">
        <f t="shared" si="235"/>
        <v>4</v>
      </c>
      <c r="D3171">
        <v>27</v>
      </c>
      <c r="E3171" t="str">
        <f>"975"</f>
        <v>975</v>
      </c>
      <c r="F3171" t="str">
        <f t="shared" si="236"/>
        <v>0000</v>
      </c>
    </row>
    <row r="3172" spans="1:6">
      <c r="C3172" t="str">
        <f t="shared" si="235"/>
        <v>4</v>
      </c>
      <c r="D3172">
        <v>27</v>
      </c>
      <c r="E3172" t="str">
        <f>"678"</f>
        <v>678</v>
      </c>
      <c r="F3172" t="str">
        <f t="shared" si="236"/>
        <v>0000</v>
      </c>
    </row>
    <row r="3173" spans="1:6">
      <c r="C3173" t="str">
        <f t="shared" si="235"/>
        <v>4</v>
      </c>
      <c r="D3173">
        <v>27</v>
      </c>
      <c r="E3173" t="str">
        <f>"677"</f>
        <v>677</v>
      </c>
      <c r="F3173" t="str">
        <f t="shared" si="236"/>
        <v>0000</v>
      </c>
    </row>
    <row r="3174" spans="1:6">
      <c r="C3174" t="str">
        <f t="shared" si="235"/>
        <v>4</v>
      </c>
      <c r="D3174">
        <v>27</v>
      </c>
      <c r="E3174" t="str">
        <f>"589"</f>
        <v>589</v>
      </c>
      <c r="F3174" t="str">
        <f t="shared" si="236"/>
        <v>0000</v>
      </c>
    </row>
    <row r="3175" spans="1:6">
      <c r="C3175" t="str">
        <f t="shared" si="235"/>
        <v>4</v>
      </c>
      <c r="D3175">
        <v>27</v>
      </c>
      <c r="E3175" t="str">
        <f>"587"</f>
        <v>587</v>
      </c>
      <c r="F3175" t="str">
        <f t="shared" si="236"/>
        <v>0000</v>
      </c>
    </row>
    <row r="3176" spans="1:6">
      <c r="C3176" t="str">
        <f t="shared" si="235"/>
        <v>4</v>
      </c>
      <c r="D3176">
        <v>27</v>
      </c>
      <c r="E3176" t="str">
        <f>"1422"</f>
        <v>1422</v>
      </c>
      <c r="F3176" t="str">
        <f t="shared" si="236"/>
        <v>0000</v>
      </c>
    </row>
    <row r="3177" spans="1:6">
      <c r="A3177" t="str">
        <f>"E1235-472"</f>
        <v>E1235-472</v>
      </c>
      <c r="B3177" t="str">
        <f>"VIA FELICE MARITANO  90-"</f>
        <v>VIA FELICE MARITANO  90-</v>
      </c>
      <c r="C3177" t="str">
        <f t="shared" si="235"/>
        <v>4</v>
      </c>
      <c r="D3177">
        <v>27</v>
      </c>
      <c r="E3177" t="str">
        <f>"124"</f>
        <v>124</v>
      </c>
      <c r="F3177" t="str">
        <f t="shared" si="236"/>
        <v>0000</v>
      </c>
    </row>
    <row r="3178" spans="1:6">
      <c r="C3178" t="str">
        <f t="shared" si="235"/>
        <v>4</v>
      </c>
      <c r="D3178">
        <v>27</v>
      </c>
      <c r="E3178" t="str">
        <f>"99999"</f>
        <v>99999</v>
      </c>
      <c r="F3178" t="str">
        <f t="shared" si="236"/>
        <v>0000</v>
      </c>
    </row>
    <row r="3179" spans="1:6">
      <c r="C3179" t="str">
        <f t="shared" si="235"/>
        <v>4</v>
      </c>
      <c r="D3179">
        <v>27</v>
      </c>
      <c r="E3179" t="str">
        <f>"975"</f>
        <v>975</v>
      </c>
      <c r="F3179" t="str">
        <f t="shared" si="236"/>
        <v>0000</v>
      </c>
    </row>
    <row r="3180" spans="1:6">
      <c r="C3180" t="str">
        <f t="shared" si="235"/>
        <v>4</v>
      </c>
      <c r="D3180">
        <v>27</v>
      </c>
      <c r="E3180" t="str">
        <f>"678"</f>
        <v>678</v>
      </c>
      <c r="F3180" t="str">
        <f t="shared" si="236"/>
        <v>0000</v>
      </c>
    </row>
    <row r="3181" spans="1:6">
      <c r="C3181" t="str">
        <f t="shared" si="235"/>
        <v>4</v>
      </c>
      <c r="D3181">
        <v>27</v>
      </c>
      <c r="E3181" t="str">
        <f>"677"</f>
        <v>677</v>
      </c>
      <c r="F3181" t="str">
        <f t="shared" si="236"/>
        <v>0000</v>
      </c>
    </row>
    <row r="3182" spans="1:6">
      <c r="C3182" t="str">
        <f t="shared" si="235"/>
        <v>4</v>
      </c>
      <c r="D3182">
        <v>27</v>
      </c>
      <c r="E3182" t="str">
        <f>"676"</f>
        <v>676</v>
      </c>
      <c r="F3182" t="str">
        <f t="shared" si="236"/>
        <v>0000</v>
      </c>
    </row>
    <row r="3183" spans="1:6">
      <c r="C3183" t="str">
        <f t="shared" si="235"/>
        <v>4</v>
      </c>
      <c r="D3183">
        <v>27</v>
      </c>
      <c r="E3183" t="str">
        <f>"589"</f>
        <v>589</v>
      </c>
      <c r="F3183" t="str">
        <f t="shared" si="236"/>
        <v>0000</v>
      </c>
    </row>
    <row r="3184" spans="1:6">
      <c r="C3184" t="str">
        <f t="shared" si="235"/>
        <v>4</v>
      </c>
      <c r="D3184">
        <v>27</v>
      </c>
      <c r="E3184" t="str">
        <f>"588"</f>
        <v>588</v>
      </c>
      <c r="F3184" t="str">
        <f t="shared" si="236"/>
        <v>0000</v>
      </c>
    </row>
    <row r="3185" spans="1:6">
      <c r="C3185" t="str">
        <f t="shared" si="235"/>
        <v>4</v>
      </c>
      <c r="D3185">
        <v>27</v>
      </c>
      <c r="E3185" t="str">
        <f>"587"</f>
        <v>587</v>
      </c>
      <c r="F3185" t="str">
        <f t="shared" si="236"/>
        <v>0000</v>
      </c>
    </row>
    <row r="3186" spans="1:6">
      <c r="C3186" t="str">
        <f t="shared" si="235"/>
        <v>4</v>
      </c>
      <c r="D3186">
        <v>27</v>
      </c>
      <c r="E3186" t="str">
        <f>"1855"</f>
        <v>1855</v>
      </c>
      <c r="F3186" t="str">
        <f t="shared" si="236"/>
        <v>0000</v>
      </c>
    </row>
    <row r="3187" spans="1:6">
      <c r="C3187" t="str">
        <f t="shared" si="235"/>
        <v>4</v>
      </c>
      <c r="D3187">
        <v>27</v>
      </c>
      <c r="E3187" t="str">
        <f>"1241"</f>
        <v>1241</v>
      </c>
      <c r="F3187" t="str">
        <f t="shared" si="236"/>
        <v>0000</v>
      </c>
    </row>
    <row r="3188" spans="1:6">
      <c r="C3188" t="str">
        <f t="shared" si="235"/>
        <v>4</v>
      </c>
      <c r="D3188">
        <v>27</v>
      </c>
      <c r="E3188" t="str">
        <f>"1422"</f>
        <v>1422</v>
      </c>
      <c r="F3188" t="str">
        <f t="shared" si="236"/>
        <v>0000</v>
      </c>
    </row>
    <row r="3189" spans="1:6">
      <c r="C3189" t="str">
        <f t="shared" si="235"/>
        <v>4</v>
      </c>
      <c r="D3189">
        <v>27</v>
      </c>
      <c r="E3189" t="str">
        <f>"1421"</f>
        <v>1421</v>
      </c>
      <c r="F3189" t="str">
        <f t="shared" si="236"/>
        <v>0000</v>
      </c>
    </row>
    <row r="3190" spans="1:6">
      <c r="A3190" t="str">
        <f>"E1235-473"</f>
        <v>E1235-473</v>
      </c>
      <c r="B3190" t="str">
        <f>"VIA FELICE MARITANO  90-"</f>
        <v>VIA FELICE MARITANO  90-</v>
      </c>
      <c r="C3190" t="str">
        <f t="shared" si="235"/>
        <v>4</v>
      </c>
      <c r="D3190">
        <v>27</v>
      </c>
      <c r="E3190" t="str">
        <f>"124"</f>
        <v>124</v>
      </c>
      <c r="F3190" t="str">
        <f t="shared" si="236"/>
        <v>0000</v>
      </c>
    </row>
    <row r="3191" spans="1:6">
      <c r="C3191" t="str">
        <f t="shared" si="235"/>
        <v>4</v>
      </c>
      <c r="D3191">
        <v>27</v>
      </c>
      <c r="E3191" t="str">
        <f>"1241"</f>
        <v>1241</v>
      </c>
      <c r="F3191" t="str">
        <f t="shared" si="236"/>
        <v>0000</v>
      </c>
    </row>
    <row r="3192" spans="1:6">
      <c r="C3192" t="str">
        <f t="shared" si="235"/>
        <v>4</v>
      </c>
      <c r="D3192">
        <v>27</v>
      </c>
      <c r="E3192" t="str">
        <f>"1422"</f>
        <v>1422</v>
      </c>
      <c r="F3192" t="str">
        <f t="shared" si="236"/>
        <v>0000</v>
      </c>
    </row>
    <row r="3193" spans="1:6">
      <c r="C3193" t="str">
        <f t="shared" si="235"/>
        <v>4</v>
      </c>
      <c r="D3193">
        <v>27</v>
      </c>
      <c r="E3193" t="str">
        <f>"587"</f>
        <v>587</v>
      </c>
      <c r="F3193" t="str">
        <f t="shared" si="236"/>
        <v>0000</v>
      </c>
    </row>
    <row r="3194" spans="1:6">
      <c r="C3194" t="str">
        <f t="shared" si="235"/>
        <v>4</v>
      </c>
      <c r="D3194">
        <v>27</v>
      </c>
      <c r="E3194" t="str">
        <f>"589"</f>
        <v>589</v>
      </c>
      <c r="F3194" t="str">
        <f t="shared" si="236"/>
        <v>0000</v>
      </c>
    </row>
    <row r="3195" spans="1:6">
      <c r="C3195" t="str">
        <f t="shared" ref="C3195:C3258" si="237">"4"</f>
        <v>4</v>
      </c>
      <c r="D3195">
        <v>27</v>
      </c>
      <c r="E3195" t="str">
        <f>"99999"</f>
        <v>99999</v>
      </c>
      <c r="F3195" t="str">
        <f t="shared" ref="F3195:F3258" si="238">"0000"</f>
        <v>0000</v>
      </c>
    </row>
    <row r="3196" spans="1:6">
      <c r="C3196" t="str">
        <f t="shared" si="237"/>
        <v>4</v>
      </c>
      <c r="D3196">
        <v>27</v>
      </c>
      <c r="E3196" t="str">
        <f>"975"</f>
        <v>975</v>
      </c>
      <c r="F3196" t="str">
        <f t="shared" si="238"/>
        <v>0000</v>
      </c>
    </row>
    <row r="3197" spans="1:6">
      <c r="C3197" t="str">
        <f t="shared" si="237"/>
        <v>4</v>
      </c>
      <c r="D3197">
        <v>27</v>
      </c>
      <c r="E3197" t="str">
        <f>"678"</f>
        <v>678</v>
      </c>
      <c r="F3197" t="str">
        <f t="shared" si="238"/>
        <v>0000</v>
      </c>
    </row>
    <row r="3198" spans="1:6">
      <c r="C3198" t="str">
        <f t="shared" si="237"/>
        <v>4</v>
      </c>
      <c r="D3198">
        <v>27</v>
      </c>
      <c r="E3198" t="str">
        <f>"677"</f>
        <v>677</v>
      </c>
      <c r="F3198" t="str">
        <f t="shared" si="238"/>
        <v>0000</v>
      </c>
    </row>
    <row r="3199" spans="1:6">
      <c r="C3199" t="str">
        <f t="shared" si="237"/>
        <v>4</v>
      </c>
      <c r="D3199">
        <v>27</v>
      </c>
      <c r="E3199" t="str">
        <f>"676"</f>
        <v>676</v>
      </c>
      <c r="F3199" t="str">
        <f t="shared" si="238"/>
        <v>0000</v>
      </c>
    </row>
    <row r="3200" spans="1:6">
      <c r="C3200" t="str">
        <f t="shared" si="237"/>
        <v>4</v>
      </c>
      <c r="D3200">
        <v>27</v>
      </c>
      <c r="E3200" t="str">
        <f>"588"</f>
        <v>588</v>
      </c>
      <c r="F3200" t="str">
        <f t="shared" si="238"/>
        <v>0000</v>
      </c>
    </row>
    <row r="3201" spans="1:6">
      <c r="C3201" t="str">
        <f t="shared" si="237"/>
        <v>4</v>
      </c>
      <c r="D3201">
        <v>27</v>
      </c>
      <c r="E3201" t="str">
        <f>"1855"</f>
        <v>1855</v>
      </c>
      <c r="F3201" t="str">
        <f t="shared" si="238"/>
        <v>0000</v>
      </c>
    </row>
    <row r="3202" spans="1:6">
      <c r="C3202" t="str">
        <f t="shared" si="237"/>
        <v>4</v>
      </c>
      <c r="D3202">
        <v>27</v>
      </c>
      <c r="E3202" t="str">
        <f>"1421"</f>
        <v>1421</v>
      </c>
      <c r="F3202" t="str">
        <f t="shared" si="238"/>
        <v>0000</v>
      </c>
    </row>
    <row r="3203" spans="1:6">
      <c r="A3203" t="str">
        <f>"E1235-474"</f>
        <v>E1235-474</v>
      </c>
      <c r="B3203" t="str">
        <f>"VIA FELICE MARITANO  90-"</f>
        <v>VIA FELICE MARITANO  90-</v>
      </c>
      <c r="C3203" t="str">
        <f t="shared" si="237"/>
        <v>4</v>
      </c>
      <c r="D3203">
        <v>27</v>
      </c>
      <c r="E3203" t="str">
        <f>"124"</f>
        <v>124</v>
      </c>
      <c r="F3203" t="str">
        <f t="shared" si="238"/>
        <v>0000</v>
      </c>
    </row>
    <row r="3204" spans="1:6">
      <c r="C3204" t="str">
        <f t="shared" si="237"/>
        <v>4</v>
      </c>
      <c r="D3204">
        <v>27</v>
      </c>
      <c r="E3204" t="str">
        <f>"1421"</f>
        <v>1421</v>
      </c>
      <c r="F3204" t="str">
        <f t="shared" si="238"/>
        <v>0000</v>
      </c>
    </row>
    <row r="3205" spans="1:6">
      <c r="C3205" t="str">
        <f t="shared" si="237"/>
        <v>4</v>
      </c>
      <c r="D3205">
        <v>27</v>
      </c>
      <c r="E3205" t="str">
        <f>"1422"</f>
        <v>1422</v>
      </c>
      <c r="F3205" t="str">
        <f t="shared" si="238"/>
        <v>0000</v>
      </c>
    </row>
    <row r="3206" spans="1:6">
      <c r="C3206" t="str">
        <f t="shared" si="237"/>
        <v>4</v>
      </c>
      <c r="D3206">
        <v>27</v>
      </c>
      <c r="E3206" t="str">
        <f>"1241"</f>
        <v>1241</v>
      </c>
      <c r="F3206" t="str">
        <f t="shared" si="238"/>
        <v>0000</v>
      </c>
    </row>
    <row r="3207" spans="1:6">
      <c r="C3207" t="str">
        <f t="shared" si="237"/>
        <v>4</v>
      </c>
      <c r="D3207">
        <v>27</v>
      </c>
      <c r="E3207" t="str">
        <f>"1855"</f>
        <v>1855</v>
      </c>
      <c r="F3207" t="str">
        <f t="shared" si="238"/>
        <v>0000</v>
      </c>
    </row>
    <row r="3208" spans="1:6">
      <c r="C3208" t="str">
        <f t="shared" si="237"/>
        <v>4</v>
      </c>
      <c r="D3208">
        <v>27</v>
      </c>
      <c r="E3208" t="str">
        <f>"588"</f>
        <v>588</v>
      </c>
      <c r="F3208" t="str">
        <f t="shared" si="238"/>
        <v>0000</v>
      </c>
    </row>
    <row r="3209" spans="1:6">
      <c r="C3209" t="str">
        <f t="shared" si="237"/>
        <v>4</v>
      </c>
      <c r="D3209">
        <v>27</v>
      </c>
      <c r="E3209" t="str">
        <f>"676"</f>
        <v>676</v>
      </c>
      <c r="F3209" t="str">
        <f t="shared" si="238"/>
        <v>0000</v>
      </c>
    </row>
    <row r="3210" spans="1:6">
      <c r="C3210" t="str">
        <f t="shared" si="237"/>
        <v>4</v>
      </c>
      <c r="D3210">
        <v>27</v>
      </c>
      <c r="E3210" t="str">
        <f>"678"</f>
        <v>678</v>
      </c>
      <c r="F3210" t="str">
        <f t="shared" si="238"/>
        <v>0000</v>
      </c>
    </row>
    <row r="3211" spans="1:6">
      <c r="C3211" t="str">
        <f t="shared" si="237"/>
        <v>4</v>
      </c>
      <c r="D3211">
        <v>27</v>
      </c>
      <c r="E3211" t="str">
        <f>"99999"</f>
        <v>99999</v>
      </c>
      <c r="F3211" t="str">
        <f t="shared" si="238"/>
        <v>0000</v>
      </c>
    </row>
    <row r="3212" spans="1:6">
      <c r="C3212" t="str">
        <f t="shared" si="237"/>
        <v>4</v>
      </c>
      <c r="D3212">
        <v>27</v>
      </c>
      <c r="E3212" t="str">
        <f>"975"</f>
        <v>975</v>
      </c>
      <c r="F3212" t="str">
        <f t="shared" si="238"/>
        <v>0000</v>
      </c>
    </row>
    <row r="3213" spans="1:6">
      <c r="C3213" t="str">
        <f t="shared" si="237"/>
        <v>4</v>
      </c>
      <c r="D3213">
        <v>27</v>
      </c>
      <c r="E3213" t="str">
        <f>"677"</f>
        <v>677</v>
      </c>
      <c r="F3213" t="str">
        <f t="shared" si="238"/>
        <v>0000</v>
      </c>
    </row>
    <row r="3214" spans="1:6">
      <c r="C3214" t="str">
        <f t="shared" si="237"/>
        <v>4</v>
      </c>
      <c r="D3214">
        <v>27</v>
      </c>
      <c r="E3214" t="str">
        <f>"589"</f>
        <v>589</v>
      </c>
      <c r="F3214" t="str">
        <f t="shared" si="238"/>
        <v>0000</v>
      </c>
    </row>
    <row r="3215" spans="1:6">
      <c r="C3215" t="str">
        <f t="shared" si="237"/>
        <v>4</v>
      </c>
      <c r="D3215">
        <v>27</v>
      </c>
      <c r="E3215" t="str">
        <f>"587"</f>
        <v>587</v>
      </c>
      <c r="F3215" t="str">
        <f t="shared" si="238"/>
        <v>0000</v>
      </c>
    </row>
    <row r="3216" spans="1:6">
      <c r="A3216" t="str">
        <f>"E1235-475"</f>
        <v>E1235-475</v>
      </c>
      <c r="B3216" t="str">
        <f>"VIA FELICE MARITANO  90-"</f>
        <v>VIA FELICE MARITANO  90-</v>
      </c>
      <c r="C3216" t="str">
        <f t="shared" si="237"/>
        <v>4</v>
      </c>
      <c r="D3216">
        <v>27</v>
      </c>
      <c r="E3216" t="str">
        <f>"124"</f>
        <v>124</v>
      </c>
      <c r="F3216" t="str">
        <f t="shared" si="238"/>
        <v>0000</v>
      </c>
    </row>
    <row r="3217" spans="1:6">
      <c r="C3217" t="str">
        <f t="shared" si="237"/>
        <v>4</v>
      </c>
      <c r="D3217">
        <v>27</v>
      </c>
      <c r="E3217" t="str">
        <f>"1422"</f>
        <v>1422</v>
      </c>
      <c r="F3217" t="str">
        <f t="shared" si="238"/>
        <v>0000</v>
      </c>
    </row>
    <row r="3218" spans="1:6">
      <c r="C3218" t="str">
        <f t="shared" si="237"/>
        <v>4</v>
      </c>
      <c r="D3218">
        <v>27</v>
      </c>
      <c r="E3218" t="str">
        <f>"587"</f>
        <v>587</v>
      </c>
      <c r="F3218" t="str">
        <f t="shared" si="238"/>
        <v>0000</v>
      </c>
    </row>
    <row r="3219" spans="1:6">
      <c r="C3219" t="str">
        <f t="shared" si="237"/>
        <v>4</v>
      </c>
      <c r="D3219">
        <v>27</v>
      </c>
      <c r="E3219" t="str">
        <f>"99999"</f>
        <v>99999</v>
      </c>
      <c r="F3219" t="str">
        <f t="shared" si="238"/>
        <v>0000</v>
      </c>
    </row>
    <row r="3220" spans="1:6">
      <c r="C3220" t="str">
        <f t="shared" si="237"/>
        <v>4</v>
      </c>
      <c r="D3220">
        <v>27</v>
      </c>
      <c r="E3220" t="str">
        <f>"975"</f>
        <v>975</v>
      </c>
      <c r="F3220" t="str">
        <f t="shared" si="238"/>
        <v>0000</v>
      </c>
    </row>
    <row r="3221" spans="1:6">
      <c r="C3221" t="str">
        <f t="shared" si="237"/>
        <v>4</v>
      </c>
      <c r="D3221">
        <v>27</v>
      </c>
      <c r="E3221" t="str">
        <f>"678"</f>
        <v>678</v>
      </c>
      <c r="F3221" t="str">
        <f t="shared" si="238"/>
        <v>0000</v>
      </c>
    </row>
    <row r="3222" spans="1:6">
      <c r="C3222" t="str">
        <f t="shared" si="237"/>
        <v>4</v>
      </c>
      <c r="D3222">
        <v>27</v>
      </c>
      <c r="E3222" t="str">
        <f>"677"</f>
        <v>677</v>
      </c>
      <c r="F3222" t="str">
        <f t="shared" si="238"/>
        <v>0000</v>
      </c>
    </row>
    <row r="3223" spans="1:6">
      <c r="C3223" t="str">
        <f t="shared" si="237"/>
        <v>4</v>
      </c>
      <c r="D3223">
        <v>27</v>
      </c>
      <c r="E3223" t="str">
        <f>"676"</f>
        <v>676</v>
      </c>
      <c r="F3223" t="str">
        <f t="shared" si="238"/>
        <v>0000</v>
      </c>
    </row>
    <row r="3224" spans="1:6">
      <c r="C3224" t="str">
        <f t="shared" si="237"/>
        <v>4</v>
      </c>
      <c r="D3224">
        <v>27</v>
      </c>
      <c r="E3224" t="str">
        <f>"589"</f>
        <v>589</v>
      </c>
      <c r="F3224" t="str">
        <f t="shared" si="238"/>
        <v>0000</v>
      </c>
    </row>
    <row r="3225" spans="1:6">
      <c r="C3225" t="str">
        <f t="shared" si="237"/>
        <v>4</v>
      </c>
      <c r="D3225">
        <v>27</v>
      </c>
      <c r="E3225" t="str">
        <f>"588"</f>
        <v>588</v>
      </c>
      <c r="F3225" t="str">
        <f t="shared" si="238"/>
        <v>0000</v>
      </c>
    </row>
    <row r="3226" spans="1:6">
      <c r="C3226" t="str">
        <f t="shared" si="237"/>
        <v>4</v>
      </c>
      <c r="D3226">
        <v>27</v>
      </c>
      <c r="E3226" t="str">
        <f>"1855"</f>
        <v>1855</v>
      </c>
      <c r="F3226" t="str">
        <f t="shared" si="238"/>
        <v>0000</v>
      </c>
    </row>
    <row r="3227" spans="1:6">
      <c r="C3227" t="str">
        <f t="shared" si="237"/>
        <v>4</v>
      </c>
      <c r="D3227">
        <v>27</v>
      </c>
      <c r="E3227" t="str">
        <f>"1421"</f>
        <v>1421</v>
      </c>
      <c r="F3227" t="str">
        <f t="shared" si="238"/>
        <v>0000</v>
      </c>
    </row>
    <row r="3228" spans="1:6">
      <c r="C3228" t="str">
        <f t="shared" si="237"/>
        <v>4</v>
      </c>
      <c r="D3228">
        <v>27</v>
      </c>
      <c r="E3228" t="str">
        <f>"1241"</f>
        <v>1241</v>
      </c>
      <c r="F3228" t="str">
        <f t="shared" si="238"/>
        <v>0000</v>
      </c>
    </row>
    <row r="3229" spans="1:6">
      <c r="A3229" t="str">
        <f>"E1235-476"</f>
        <v>E1235-476</v>
      </c>
      <c r="B3229" t="str">
        <f>"VIA FELICE MARITANO  90-"</f>
        <v>VIA FELICE MARITANO  90-</v>
      </c>
      <c r="C3229" t="str">
        <f t="shared" si="237"/>
        <v>4</v>
      </c>
      <c r="D3229">
        <v>27</v>
      </c>
      <c r="E3229" t="str">
        <f>"124"</f>
        <v>124</v>
      </c>
      <c r="F3229" t="str">
        <f t="shared" si="238"/>
        <v>0000</v>
      </c>
    </row>
    <row r="3230" spans="1:6">
      <c r="C3230" t="str">
        <f t="shared" si="237"/>
        <v>4</v>
      </c>
      <c r="D3230">
        <v>27</v>
      </c>
      <c r="E3230" t="str">
        <f>"1241"</f>
        <v>1241</v>
      </c>
      <c r="F3230" t="str">
        <f t="shared" si="238"/>
        <v>0000</v>
      </c>
    </row>
    <row r="3231" spans="1:6">
      <c r="C3231" t="str">
        <f t="shared" si="237"/>
        <v>4</v>
      </c>
      <c r="D3231">
        <v>27</v>
      </c>
      <c r="E3231" t="str">
        <f>"1421"</f>
        <v>1421</v>
      </c>
      <c r="F3231" t="str">
        <f t="shared" si="238"/>
        <v>0000</v>
      </c>
    </row>
    <row r="3232" spans="1:6">
      <c r="C3232" t="str">
        <f t="shared" si="237"/>
        <v>4</v>
      </c>
      <c r="D3232">
        <v>27</v>
      </c>
      <c r="E3232" t="str">
        <f>"1855"</f>
        <v>1855</v>
      </c>
      <c r="F3232" t="str">
        <f t="shared" si="238"/>
        <v>0000</v>
      </c>
    </row>
    <row r="3233" spans="1:6">
      <c r="C3233" t="str">
        <f t="shared" si="237"/>
        <v>4</v>
      </c>
      <c r="D3233">
        <v>27</v>
      </c>
      <c r="E3233" t="str">
        <f>"588"</f>
        <v>588</v>
      </c>
      <c r="F3233" t="str">
        <f t="shared" si="238"/>
        <v>0000</v>
      </c>
    </row>
    <row r="3234" spans="1:6">
      <c r="C3234" t="str">
        <f t="shared" si="237"/>
        <v>4</v>
      </c>
      <c r="D3234">
        <v>27</v>
      </c>
      <c r="E3234" t="str">
        <f>"676"</f>
        <v>676</v>
      </c>
      <c r="F3234" t="str">
        <f t="shared" si="238"/>
        <v>0000</v>
      </c>
    </row>
    <row r="3235" spans="1:6">
      <c r="C3235" t="str">
        <f t="shared" si="237"/>
        <v>4</v>
      </c>
      <c r="D3235">
        <v>27</v>
      </c>
      <c r="E3235" t="str">
        <f>"99999"</f>
        <v>99999</v>
      </c>
      <c r="F3235" t="str">
        <f t="shared" si="238"/>
        <v>0000</v>
      </c>
    </row>
    <row r="3236" spans="1:6">
      <c r="C3236" t="str">
        <f t="shared" si="237"/>
        <v>4</v>
      </c>
      <c r="D3236">
        <v>27</v>
      </c>
      <c r="E3236" t="str">
        <f>"975"</f>
        <v>975</v>
      </c>
      <c r="F3236" t="str">
        <f t="shared" si="238"/>
        <v>0000</v>
      </c>
    </row>
    <row r="3237" spans="1:6">
      <c r="C3237" t="str">
        <f t="shared" si="237"/>
        <v>4</v>
      </c>
      <c r="D3237">
        <v>27</v>
      </c>
      <c r="E3237" t="str">
        <f>"678"</f>
        <v>678</v>
      </c>
      <c r="F3237" t="str">
        <f t="shared" si="238"/>
        <v>0000</v>
      </c>
    </row>
    <row r="3238" spans="1:6">
      <c r="C3238" t="str">
        <f t="shared" si="237"/>
        <v>4</v>
      </c>
      <c r="D3238">
        <v>27</v>
      </c>
      <c r="E3238" t="str">
        <f>"677"</f>
        <v>677</v>
      </c>
      <c r="F3238" t="str">
        <f t="shared" si="238"/>
        <v>0000</v>
      </c>
    </row>
    <row r="3239" spans="1:6">
      <c r="C3239" t="str">
        <f t="shared" si="237"/>
        <v>4</v>
      </c>
      <c r="D3239">
        <v>27</v>
      </c>
      <c r="E3239" t="str">
        <f>"589"</f>
        <v>589</v>
      </c>
      <c r="F3239" t="str">
        <f t="shared" si="238"/>
        <v>0000</v>
      </c>
    </row>
    <row r="3240" spans="1:6">
      <c r="C3240" t="str">
        <f t="shared" si="237"/>
        <v>4</v>
      </c>
      <c r="D3240">
        <v>27</v>
      </c>
      <c r="E3240" t="str">
        <f>"587"</f>
        <v>587</v>
      </c>
      <c r="F3240" t="str">
        <f t="shared" si="238"/>
        <v>0000</v>
      </c>
    </row>
    <row r="3241" spans="1:6">
      <c r="C3241" t="str">
        <f t="shared" si="237"/>
        <v>4</v>
      </c>
      <c r="D3241">
        <v>27</v>
      </c>
      <c r="E3241" t="str">
        <f>"1422"</f>
        <v>1422</v>
      </c>
      <c r="F3241" t="str">
        <f t="shared" si="238"/>
        <v>0000</v>
      </c>
    </row>
    <row r="3242" spans="1:6">
      <c r="A3242" t="str">
        <f>"E1235-477"</f>
        <v>E1235-477</v>
      </c>
      <c r="B3242" t="str">
        <f>"VIA FELICE MARITANO  90-"</f>
        <v>VIA FELICE MARITANO  90-</v>
      </c>
      <c r="C3242" t="str">
        <f t="shared" si="237"/>
        <v>4</v>
      </c>
      <c r="D3242">
        <v>27</v>
      </c>
      <c r="E3242" t="str">
        <f>"124"</f>
        <v>124</v>
      </c>
      <c r="F3242" t="str">
        <f t="shared" si="238"/>
        <v>0000</v>
      </c>
    </row>
    <row r="3243" spans="1:6">
      <c r="C3243" t="str">
        <f t="shared" si="237"/>
        <v>4</v>
      </c>
      <c r="D3243">
        <v>27</v>
      </c>
      <c r="E3243" t="str">
        <f>"99999"</f>
        <v>99999</v>
      </c>
      <c r="F3243" t="str">
        <f t="shared" si="238"/>
        <v>0000</v>
      </c>
    </row>
    <row r="3244" spans="1:6">
      <c r="C3244" t="str">
        <f t="shared" si="237"/>
        <v>4</v>
      </c>
      <c r="D3244">
        <v>27</v>
      </c>
      <c r="E3244" t="str">
        <f>"975"</f>
        <v>975</v>
      </c>
      <c r="F3244" t="str">
        <f t="shared" si="238"/>
        <v>0000</v>
      </c>
    </row>
    <row r="3245" spans="1:6">
      <c r="C3245" t="str">
        <f t="shared" si="237"/>
        <v>4</v>
      </c>
      <c r="D3245">
        <v>27</v>
      </c>
      <c r="E3245" t="str">
        <f>"678"</f>
        <v>678</v>
      </c>
      <c r="F3245" t="str">
        <f t="shared" si="238"/>
        <v>0000</v>
      </c>
    </row>
    <row r="3246" spans="1:6">
      <c r="C3246" t="str">
        <f t="shared" si="237"/>
        <v>4</v>
      </c>
      <c r="D3246">
        <v>27</v>
      </c>
      <c r="E3246" t="str">
        <f>"677"</f>
        <v>677</v>
      </c>
      <c r="F3246" t="str">
        <f t="shared" si="238"/>
        <v>0000</v>
      </c>
    </row>
    <row r="3247" spans="1:6">
      <c r="C3247" t="str">
        <f t="shared" si="237"/>
        <v>4</v>
      </c>
      <c r="D3247">
        <v>27</v>
      </c>
      <c r="E3247" t="str">
        <f>"676"</f>
        <v>676</v>
      </c>
      <c r="F3247" t="str">
        <f t="shared" si="238"/>
        <v>0000</v>
      </c>
    </row>
    <row r="3248" spans="1:6">
      <c r="C3248" t="str">
        <f t="shared" si="237"/>
        <v>4</v>
      </c>
      <c r="D3248">
        <v>27</v>
      </c>
      <c r="E3248" t="str">
        <f>"589"</f>
        <v>589</v>
      </c>
      <c r="F3248" t="str">
        <f t="shared" si="238"/>
        <v>0000</v>
      </c>
    </row>
    <row r="3249" spans="1:6">
      <c r="C3249" t="str">
        <f t="shared" si="237"/>
        <v>4</v>
      </c>
      <c r="D3249">
        <v>27</v>
      </c>
      <c r="E3249" t="str">
        <f>"588"</f>
        <v>588</v>
      </c>
      <c r="F3249" t="str">
        <f t="shared" si="238"/>
        <v>0000</v>
      </c>
    </row>
    <row r="3250" spans="1:6">
      <c r="C3250" t="str">
        <f t="shared" si="237"/>
        <v>4</v>
      </c>
      <c r="D3250">
        <v>27</v>
      </c>
      <c r="E3250" t="str">
        <f>"587"</f>
        <v>587</v>
      </c>
      <c r="F3250" t="str">
        <f t="shared" si="238"/>
        <v>0000</v>
      </c>
    </row>
    <row r="3251" spans="1:6">
      <c r="C3251" t="str">
        <f t="shared" si="237"/>
        <v>4</v>
      </c>
      <c r="D3251">
        <v>27</v>
      </c>
      <c r="E3251" t="str">
        <f>"1855"</f>
        <v>1855</v>
      </c>
      <c r="F3251" t="str">
        <f t="shared" si="238"/>
        <v>0000</v>
      </c>
    </row>
    <row r="3252" spans="1:6">
      <c r="C3252" t="str">
        <f t="shared" si="237"/>
        <v>4</v>
      </c>
      <c r="D3252">
        <v>27</v>
      </c>
      <c r="E3252" t="str">
        <f>"1241"</f>
        <v>1241</v>
      </c>
      <c r="F3252" t="str">
        <f t="shared" si="238"/>
        <v>0000</v>
      </c>
    </row>
    <row r="3253" spans="1:6">
      <c r="C3253" t="str">
        <f t="shared" si="237"/>
        <v>4</v>
      </c>
      <c r="D3253">
        <v>27</v>
      </c>
      <c r="E3253" t="str">
        <f>"1422"</f>
        <v>1422</v>
      </c>
      <c r="F3253" t="str">
        <f t="shared" si="238"/>
        <v>0000</v>
      </c>
    </row>
    <row r="3254" spans="1:6">
      <c r="C3254" t="str">
        <f t="shared" si="237"/>
        <v>4</v>
      </c>
      <c r="D3254">
        <v>27</v>
      </c>
      <c r="E3254" t="str">
        <f>"1421"</f>
        <v>1421</v>
      </c>
      <c r="F3254" t="str">
        <f t="shared" si="238"/>
        <v>0000</v>
      </c>
    </row>
    <row r="3255" spans="1:6">
      <c r="A3255" t="str">
        <f>"E1235-478"</f>
        <v>E1235-478</v>
      </c>
      <c r="B3255" t="str">
        <f>"VIA FELICE MARITANO  90-"</f>
        <v>VIA FELICE MARITANO  90-</v>
      </c>
      <c r="C3255" t="str">
        <f t="shared" si="237"/>
        <v>4</v>
      </c>
      <c r="D3255">
        <v>27</v>
      </c>
      <c r="E3255" t="str">
        <f>"124"</f>
        <v>124</v>
      </c>
      <c r="F3255" t="str">
        <f t="shared" si="238"/>
        <v>0000</v>
      </c>
    </row>
    <row r="3256" spans="1:6">
      <c r="C3256" t="str">
        <f t="shared" si="237"/>
        <v>4</v>
      </c>
      <c r="D3256">
        <v>27</v>
      </c>
      <c r="E3256" t="str">
        <f>"1241"</f>
        <v>1241</v>
      </c>
      <c r="F3256" t="str">
        <f t="shared" si="238"/>
        <v>0000</v>
      </c>
    </row>
    <row r="3257" spans="1:6">
      <c r="C3257" t="str">
        <f t="shared" si="237"/>
        <v>4</v>
      </c>
      <c r="D3257">
        <v>27</v>
      </c>
      <c r="E3257" t="str">
        <f>"1422"</f>
        <v>1422</v>
      </c>
      <c r="F3257" t="str">
        <f t="shared" si="238"/>
        <v>0000</v>
      </c>
    </row>
    <row r="3258" spans="1:6">
      <c r="C3258" t="str">
        <f t="shared" si="237"/>
        <v>4</v>
      </c>
      <c r="D3258">
        <v>27</v>
      </c>
      <c r="E3258" t="str">
        <f>"587"</f>
        <v>587</v>
      </c>
      <c r="F3258" t="str">
        <f t="shared" si="238"/>
        <v>0000</v>
      </c>
    </row>
    <row r="3259" spans="1:6">
      <c r="C3259" t="str">
        <f t="shared" ref="C3259:C3322" si="239">"4"</f>
        <v>4</v>
      </c>
      <c r="D3259">
        <v>27</v>
      </c>
      <c r="E3259" t="str">
        <f>"589"</f>
        <v>589</v>
      </c>
      <c r="F3259" t="str">
        <f t="shared" ref="F3259:F3322" si="240">"0000"</f>
        <v>0000</v>
      </c>
    </row>
    <row r="3260" spans="1:6">
      <c r="C3260" t="str">
        <f t="shared" si="239"/>
        <v>4</v>
      </c>
      <c r="D3260">
        <v>27</v>
      </c>
      <c r="E3260" t="str">
        <f>"99999"</f>
        <v>99999</v>
      </c>
      <c r="F3260" t="str">
        <f t="shared" si="240"/>
        <v>0000</v>
      </c>
    </row>
    <row r="3261" spans="1:6">
      <c r="C3261" t="str">
        <f t="shared" si="239"/>
        <v>4</v>
      </c>
      <c r="D3261">
        <v>27</v>
      </c>
      <c r="E3261" t="str">
        <f>"975"</f>
        <v>975</v>
      </c>
      <c r="F3261" t="str">
        <f t="shared" si="240"/>
        <v>0000</v>
      </c>
    </row>
    <row r="3262" spans="1:6">
      <c r="C3262" t="str">
        <f t="shared" si="239"/>
        <v>4</v>
      </c>
      <c r="D3262">
        <v>27</v>
      </c>
      <c r="E3262" t="str">
        <f>"678"</f>
        <v>678</v>
      </c>
      <c r="F3262" t="str">
        <f t="shared" si="240"/>
        <v>0000</v>
      </c>
    </row>
    <row r="3263" spans="1:6">
      <c r="C3263" t="str">
        <f t="shared" si="239"/>
        <v>4</v>
      </c>
      <c r="D3263">
        <v>27</v>
      </c>
      <c r="E3263" t="str">
        <f>"677"</f>
        <v>677</v>
      </c>
      <c r="F3263" t="str">
        <f t="shared" si="240"/>
        <v>0000</v>
      </c>
    </row>
    <row r="3264" spans="1:6">
      <c r="C3264" t="str">
        <f t="shared" si="239"/>
        <v>4</v>
      </c>
      <c r="D3264">
        <v>27</v>
      </c>
      <c r="E3264" t="str">
        <f>"676"</f>
        <v>676</v>
      </c>
      <c r="F3264" t="str">
        <f t="shared" si="240"/>
        <v>0000</v>
      </c>
    </row>
    <row r="3265" spans="1:6">
      <c r="C3265" t="str">
        <f t="shared" si="239"/>
        <v>4</v>
      </c>
      <c r="D3265">
        <v>27</v>
      </c>
      <c r="E3265" t="str">
        <f>"588"</f>
        <v>588</v>
      </c>
      <c r="F3265" t="str">
        <f t="shared" si="240"/>
        <v>0000</v>
      </c>
    </row>
    <row r="3266" spans="1:6">
      <c r="C3266" t="str">
        <f t="shared" si="239"/>
        <v>4</v>
      </c>
      <c r="D3266">
        <v>27</v>
      </c>
      <c r="E3266" t="str">
        <f>"1855"</f>
        <v>1855</v>
      </c>
      <c r="F3266" t="str">
        <f t="shared" si="240"/>
        <v>0000</v>
      </c>
    </row>
    <row r="3267" spans="1:6">
      <c r="C3267" t="str">
        <f t="shared" si="239"/>
        <v>4</v>
      </c>
      <c r="D3267">
        <v>27</v>
      </c>
      <c r="E3267" t="str">
        <f>"1421"</f>
        <v>1421</v>
      </c>
      <c r="F3267" t="str">
        <f t="shared" si="240"/>
        <v>0000</v>
      </c>
    </row>
    <row r="3268" spans="1:6">
      <c r="A3268" t="str">
        <f>"E1235-479"</f>
        <v>E1235-479</v>
      </c>
      <c r="B3268" t="str">
        <f>"VIA FELICE MARITANO  90-"</f>
        <v>VIA FELICE MARITANO  90-</v>
      </c>
      <c r="C3268" t="str">
        <f t="shared" si="239"/>
        <v>4</v>
      </c>
      <c r="D3268">
        <v>27</v>
      </c>
      <c r="E3268" t="str">
        <f>"124"</f>
        <v>124</v>
      </c>
      <c r="F3268" t="str">
        <f t="shared" si="240"/>
        <v>0000</v>
      </c>
    </row>
    <row r="3269" spans="1:6">
      <c r="C3269" t="str">
        <f t="shared" si="239"/>
        <v>4</v>
      </c>
      <c r="D3269">
        <v>27</v>
      </c>
      <c r="E3269" t="str">
        <f>"1421"</f>
        <v>1421</v>
      </c>
      <c r="F3269" t="str">
        <f t="shared" si="240"/>
        <v>0000</v>
      </c>
    </row>
    <row r="3270" spans="1:6">
      <c r="C3270" t="str">
        <f t="shared" si="239"/>
        <v>4</v>
      </c>
      <c r="D3270">
        <v>27</v>
      </c>
      <c r="E3270" t="str">
        <f>"1422"</f>
        <v>1422</v>
      </c>
      <c r="F3270" t="str">
        <f t="shared" si="240"/>
        <v>0000</v>
      </c>
    </row>
    <row r="3271" spans="1:6">
      <c r="C3271" t="str">
        <f t="shared" si="239"/>
        <v>4</v>
      </c>
      <c r="D3271">
        <v>27</v>
      </c>
      <c r="E3271" t="str">
        <f>"1241"</f>
        <v>1241</v>
      </c>
      <c r="F3271" t="str">
        <f t="shared" si="240"/>
        <v>0000</v>
      </c>
    </row>
    <row r="3272" spans="1:6">
      <c r="C3272" t="str">
        <f t="shared" si="239"/>
        <v>4</v>
      </c>
      <c r="D3272">
        <v>27</v>
      </c>
      <c r="E3272" t="str">
        <f>"1855"</f>
        <v>1855</v>
      </c>
      <c r="F3272" t="str">
        <f t="shared" si="240"/>
        <v>0000</v>
      </c>
    </row>
    <row r="3273" spans="1:6">
      <c r="C3273" t="str">
        <f t="shared" si="239"/>
        <v>4</v>
      </c>
      <c r="D3273">
        <v>27</v>
      </c>
      <c r="E3273" t="str">
        <f>"588"</f>
        <v>588</v>
      </c>
      <c r="F3273" t="str">
        <f t="shared" si="240"/>
        <v>0000</v>
      </c>
    </row>
    <row r="3274" spans="1:6">
      <c r="C3274" t="str">
        <f t="shared" si="239"/>
        <v>4</v>
      </c>
      <c r="D3274">
        <v>27</v>
      </c>
      <c r="E3274" t="str">
        <f>"676"</f>
        <v>676</v>
      </c>
      <c r="F3274" t="str">
        <f t="shared" si="240"/>
        <v>0000</v>
      </c>
    </row>
    <row r="3275" spans="1:6">
      <c r="C3275" t="str">
        <f t="shared" si="239"/>
        <v>4</v>
      </c>
      <c r="D3275">
        <v>27</v>
      </c>
      <c r="E3275" t="str">
        <f>"678"</f>
        <v>678</v>
      </c>
      <c r="F3275" t="str">
        <f t="shared" si="240"/>
        <v>0000</v>
      </c>
    </row>
    <row r="3276" spans="1:6">
      <c r="C3276" t="str">
        <f t="shared" si="239"/>
        <v>4</v>
      </c>
      <c r="D3276">
        <v>27</v>
      </c>
      <c r="E3276" t="str">
        <f>"99999"</f>
        <v>99999</v>
      </c>
      <c r="F3276" t="str">
        <f t="shared" si="240"/>
        <v>0000</v>
      </c>
    </row>
    <row r="3277" spans="1:6">
      <c r="C3277" t="str">
        <f t="shared" si="239"/>
        <v>4</v>
      </c>
      <c r="D3277">
        <v>27</v>
      </c>
      <c r="E3277" t="str">
        <f>"975"</f>
        <v>975</v>
      </c>
      <c r="F3277" t="str">
        <f t="shared" si="240"/>
        <v>0000</v>
      </c>
    </row>
    <row r="3278" spans="1:6">
      <c r="C3278" t="str">
        <f t="shared" si="239"/>
        <v>4</v>
      </c>
      <c r="D3278">
        <v>27</v>
      </c>
      <c r="E3278" t="str">
        <f>"677"</f>
        <v>677</v>
      </c>
      <c r="F3278" t="str">
        <f t="shared" si="240"/>
        <v>0000</v>
      </c>
    </row>
    <row r="3279" spans="1:6">
      <c r="C3279" t="str">
        <f t="shared" si="239"/>
        <v>4</v>
      </c>
      <c r="D3279">
        <v>27</v>
      </c>
      <c r="E3279" t="str">
        <f>"589"</f>
        <v>589</v>
      </c>
      <c r="F3279" t="str">
        <f t="shared" si="240"/>
        <v>0000</v>
      </c>
    </row>
    <row r="3280" spans="1:6">
      <c r="C3280" t="str">
        <f t="shared" si="239"/>
        <v>4</v>
      </c>
      <c r="D3280">
        <v>27</v>
      </c>
      <c r="E3280" t="str">
        <f>"587"</f>
        <v>587</v>
      </c>
      <c r="F3280" t="str">
        <f t="shared" si="240"/>
        <v>0000</v>
      </c>
    </row>
    <row r="3281" spans="1:6">
      <c r="A3281" t="str">
        <f>"E1235-480"</f>
        <v>E1235-480</v>
      </c>
      <c r="B3281" t="str">
        <f>"VIA FELICE MARITANO  90-"</f>
        <v>VIA FELICE MARITANO  90-</v>
      </c>
      <c r="C3281" t="str">
        <f t="shared" si="239"/>
        <v>4</v>
      </c>
      <c r="D3281">
        <v>27</v>
      </c>
      <c r="E3281" t="str">
        <f>"124"</f>
        <v>124</v>
      </c>
      <c r="F3281" t="str">
        <f t="shared" si="240"/>
        <v>0000</v>
      </c>
    </row>
    <row r="3282" spans="1:6">
      <c r="C3282" t="str">
        <f t="shared" si="239"/>
        <v>4</v>
      </c>
      <c r="D3282">
        <v>27</v>
      </c>
      <c r="E3282" t="str">
        <f>"1422"</f>
        <v>1422</v>
      </c>
      <c r="F3282" t="str">
        <f t="shared" si="240"/>
        <v>0000</v>
      </c>
    </row>
    <row r="3283" spans="1:6">
      <c r="C3283" t="str">
        <f t="shared" si="239"/>
        <v>4</v>
      </c>
      <c r="D3283">
        <v>27</v>
      </c>
      <c r="E3283" t="str">
        <f>"587"</f>
        <v>587</v>
      </c>
      <c r="F3283" t="str">
        <f t="shared" si="240"/>
        <v>0000</v>
      </c>
    </row>
    <row r="3284" spans="1:6">
      <c r="C3284" t="str">
        <f t="shared" si="239"/>
        <v>4</v>
      </c>
      <c r="D3284">
        <v>27</v>
      </c>
      <c r="E3284" t="str">
        <f>"99999"</f>
        <v>99999</v>
      </c>
      <c r="F3284" t="str">
        <f t="shared" si="240"/>
        <v>0000</v>
      </c>
    </row>
    <row r="3285" spans="1:6">
      <c r="C3285" t="str">
        <f t="shared" si="239"/>
        <v>4</v>
      </c>
      <c r="D3285">
        <v>27</v>
      </c>
      <c r="E3285" t="str">
        <f>"975"</f>
        <v>975</v>
      </c>
      <c r="F3285" t="str">
        <f t="shared" si="240"/>
        <v>0000</v>
      </c>
    </row>
    <row r="3286" spans="1:6">
      <c r="C3286" t="str">
        <f t="shared" si="239"/>
        <v>4</v>
      </c>
      <c r="D3286">
        <v>27</v>
      </c>
      <c r="E3286" t="str">
        <f>"678"</f>
        <v>678</v>
      </c>
      <c r="F3286" t="str">
        <f t="shared" si="240"/>
        <v>0000</v>
      </c>
    </row>
    <row r="3287" spans="1:6">
      <c r="C3287" t="str">
        <f t="shared" si="239"/>
        <v>4</v>
      </c>
      <c r="D3287">
        <v>27</v>
      </c>
      <c r="E3287" t="str">
        <f>"677"</f>
        <v>677</v>
      </c>
      <c r="F3287" t="str">
        <f t="shared" si="240"/>
        <v>0000</v>
      </c>
    </row>
    <row r="3288" spans="1:6">
      <c r="C3288" t="str">
        <f t="shared" si="239"/>
        <v>4</v>
      </c>
      <c r="D3288">
        <v>27</v>
      </c>
      <c r="E3288" t="str">
        <f>"676"</f>
        <v>676</v>
      </c>
      <c r="F3288" t="str">
        <f t="shared" si="240"/>
        <v>0000</v>
      </c>
    </row>
    <row r="3289" spans="1:6">
      <c r="C3289" t="str">
        <f t="shared" si="239"/>
        <v>4</v>
      </c>
      <c r="D3289">
        <v>27</v>
      </c>
      <c r="E3289" t="str">
        <f>"589"</f>
        <v>589</v>
      </c>
      <c r="F3289" t="str">
        <f t="shared" si="240"/>
        <v>0000</v>
      </c>
    </row>
    <row r="3290" spans="1:6">
      <c r="C3290" t="str">
        <f t="shared" si="239"/>
        <v>4</v>
      </c>
      <c r="D3290">
        <v>27</v>
      </c>
      <c r="E3290" t="str">
        <f>"588"</f>
        <v>588</v>
      </c>
      <c r="F3290" t="str">
        <f t="shared" si="240"/>
        <v>0000</v>
      </c>
    </row>
    <row r="3291" spans="1:6">
      <c r="C3291" t="str">
        <f t="shared" si="239"/>
        <v>4</v>
      </c>
      <c r="D3291">
        <v>27</v>
      </c>
      <c r="E3291" t="str">
        <f>"1855"</f>
        <v>1855</v>
      </c>
      <c r="F3291" t="str">
        <f t="shared" si="240"/>
        <v>0000</v>
      </c>
    </row>
    <row r="3292" spans="1:6">
      <c r="C3292" t="str">
        <f t="shared" si="239"/>
        <v>4</v>
      </c>
      <c r="D3292">
        <v>27</v>
      </c>
      <c r="E3292" t="str">
        <f>"1421"</f>
        <v>1421</v>
      </c>
      <c r="F3292" t="str">
        <f t="shared" si="240"/>
        <v>0000</v>
      </c>
    </row>
    <row r="3293" spans="1:6">
      <c r="C3293" t="str">
        <f t="shared" si="239"/>
        <v>4</v>
      </c>
      <c r="D3293">
        <v>27</v>
      </c>
      <c r="E3293" t="str">
        <f>"1241"</f>
        <v>1241</v>
      </c>
      <c r="F3293" t="str">
        <f t="shared" si="240"/>
        <v>0000</v>
      </c>
    </row>
    <row r="3294" spans="1:6">
      <c r="A3294" t="str">
        <f>"E1235-481"</f>
        <v>E1235-481</v>
      </c>
      <c r="B3294" t="str">
        <f>"VIA FELICE MARITANO  90-"</f>
        <v>VIA FELICE MARITANO  90-</v>
      </c>
      <c r="C3294" t="str">
        <f t="shared" si="239"/>
        <v>4</v>
      </c>
      <c r="D3294">
        <v>27</v>
      </c>
      <c r="E3294" t="str">
        <f>"124"</f>
        <v>124</v>
      </c>
      <c r="F3294" t="str">
        <f t="shared" si="240"/>
        <v>0000</v>
      </c>
    </row>
    <row r="3295" spans="1:6">
      <c r="C3295" t="str">
        <f t="shared" si="239"/>
        <v>4</v>
      </c>
      <c r="D3295">
        <v>27</v>
      </c>
      <c r="E3295" t="str">
        <f>"1241"</f>
        <v>1241</v>
      </c>
      <c r="F3295" t="str">
        <f t="shared" si="240"/>
        <v>0000</v>
      </c>
    </row>
    <row r="3296" spans="1:6">
      <c r="C3296" t="str">
        <f t="shared" si="239"/>
        <v>4</v>
      </c>
      <c r="D3296">
        <v>27</v>
      </c>
      <c r="E3296" t="str">
        <f>"1421"</f>
        <v>1421</v>
      </c>
      <c r="F3296" t="str">
        <f t="shared" si="240"/>
        <v>0000</v>
      </c>
    </row>
    <row r="3297" spans="1:6">
      <c r="C3297" t="str">
        <f t="shared" si="239"/>
        <v>4</v>
      </c>
      <c r="D3297">
        <v>27</v>
      </c>
      <c r="E3297" t="str">
        <f>"1855"</f>
        <v>1855</v>
      </c>
      <c r="F3297" t="str">
        <f t="shared" si="240"/>
        <v>0000</v>
      </c>
    </row>
    <row r="3298" spans="1:6">
      <c r="C3298" t="str">
        <f t="shared" si="239"/>
        <v>4</v>
      </c>
      <c r="D3298">
        <v>27</v>
      </c>
      <c r="E3298" t="str">
        <f>"588"</f>
        <v>588</v>
      </c>
      <c r="F3298" t="str">
        <f t="shared" si="240"/>
        <v>0000</v>
      </c>
    </row>
    <row r="3299" spans="1:6">
      <c r="C3299" t="str">
        <f t="shared" si="239"/>
        <v>4</v>
      </c>
      <c r="D3299">
        <v>27</v>
      </c>
      <c r="E3299" t="str">
        <f>"676"</f>
        <v>676</v>
      </c>
      <c r="F3299" t="str">
        <f t="shared" si="240"/>
        <v>0000</v>
      </c>
    </row>
    <row r="3300" spans="1:6">
      <c r="C3300" t="str">
        <f t="shared" si="239"/>
        <v>4</v>
      </c>
      <c r="D3300">
        <v>27</v>
      </c>
      <c r="E3300" t="str">
        <f>"99999"</f>
        <v>99999</v>
      </c>
      <c r="F3300" t="str">
        <f t="shared" si="240"/>
        <v>0000</v>
      </c>
    </row>
    <row r="3301" spans="1:6">
      <c r="C3301" t="str">
        <f t="shared" si="239"/>
        <v>4</v>
      </c>
      <c r="D3301">
        <v>27</v>
      </c>
      <c r="E3301" t="str">
        <f>"975"</f>
        <v>975</v>
      </c>
      <c r="F3301" t="str">
        <f t="shared" si="240"/>
        <v>0000</v>
      </c>
    </row>
    <row r="3302" spans="1:6">
      <c r="C3302" t="str">
        <f t="shared" si="239"/>
        <v>4</v>
      </c>
      <c r="D3302">
        <v>27</v>
      </c>
      <c r="E3302" t="str">
        <f>"678"</f>
        <v>678</v>
      </c>
      <c r="F3302" t="str">
        <f t="shared" si="240"/>
        <v>0000</v>
      </c>
    </row>
    <row r="3303" spans="1:6">
      <c r="C3303" t="str">
        <f t="shared" si="239"/>
        <v>4</v>
      </c>
      <c r="D3303">
        <v>27</v>
      </c>
      <c r="E3303" t="str">
        <f>"677"</f>
        <v>677</v>
      </c>
      <c r="F3303" t="str">
        <f t="shared" si="240"/>
        <v>0000</v>
      </c>
    </row>
    <row r="3304" spans="1:6">
      <c r="C3304" t="str">
        <f t="shared" si="239"/>
        <v>4</v>
      </c>
      <c r="D3304">
        <v>27</v>
      </c>
      <c r="E3304" t="str">
        <f>"589"</f>
        <v>589</v>
      </c>
      <c r="F3304" t="str">
        <f t="shared" si="240"/>
        <v>0000</v>
      </c>
    </row>
    <row r="3305" spans="1:6">
      <c r="C3305" t="str">
        <f t="shared" si="239"/>
        <v>4</v>
      </c>
      <c r="D3305">
        <v>27</v>
      </c>
      <c r="E3305" t="str">
        <f>"587"</f>
        <v>587</v>
      </c>
      <c r="F3305" t="str">
        <f t="shared" si="240"/>
        <v>0000</v>
      </c>
    </row>
    <row r="3306" spans="1:6">
      <c r="C3306" t="str">
        <f t="shared" si="239"/>
        <v>4</v>
      </c>
      <c r="D3306">
        <v>27</v>
      </c>
      <c r="E3306" t="str">
        <f>"1422"</f>
        <v>1422</v>
      </c>
      <c r="F3306" t="str">
        <f t="shared" si="240"/>
        <v>0000</v>
      </c>
    </row>
    <row r="3307" spans="1:6">
      <c r="A3307" t="str">
        <f>"E1235-482"</f>
        <v>E1235-482</v>
      </c>
      <c r="B3307" t="str">
        <f>"VIA FELICE MARITANO  90-"</f>
        <v>VIA FELICE MARITANO  90-</v>
      </c>
      <c r="C3307" t="str">
        <f t="shared" si="239"/>
        <v>4</v>
      </c>
      <c r="D3307">
        <v>27</v>
      </c>
      <c r="E3307" t="str">
        <f>"124"</f>
        <v>124</v>
      </c>
      <c r="F3307" t="str">
        <f t="shared" si="240"/>
        <v>0000</v>
      </c>
    </row>
    <row r="3308" spans="1:6">
      <c r="C3308" t="str">
        <f t="shared" si="239"/>
        <v>4</v>
      </c>
      <c r="D3308">
        <v>27</v>
      </c>
      <c r="E3308" t="str">
        <f>"99999"</f>
        <v>99999</v>
      </c>
      <c r="F3308" t="str">
        <f t="shared" si="240"/>
        <v>0000</v>
      </c>
    </row>
    <row r="3309" spans="1:6">
      <c r="C3309" t="str">
        <f t="shared" si="239"/>
        <v>4</v>
      </c>
      <c r="D3309">
        <v>27</v>
      </c>
      <c r="E3309" t="str">
        <f>"975"</f>
        <v>975</v>
      </c>
      <c r="F3309" t="str">
        <f t="shared" si="240"/>
        <v>0000</v>
      </c>
    </row>
    <row r="3310" spans="1:6">
      <c r="C3310" t="str">
        <f t="shared" si="239"/>
        <v>4</v>
      </c>
      <c r="D3310">
        <v>27</v>
      </c>
      <c r="E3310" t="str">
        <f>"678"</f>
        <v>678</v>
      </c>
      <c r="F3310" t="str">
        <f t="shared" si="240"/>
        <v>0000</v>
      </c>
    </row>
    <row r="3311" spans="1:6">
      <c r="C3311" t="str">
        <f t="shared" si="239"/>
        <v>4</v>
      </c>
      <c r="D3311">
        <v>27</v>
      </c>
      <c r="E3311" t="str">
        <f>"677"</f>
        <v>677</v>
      </c>
      <c r="F3311" t="str">
        <f t="shared" si="240"/>
        <v>0000</v>
      </c>
    </row>
    <row r="3312" spans="1:6">
      <c r="C3312" t="str">
        <f t="shared" si="239"/>
        <v>4</v>
      </c>
      <c r="D3312">
        <v>27</v>
      </c>
      <c r="E3312" t="str">
        <f>"676"</f>
        <v>676</v>
      </c>
      <c r="F3312" t="str">
        <f t="shared" si="240"/>
        <v>0000</v>
      </c>
    </row>
    <row r="3313" spans="1:6">
      <c r="C3313" t="str">
        <f t="shared" si="239"/>
        <v>4</v>
      </c>
      <c r="D3313">
        <v>27</v>
      </c>
      <c r="E3313" t="str">
        <f>"589"</f>
        <v>589</v>
      </c>
      <c r="F3313" t="str">
        <f t="shared" si="240"/>
        <v>0000</v>
      </c>
    </row>
    <row r="3314" spans="1:6">
      <c r="C3314" t="str">
        <f t="shared" si="239"/>
        <v>4</v>
      </c>
      <c r="D3314">
        <v>27</v>
      </c>
      <c r="E3314" t="str">
        <f>"588"</f>
        <v>588</v>
      </c>
      <c r="F3314" t="str">
        <f t="shared" si="240"/>
        <v>0000</v>
      </c>
    </row>
    <row r="3315" spans="1:6">
      <c r="C3315" t="str">
        <f t="shared" si="239"/>
        <v>4</v>
      </c>
      <c r="D3315">
        <v>27</v>
      </c>
      <c r="E3315" t="str">
        <f>"587"</f>
        <v>587</v>
      </c>
      <c r="F3315" t="str">
        <f t="shared" si="240"/>
        <v>0000</v>
      </c>
    </row>
    <row r="3316" spans="1:6">
      <c r="C3316" t="str">
        <f t="shared" si="239"/>
        <v>4</v>
      </c>
      <c r="D3316">
        <v>27</v>
      </c>
      <c r="E3316" t="str">
        <f>"1855"</f>
        <v>1855</v>
      </c>
      <c r="F3316" t="str">
        <f t="shared" si="240"/>
        <v>0000</v>
      </c>
    </row>
    <row r="3317" spans="1:6">
      <c r="C3317" t="str">
        <f t="shared" si="239"/>
        <v>4</v>
      </c>
      <c r="D3317">
        <v>27</v>
      </c>
      <c r="E3317" t="str">
        <f>"1241"</f>
        <v>1241</v>
      </c>
      <c r="F3317" t="str">
        <f t="shared" si="240"/>
        <v>0000</v>
      </c>
    </row>
    <row r="3318" spans="1:6">
      <c r="C3318" t="str">
        <f t="shared" si="239"/>
        <v>4</v>
      </c>
      <c r="D3318">
        <v>27</v>
      </c>
      <c r="E3318" t="str">
        <f>"1422"</f>
        <v>1422</v>
      </c>
      <c r="F3318" t="str">
        <f t="shared" si="240"/>
        <v>0000</v>
      </c>
    </row>
    <row r="3319" spans="1:6">
      <c r="C3319" t="str">
        <f t="shared" si="239"/>
        <v>4</v>
      </c>
      <c r="D3319">
        <v>27</v>
      </c>
      <c r="E3319" t="str">
        <f>"1421"</f>
        <v>1421</v>
      </c>
      <c r="F3319" t="str">
        <f t="shared" si="240"/>
        <v>0000</v>
      </c>
    </row>
    <row r="3320" spans="1:6">
      <c r="A3320" t="str">
        <f>"E1235-483"</f>
        <v>E1235-483</v>
      </c>
      <c r="B3320" t="str">
        <f>"VIA FELICE MARITANO  90-"</f>
        <v>VIA FELICE MARITANO  90-</v>
      </c>
      <c r="C3320" t="str">
        <f t="shared" si="239"/>
        <v>4</v>
      </c>
      <c r="D3320">
        <v>27</v>
      </c>
      <c r="E3320" t="str">
        <f>"124"</f>
        <v>124</v>
      </c>
      <c r="F3320" t="str">
        <f t="shared" si="240"/>
        <v>0000</v>
      </c>
    </row>
    <row r="3321" spans="1:6">
      <c r="C3321" t="str">
        <f t="shared" si="239"/>
        <v>4</v>
      </c>
      <c r="D3321">
        <v>27</v>
      </c>
      <c r="E3321" t="str">
        <f>"1241"</f>
        <v>1241</v>
      </c>
      <c r="F3321" t="str">
        <f t="shared" si="240"/>
        <v>0000</v>
      </c>
    </row>
    <row r="3322" spans="1:6">
      <c r="C3322" t="str">
        <f t="shared" si="239"/>
        <v>4</v>
      </c>
      <c r="D3322">
        <v>27</v>
      </c>
      <c r="E3322" t="str">
        <f>"1422"</f>
        <v>1422</v>
      </c>
      <c r="F3322" t="str">
        <f t="shared" si="240"/>
        <v>0000</v>
      </c>
    </row>
    <row r="3323" spans="1:6">
      <c r="C3323" t="str">
        <f t="shared" ref="C3323:C3386" si="241">"4"</f>
        <v>4</v>
      </c>
      <c r="D3323">
        <v>27</v>
      </c>
      <c r="E3323" t="str">
        <f>"587"</f>
        <v>587</v>
      </c>
      <c r="F3323" t="str">
        <f t="shared" ref="F3323:F3386" si="242">"0000"</f>
        <v>0000</v>
      </c>
    </row>
    <row r="3324" spans="1:6">
      <c r="C3324" t="str">
        <f t="shared" si="241"/>
        <v>4</v>
      </c>
      <c r="D3324">
        <v>27</v>
      </c>
      <c r="E3324" t="str">
        <f>"589"</f>
        <v>589</v>
      </c>
      <c r="F3324" t="str">
        <f t="shared" si="242"/>
        <v>0000</v>
      </c>
    </row>
    <row r="3325" spans="1:6">
      <c r="C3325" t="str">
        <f t="shared" si="241"/>
        <v>4</v>
      </c>
      <c r="D3325">
        <v>27</v>
      </c>
      <c r="E3325" t="str">
        <f>"99999"</f>
        <v>99999</v>
      </c>
      <c r="F3325" t="str">
        <f t="shared" si="242"/>
        <v>0000</v>
      </c>
    </row>
    <row r="3326" spans="1:6">
      <c r="C3326" t="str">
        <f t="shared" si="241"/>
        <v>4</v>
      </c>
      <c r="D3326">
        <v>27</v>
      </c>
      <c r="E3326" t="str">
        <f>"975"</f>
        <v>975</v>
      </c>
      <c r="F3326" t="str">
        <f t="shared" si="242"/>
        <v>0000</v>
      </c>
    </row>
    <row r="3327" spans="1:6">
      <c r="C3327" t="str">
        <f t="shared" si="241"/>
        <v>4</v>
      </c>
      <c r="D3327">
        <v>27</v>
      </c>
      <c r="E3327" t="str">
        <f>"678"</f>
        <v>678</v>
      </c>
      <c r="F3327" t="str">
        <f t="shared" si="242"/>
        <v>0000</v>
      </c>
    </row>
    <row r="3328" spans="1:6">
      <c r="C3328" t="str">
        <f t="shared" si="241"/>
        <v>4</v>
      </c>
      <c r="D3328">
        <v>27</v>
      </c>
      <c r="E3328" t="str">
        <f>"677"</f>
        <v>677</v>
      </c>
      <c r="F3328" t="str">
        <f t="shared" si="242"/>
        <v>0000</v>
      </c>
    </row>
    <row r="3329" spans="1:6">
      <c r="C3329" t="str">
        <f t="shared" si="241"/>
        <v>4</v>
      </c>
      <c r="D3329">
        <v>27</v>
      </c>
      <c r="E3329" t="str">
        <f>"676"</f>
        <v>676</v>
      </c>
      <c r="F3329" t="str">
        <f t="shared" si="242"/>
        <v>0000</v>
      </c>
    </row>
    <row r="3330" spans="1:6">
      <c r="C3330" t="str">
        <f t="shared" si="241"/>
        <v>4</v>
      </c>
      <c r="D3330">
        <v>27</v>
      </c>
      <c r="E3330" t="str">
        <f>"588"</f>
        <v>588</v>
      </c>
      <c r="F3330" t="str">
        <f t="shared" si="242"/>
        <v>0000</v>
      </c>
    </row>
    <row r="3331" spans="1:6">
      <c r="C3331" t="str">
        <f t="shared" si="241"/>
        <v>4</v>
      </c>
      <c r="D3331">
        <v>27</v>
      </c>
      <c r="E3331" t="str">
        <f>"1855"</f>
        <v>1855</v>
      </c>
      <c r="F3331" t="str">
        <f t="shared" si="242"/>
        <v>0000</v>
      </c>
    </row>
    <row r="3332" spans="1:6">
      <c r="C3332" t="str">
        <f t="shared" si="241"/>
        <v>4</v>
      </c>
      <c r="D3332">
        <v>27</v>
      </c>
      <c r="E3332" t="str">
        <f>"1421"</f>
        <v>1421</v>
      </c>
      <c r="F3332" t="str">
        <f t="shared" si="242"/>
        <v>0000</v>
      </c>
    </row>
    <row r="3333" spans="1:6">
      <c r="A3333" t="str">
        <f>"E1235-484"</f>
        <v>E1235-484</v>
      </c>
      <c r="B3333" t="str">
        <f>"VIA FELICE MARITANO  90-"</f>
        <v>VIA FELICE MARITANO  90-</v>
      </c>
      <c r="C3333" t="str">
        <f t="shared" si="241"/>
        <v>4</v>
      </c>
      <c r="D3333">
        <v>27</v>
      </c>
      <c r="E3333" t="str">
        <f>"124"</f>
        <v>124</v>
      </c>
      <c r="F3333" t="str">
        <f t="shared" si="242"/>
        <v>0000</v>
      </c>
    </row>
    <row r="3334" spans="1:6">
      <c r="C3334" t="str">
        <f t="shared" si="241"/>
        <v>4</v>
      </c>
      <c r="D3334">
        <v>27</v>
      </c>
      <c r="E3334" t="str">
        <f>"1421"</f>
        <v>1421</v>
      </c>
      <c r="F3334" t="str">
        <f t="shared" si="242"/>
        <v>0000</v>
      </c>
    </row>
    <row r="3335" spans="1:6">
      <c r="C3335" t="str">
        <f t="shared" si="241"/>
        <v>4</v>
      </c>
      <c r="D3335">
        <v>27</v>
      </c>
      <c r="E3335" t="str">
        <f>"1422"</f>
        <v>1422</v>
      </c>
      <c r="F3335" t="str">
        <f t="shared" si="242"/>
        <v>0000</v>
      </c>
    </row>
    <row r="3336" spans="1:6">
      <c r="C3336" t="str">
        <f t="shared" si="241"/>
        <v>4</v>
      </c>
      <c r="D3336">
        <v>27</v>
      </c>
      <c r="E3336" t="str">
        <f>"1241"</f>
        <v>1241</v>
      </c>
      <c r="F3336" t="str">
        <f t="shared" si="242"/>
        <v>0000</v>
      </c>
    </row>
    <row r="3337" spans="1:6">
      <c r="C3337" t="str">
        <f t="shared" si="241"/>
        <v>4</v>
      </c>
      <c r="D3337">
        <v>27</v>
      </c>
      <c r="E3337" t="str">
        <f>"1855"</f>
        <v>1855</v>
      </c>
      <c r="F3337" t="str">
        <f t="shared" si="242"/>
        <v>0000</v>
      </c>
    </row>
    <row r="3338" spans="1:6">
      <c r="C3338" t="str">
        <f t="shared" si="241"/>
        <v>4</v>
      </c>
      <c r="D3338">
        <v>27</v>
      </c>
      <c r="E3338" t="str">
        <f>"588"</f>
        <v>588</v>
      </c>
      <c r="F3338" t="str">
        <f t="shared" si="242"/>
        <v>0000</v>
      </c>
    </row>
    <row r="3339" spans="1:6">
      <c r="C3339" t="str">
        <f t="shared" si="241"/>
        <v>4</v>
      </c>
      <c r="D3339">
        <v>27</v>
      </c>
      <c r="E3339" t="str">
        <f>"676"</f>
        <v>676</v>
      </c>
      <c r="F3339" t="str">
        <f t="shared" si="242"/>
        <v>0000</v>
      </c>
    </row>
    <row r="3340" spans="1:6">
      <c r="C3340" t="str">
        <f t="shared" si="241"/>
        <v>4</v>
      </c>
      <c r="D3340">
        <v>27</v>
      </c>
      <c r="E3340" t="str">
        <f>"678"</f>
        <v>678</v>
      </c>
      <c r="F3340" t="str">
        <f t="shared" si="242"/>
        <v>0000</v>
      </c>
    </row>
    <row r="3341" spans="1:6">
      <c r="C3341" t="str">
        <f t="shared" si="241"/>
        <v>4</v>
      </c>
      <c r="D3341">
        <v>27</v>
      </c>
      <c r="E3341" t="str">
        <f>"99999"</f>
        <v>99999</v>
      </c>
      <c r="F3341" t="str">
        <f t="shared" si="242"/>
        <v>0000</v>
      </c>
    </row>
    <row r="3342" spans="1:6">
      <c r="C3342" t="str">
        <f t="shared" si="241"/>
        <v>4</v>
      </c>
      <c r="D3342">
        <v>27</v>
      </c>
      <c r="E3342" t="str">
        <f>"975"</f>
        <v>975</v>
      </c>
      <c r="F3342" t="str">
        <f t="shared" si="242"/>
        <v>0000</v>
      </c>
    </row>
    <row r="3343" spans="1:6">
      <c r="C3343" t="str">
        <f t="shared" si="241"/>
        <v>4</v>
      </c>
      <c r="D3343">
        <v>27</v>
      </c>
      <c r="E3343" t="str">
        <f>"677"</f>
        <v>677</v>
      </c>
      <c r="F3343" t="str">
        <f t="shared" si="242"/>
        <v>0000</v>
      </c>
    </row>
    <row r="3344" spans="1:6">
      <c r="C3344" t="str">
        <f t="shared" si="241"/>
        <v>4</v>
      </c>
      <c r="D3344">
        <v>27</v>
      </c>
      <c r="E3344" t="str">
        <f>"589"</f>
        <v>589</v>
      </c>
      <c r="F3344" t="str">
        <f t="shared" si="242"/>
        <v>0000</v>
      </c>
    </row>
    <row r="3345" spans="1:6">
      <c r="C3345" t="str">
        <f t="shared" si="241"/>
        <v>4</v>
      </c>
      <c r="D3345">
        <v>27</v>
      </c>
      <c r="E3345" t="str">
        <f>"587"</f>
        <v>587</v>
      </c>
      <c r="F3345" t="str">
        <f t="shared" si="242"/>
        <v>0000</v>
      </c>
    </row>
    <row r="3346" spans="1:6">
      <c r="A3346" t="str">
        <f>"E1235-485"</f>
        <v>E1235-485</v>
      </c>
      <c r="B3346" t="str">
        <f>"VIA FELICE MARITANO  90-"</f>
        <v>VIA FELICE MARITANO  90-</v>
      </c>
      <c r="C3346" t="str">
        <f t="shared" si="241"/>
        <v>4</v>
      </c>
      <c r="D3346">
        <v>27</v>
      </c>
      <c r="E3346" t="str">
        <f>"124"</f>
        <v>124</v>
      </c>
      <c r="F3346" t="str">
        <f t="shared" si="242"/>
        <v>0000</v>
      </c>
    </row>
    <row r="3347" spans="1:6">
      <c r="C3347" t="str">
        <f t="shared" si="241"/>
        <v>4</v>
      </c>
      <c r="D3347">
        <v>27</v>
      </c>
      <c r="E3347" t="str">
        <f>"1422"</f>
        <v>1422</v>
      </c>
      <c r="F3347" t="str">
        <f t="shared" si="242"/>
        <v>0000</v>
      </c>
    </row>
    <row r="3348" spans="1:6">
      <c r="C3348" t="str">
        <f t="shared" si="241"/>
        <v>4</v>
      </c>
      <c r="D3348">
        <v>27</v>
      </c>
      <c r="E3348" t="str">
        <f>"587"</f>
        <v>587</v>
      </c>
      <c r="F3348" t="str">
        <f t="shared" si="242"/>
        <v>0000</v>
      </c>
    </row>
    <row r="3349" spans="1:6">
      <c r="C3349" t="str">
        <f t="shared" si="241"/>
        <v>4</v>
      </c>
      <c r="D3349">
        <v>27</v>
      </c>
      <c r="E3349" t="str">
        <f>"99999"</f>
        <v>99999</v>
      </c>
      <c r="F3349" t="str">
        <f t="shared" si="242"/>
        <v>0000</v>
      </c>
    </row>
    <row r="3350" spans="1:6">
      <c r="C3350" t="str">
        <f t="shared" si="241"/>
        <v>4</v>
      </c>
      <c r="D3350">
        <v>27</v>
      </c>
      <c r="E3350" t="str">
        <f>"975"</f>
        <v>975</v>
      </c>
      <c r="F3350" t="str">
        <f t="shared" si="242"/>
        <v>0000</v>
      </c>
    </row>
    <row r="3351" spans="1:6">
      <c r="C3351" t="str">
        <f t="shared" si="241"/>
        <v>4</v>
      </c>
      <c r="D3351">
        <v>27</v>
      </c>
      <c r="E3351" t="str">
        <f>"678"</f>
        <v>678</v>
      </c>
      <c r="F3351" t="str">
        <f t="shared" si="242"/>
        <v>0000</v>
      </c>
    </row>
    <row r="3352" spans="1:6">
      <c r="C3352" t="str">
        <f t="shared" si="241"/>
        <v>4</v>
      </c>
      <c r="D3352">
        <v>27</v>
      </c>
      <c r="E3352" t="str">
        <f>"677"</f>
        <v>677</v>
      </c>
      <c r="F3352" t="str">
        <f t="shared" si="242"/>
        <v>0000</v>
      </c>
    </row>
    <row r="3353" spans="1:6">
      <c r="C3353" t="str">
        <f t="shared" si="241"/>
        <v>4</v>
      </c>
      <c r="D3353">
        <v>27</v>
      </c>
      <c r="E3353" t="str">
        <f>"676"</f>
        <v>676</v>
      </c>
      <c r="F3353" t="str">
        <f t="shared" si="242"/>
        <v>0000</v>
      </c>
    </row>
    <row r="3354" spans="1:6">
      <c r="C3354" t="str">
        <f t="shared" si="241"/>
        <v>4</v>
      </c>
      <c r="D3354">
        <v>27</v>
      </c>
      <c r="E3354" t="str">
        <f>"589"</f>
        <v>589</v>
      </c>
      <c r="F3354" t="str">
        <f t="shared" si="242"/>
        <v>0000</v>
      </c>
    </row>
    <row r="3355" spans="1:6">
      <c r="C3355" t="str">
        <f t="shared" si="241"/>
        <v>4</v>
      </c>
      <c r="D3355">
        <v>27</v>
      </c>
      <c r="E3355" t="str">
        <f>"588"</f>
        <v>588</v>
      </c>
      <c r="F3355" t="str">
        <f t="shared" si="242"/>
        <v>0000</v>
      </c>
    </row>
    <row r="3356" spans="1:6">
      <c r="C3356" t="str">
        <f t="shared" si="241"/>
        <v>4</v>
      </c>
      <c r="D3356">
        <v>27</v>
      </c>
      <c r="E3356" t="str">
        <f>"1855"</f>
        <v>1855</v>
      </c>
      <c r="F3356" t="str">
        <f t="shared" si="242"/>
        <v>0000</v>
      </c>
    </row>
    <row r="3357" spans="1:6">
      <c r="C3357" t="str">
        <f t="shared" si="241"/>
        <v>4</v>
      </c>
      <c r="D3357">
        <v>27</v>
      </c>
      <c r="E3357" t="str">
        <f>"1421"</f>
        <v>1421</v>
      </c>
      <c r="F3357" t="str">
        <f t="shared" si="242"/>
        <v>0000</v>
      </c>
    </row>
    <row r="3358" spans="1:6">
      <c r="C3358" t="str">
        <f t="shared" si="241"/>
        <v>4</v>
      </c>
      <c r="D3358">
        <v>27</v>
      </c>
      <c r="E3358" t="str">
        <f>"1241"</f>
        <v>1241</v>
      </c>
      <c r="F3358" t="str">
        <f t="shared" si="242"/>
        <v>0000</v>
      </c>
    </row>
    <row r="3359" spans="1:6">
      <c r="A3359" t="str">
        <f>"E1235-486"</f>
        <v>E1235-486</v>
      </c>
      <c r="B3359" t="str">
        <f>"VIA FELICE MARITANO  90-"</f>
        <v>VIA FELICE MARITANO  90-</v>
      </c>
      <c r="C3359" t="str">
        <f t="shared" si="241"/>
        <v>4</v>
      </c>
      <c r="D3359">
        <v>27</v>
      </c>
      <c r="E3359" t="str">
        <f>"124"</f>
        <v>124</v>
      </c>
      <c r="F3359" t="str">
        <f t="shared" si="242"/>
        <v>0000</v>
      </c>
    </row>
    <row r="3360" spans="1:6">
      <c r="C3360" t="str">
        <f t="shared" si="241"/>
        <v>4</v>
      </c>
      <c r="D3360">
        <v>27</v>
      </c>
      <c r="E3360" t="str">
        <f>"1241"</f>
        <v>1241</v>
      </c>
      <c r="F3360" t="str">
        <f t="shared" si="242"/>
        <v>0000</v>
      </c>
    </row>
    <row r="3361" spans="1:6">
      <c r="C3361" t="str">
        <f t="shared" si="241"/>
        <v>4</v>
      </c>
      <c r="D3361">
        <v>27</v>
      </c>
      <c r="E3361" t="str">
        <f>"1421"</f>
        <v>1421</v>
      </c>
      <c r="F3361" t="str">
        <f t="shared" si="242"/>
        <v>0000</v>
      </c>
    </row>
    <row r="3362" spans="1:6">
      <c r="C3362" t="str">
        <f t="shared" si="241"/>
        <v>4</v>
      </c>
      <c r="D3362">
        <v>27</v>
      </c>
      <c r="E3362" t="str">
        <f>"1855"</f>
        <v>1855</v>
      </c>
      <c r="F3362" t="str">
        <f t="shared" si="242"/>
        <v>0000</v>
      </c>
    </row>
    <row r="3363" spans="1:6">
      <c r="C3363" t="str">
        <f t="shared" si="241"/>
        <v>4</v>
      </c>
      <c r="D3363">
        <v>27</v>
      </c>
      <c r="E3363" t="str">
        <f>"588"</f>
        <v>588</v>
      </c>
      <c r="F3363" t="str">
        <f t="shared" si="242"/>
        <v>0000</v>
      </c>
    </row>
    <row r="3364" spans="1:6">
      <c r="C3364" t="str">
        <f t="shared" si="241"/>
        <v>4</v>
      </c>
      <c r="D3364">
        <v>27</v>
      </c>
      <c r="E3364" t="str">
        <f>"676"</f>
        <v>676</v>
      </c>
      <c r="F3364" t="str">
        <f t="shared" si="242"/>
        <v>0000</v>
      </c>
    </row>
    <row r="3365" spans="1:6">
      <c r="C3365" t="str">
        <f t="shared" si="241"/>
        <v>4</v>
      </c>
      <c r="D3365">
        <v>27</v>
      </c>
      <c r="E3365" t="str">
        <f>"99999"</f>
        <v>99999</v>
      </c>
      <c r="F3365" t="str">
        <f t="shared" si="242"/>
        <v>0000</v>
      </c>
    </row>
    <row r="3366" spans="1:6">
      <c r="C3366" t="str">
        <f t="shared" si="241"/>
        <v>4</v>
      </c>
      <c r="D3366">
        <v>27</v>
      </c>
      <c r="E3366" t="str">
        <f>"975"</f>
        <v>975</v>
      </c>
      <c r="F3366" t="str">
        <f t="shared" si="242"/>
        <v>0000</v>
      </c>
    </row>
    <row r="3367" spans="1:6">
      <c r="C3367" t="str">
        <f t="shared" si="241"/>
        <v>4</v>
      </c>
      <c r="D3367">
        <v>27</v>
      </c>
      <c r="E3367" t="str">
        <f>"678"</f>
        <v>678</v>
      </c>
      <c r="F3367" t="str">
        <f t="shared" si="242"/>
        <v>0000</v>
      </c>
    </row>
    <row r="3368" spans="1:6">
      <c r="C3368" t="str">
        <f t="shared" si="241"/>
        <v>4</v>
      </c>
      <c r="D3368">
        <v>27</v>
      </c>
      <c r="E3368" t="str">
        <f>"677"</f>
        <v>677</v>
      </c>
      <c r="F3368" t="str">
        <f t="shared" si="242"/>
        <v>0000</v>
      </c>
    </row>
    <row r="3369" spans="1:6">
      <c r="C3369" t="str">
        <f t="shared" si="241"/>
        <v>4</v>
      </c>
      <c r="D3369">
        <v>27</v>
      </c>
      <c r="E3369" t="str">
        <f>"589"</f>
        <v>589</v>
      </c>
      <c r="F3369" t="str">
        <f t="shared" si="242"/>
        <v>0000</v>
      </c>
    </row>
    <row r="3370" spans="1:6">
      <c r="C3370" t="str">
        <f t="shared" si="241"/>
        <v>4</v>
      </c>
      <c r="D3370">
        <v>27</v>
      </c>
      <c r="E3370" t="str">
        <f>"587"</f>
        <v>587</v>
      </c>
      <c r="F3370" t="str">
        <f t="shared" si="242"/>
        <v>0000</v>
      </c>
    </row>
    <row r="3371" spans="1:6">
      <c r="C3371" t="str">
        <f t="shared" si="241"/>
        <v>4</v>
      </c>
      <c r="D3371">
        <v>27</v>
      </c>
      <c r="E3371" t="str">
        <f>"1422"</f>
        <v>1422</v>
      </c>
      <c r="F3371" t="str">
        <f t="shared" si="242"/>
        <v>0000</v>
      </c>
    </row>
    <row r="3372" spans="1:6">
      <c r="A3372" t="str">
        <f>"E1235-487"</f>
        <v>E1235-487</v>
      </c>
      <c r="B3372" t="str">
        <f>"VIA FELICE MARITANO  90-"</f>
        <v>VIA FELICE MARITANO  90-</v>
      </c>
      <c r="C3372" t="str">
        <f t="shared" si="241"/>
        <v>4</v>
      </c>
      <c r="D3372">
        <v>27</v>
      </c>
      <c r="E3372" t="str">
        <f>"124"</f>
        <v>124</v>
      </c>
      <c r="F3372" t="str">
        <f t="shared" si="242"/>
        <v>0000</v>
      </c>
    </row>
    <row r="3373" spans="1:6">
      <c r="C3373" t="str">
        <f t="shared" si="241"/>
        <v>4</v>
      </c>
      <c r="D3373">
        <v>27</v>
      </c>
      <c r="E3373" t="str">
        <f>"99999"</f>
        <v>99999</v>
      </c>
      <c r="F3373" t="str">
        <f t="shared" si="242"/>
        <v>0000</v>
      </c>
    </row>
    <row r="3374" spans="1:6">
      <c r="C3374" t="str">
        <f t="shared" si="241"/>
        <v>4</v>
      </c>
      <c r="D3374">
        <v>27</v>
      </c>
      <c r="E3374" t="str">
        <f>"975"</f>
        <v>975</v>
      </c>
      <c r="F3374" t="str">
        <f t="shared" si="242"/>
        <v>0000</v>
      </c>
    </row>
    <row r="3375" spans="1:6">
      <c r="C3375" t="str">
        <f t="shared" si="241"/>
        <v>4</v>
      </c>
      <c r="D3375">
        <v>27</v>
      </c>
      <c r="E3375" t="str">
        <f>"678"</f>
        <v>678</v>
      </c>
      <c r="F3375" t="str">
        <f t="shared" si="242"/>
        <v>0000</v>
      </c>
    </row>
    <row r="3376" spans="1:6">
      <c r="C3376" t="str">
        <f t="shared" si="241"/>
        <v>4</v>
      </c>
      <c r="D3376">
        <v>27</v>
      </c>
      <c r="E3376" t="str">
        <f>"677"</f>
        <v>677</v>
      </c>
      <c r="F3376" t="str">
        <f t="shared" si="242"/>
        <v>0000</v>
      </c>
    </row>
    <row r="3377" spans="1:6">
      <c r="C3377" t="str">
        <f t="shared" si="241"/>
        <v>4</v>
      </c>
      <c r="D3377">
        <v>27</v>
      </c>
      <c r="E3377" t="str">
        <f>"676"</f>
        <v>676</v>
      </c>
      <c r="F3377" t="str">
        <f t="shared" si="242"/>
        <v>0000</v>
      </c>
    </row>
    <row r="3378" spans="1:6">
      <c r="C3378" t="str">
        <f t="shared" si="241"/>
        <v>4</v>
      </c>
      <c r="D3378">
        <v>27</v>
      </c>
      <c r="E3378" t="str">
        <f>"589"</f>
        <v>589</v>
      </c>
      <c r="F3378" t="str">
        <f t="shared" si="242"/>
        <v>0000</v>
      </c>
    </row>
    <row r="3379" spans="1:6">
      <c r="C3379" t="str">
        <f t="shared" si="241"/>
        <v>4</v>
      </c>
      <c r="D3379">
        <v>27</v>
      </c>
      <c r="E3379" t="str">
        <f>"588"</f>
        <v>588</v>
      </c>
      <c r="F3379" t="str">
        <f t="shared" si="242"/>
        <v>0000</v>
      </c>
    </row>
    <row r="3380" spans="1:6">
      <c r="C3380" t="str">
        <f t="shared" si="241"/>
        <v>4</v>
      </c>
      <c r="D3380">
        <v>27</v>
      </c>
      <c r="E3380" t="str">
        <f>"587"</f>
        <v>587</v>
      </c>
      <c r="F3380" t="str">
        <f t="shared" si="242"/>
        <v>0000</v>
      </c>
    </row>
    <row r="3381" spans="1:6">
      <c r="C3381" t="str">
        <f t="shared" si="241"/>
        <v>4</v>
      </c>
      <c r="D3381">
        <v>27</v>
      </c>
      <c r="E3381" t="str">
        <f>"1855"</f>
        <v>1855</v>
      </c>
      <c r="F3381" t="str">
        <f t="shared" si="242"/>
        <v>0000</v>
      </c>
    </row>
    <row r="3382" spans="1:6">
      <c r="C3382" t="str">
        <f t="shared" si="241"/>
        <v>4</v>
      </c>
      <c r="D3382">
        <v>27</v>
      </c>
      <c r="E3382" t="str">
        <f>"1241"</f>
        <v>1241</v>
      </c>
      <c r="F3382" t="str">
        <f t="shared" si="242"/>
        <v>0000</v>
      </c>
    </row>
    <row r="3383" spans="1:6">
      <c r="C3383" t="str">
        <f t="shared" si="241"/>
        <v>4</v>
      </c>
      <c r="D3383">
        <v>27</v>
      </c>
      <c r="E3383" t="str">
        <f>"1422"</f>
        <v>1422</v>
      </c>
      <c r="F3383" t="str">
        <f t="shared" si="242"/>
        <v>0000</v>
      </c>
    </row>
    <row r="3384" spans="1:6">
      <c r="C3384" t="str">
        <f t="shared" si="241"/>
        <v>4</v>
      </c>
      <c r="D3384">
        <v>27</v>
      </c>
      <c r="E3384" t="str">
        <f>"1421"</f>
        <v>1421</v>
      </c>
      <c r="F3384" t="str">
        <f t="shared" si="242"/>
        <v>0000</v>
      </c>
    </row>
    <row r="3385" spans="1:6">
      <c r="A3385" t="str">
        <f>"E1235-488"</f>
        <v>E1235-488</v>
      </c>
      <c r="B3385" t="str">
        <f>"VIA FELICE MARITANO  90-"</f>
        <v>VIA FELICE MARITANO  90-</v>
      </c>
      <c r="C3385" t="str">
        <f t="shared" si="241"/>
        <v>4</v>
      </c>
      <c r="D3385">
        <v>27</v>
      </c>
      <c r="E3385" t="str">
        <f>"124"</f>
        <v>124</v>
      </c>
      <c r="F3385" t="str">
        <f t="shared" si="242"/>
        <v>0000</v>
      </c>
    </row>
    <row r="3386" spans="1:6">
      <c r="C3386" t="str">
        <f t="shared" si="241"/>
        <v>4</v>
      </c>
      <c r="D3386">
        <v>27</v>
      </c>
      <c r="E3386" t="str">
        <f>"1241"</f>
        <v>1241</v>
      </c>
      <c r="F3386" t="str">
        <f t="shared" si="242"/>
        <v>0000</v>
      </c>
    </row>
    <row r="3387" spans="1:6">
      <c r="C3387" t="str">
        <f t="shared" ref="C3387:C3450" si="243">"4"</f>
        <v>4</v>
      </c>
      <c r="D3387">
        <v>27</v>
      </c>
      <c r="E3387" t="str">
        <f>"1422"</f>
        <v>1422</v>
      </c>
      <c r="F3387" t="str">
        <f t="shared" ref="F3387:F3450" si="244">"0000"</f>
        <v>0000</v>
      </c>
    </row>
    <row r="3388" spans="1:6">
      <c r="C3388" t="str">
        <f t="shared" si="243"/>
        <v>4</v>
      </c>
      <c r="D3388">
        <v>27</v>
      </c>
      <c r="E3388" t="str">
        <f>"587"</f>
        <v>587</v>
      </c>
      <c r="F3388" t="str">
        <f t="shared" si="244"/>
        <v>0000</v>
      </c>
    </row>
    <row r="3389" spans="1:6">
      <c r="C3389" t="str">
        <f t="shared" si="243"/>
        <v>4</v>
      </c>
      <c r="D3389">
        <v>27</v>
      </c>
      <c r="E3389" t="str">
        <f>"589"</f>
        <v>589</v>
      </c>
      <c r="F3389" t="str">
        <f t="shared" si="244"/>
        <v>0000</v>
      </c>
    </row>
    <row r="3390" spans="1:6">
      <c r="C3390" t="str">
        <f t="shared" si="243"/>
        <v>4</v>
      </c>
      <c r="D3390">
        <v>27</v>
      </c>
      <c r="E3390" t="str">
        <f>"99999"</f>
        <v>99999</v>
      </c>
      <c r="F3390" t="str">
        <f t="shared" si="244"/>
        <v>0000</v>
      </c>
    </row>
    <row r="3391" spans="1:6">
      <c r="C3391" t="str">
        <f t="shared" si="243"/>
        <v>4</v>
      </c>
      <c r="D3391">
        <v>27</v>
      </c>
      <c r="E3391" t="str">
        <f>"975"</f>
        <v>975</v>
      </c>
      <c r="F3391" t="str">
        <f t="shared" si="244"/>
        <v>0000</v>
      </c>
    </row>
    <row r="3392" spans="1:6">
      <c r="C3392" t="str">
        <f t="shared" si="243"/>
        <v>4</v>
      </c>
      <c r="D3392">
        <v>27</v>
      </c>
      <c r="E3392" t="str">
        <f>"678"</f>
        <v>678</v>
      </c>
      <c r="F3392" t="str">
        <f t="shared" si="244"/>
        <v>0000</v>
      </c>
    </row>
    <row r="3393" spans="1:6">
      <c r="C3393" t="str">
        <f t="shared" si="243"/>
        <v>4</v>
      </c>
      <c r="D3393">
        <v>27</v>
      </c>
      <c r="E3393" t="str">
        <f>"677"</f>
        <v>677</v>
      </c>
      <c r="F3393" t="str">
        <f t="shared" si="244"/>
        <v>0000</v>
      </c>
    </row>
    <row r="3394" spans="1:6">
      <c r="C3394" t="str">
        <f t="shared" si="243"/>
        <v>4</v>
      </c>
      <c r="D3394">
        <v>27</v>
      </c>
      <c r="E3394" t="str">
        <f>"676"</f>
        <v>676</v>
      </c>
      <c r="F3394" t="str">
        <f t="shared" si="244"/>
        <v>0000</v>
      </c>
    </row>
    <row r="3395" spans="1:6">
      <c r="C3395" t="str">
        <f t="shared" si="243"/>
        <v>4</v>
      </c>
      <c r="D3395">
        <v>27</v>
      </c>
      <c r="E3395" t="str">
        <f>"588"</f>
        <v>588</v>
      </c>
      <c r="F3395" t="str">
        <f t="shared" si="244"/>
        <v>0000</v>
      </c>
    </row>
    <row r="3396" spans="1:6">
      <c r="C3396" t="str">
        <f t="shared" si="243"/>
        <v>4</v>
      </c>
      <c r="D3396">
        <v>27</v>
      </c>
      <c r="E3396" t="str">
        <f>"1855"</f>
        <v>1855</v>
      </c>
      <c r="F3396" t="str">
        <f t="shared" si="244"/>
        <v>0000</v>
      </c>
    </row>
    <row r="3397" spans="1:6">
      <c r="C3397" t="str">
        <f t="shared" si="243"/>
        <v>4</v>
      </c>
      <c r="D3397">
        <v>27</v>
      </c>
      <c r="E3397" t="str">
        <f>"1421"</f>
        <v>1421</v>
      </c>
      <c r="F3397" t="str">
        <f t="shared" si="244"/>
        <v>0000</v>
      </c>
    </row>
    <row r="3398" spans="1:6">
      <c r="A3398" t="str">
        <f>"E1235-489"</f>
        <v>E1235-489</v>
      </c>
      <c r="B3398" t="str">
        <f>"VIA FELICE MARITANO  90-"</f>
        <v>VIA FELICE MARITANO  90-</v>
      </c>
      <c r="C3398" t="str">
        <f t="shared" si="243"/>
        <v>4</v>
      </c>
      <c r="D3398">
        <v>27</v>
      </c>
      <c r="E3398" t="str">
        <f>"124"</f>
        <v>124</v>
      </c>
      <c r="F3398" t="str">
        <f t="shared" si="244"/>
        <v>0000</v>
      </c>
    </row>
    <row r="3399" spans="1:6">
      <c r="C3399" t="str">
        <f t="shared" si="243"/>
        <v>4</v>
      </c>
      <c r="D3399">
        <v>27</v>
      </c>
      <c r="E3399" t="str">
        <f>"1421"</f>
        <v>1421</v>
      </c>
      <c r="F3399" t="str">
        <f t="shared" si="244"/>
        <v>0000</v>
      </c>
    </row>
    <row r="3400" spans="1:6">
      <c r="C3400" t="str">
        <f t="shared" si="243"/>
        <v>4</v>
      </c>
      <c r="D3400">
        <v>27</v>
      </c>
      <c r="E3400" t="str">
        <f>"1422"</f>
        <v>1422</v>
      </c>
      <c r="F3400" t="str">
        <f t="shared" si="244"/>
        <v>0000</v>
      </c>
    </row>
    <row r="3401" spans="1:6">
      <c r="C3401" t="str">
        <f t="shared" si="243"/>
        <v>4</v>
      </c>
      <c r="D3401">
        <v>27</v>
      </c>
      <c r="E3401" t="str">
        <f>"1241"</f>
        <v>1241</v>
      </c>
      <c r="F3401" t="str">
        <f t="shared" si="244"/>
        <v>0000</v>
      </c>
    </row>
    <row r="3402" spans="1:6">
      <c r="C3402" t="str">
        <f t="shared" si="243"/>
        <v>4</v>
      </c>
      <c r="D3402">
        <v>27</v>
      </c>
      <c r="E3402" t="str">
        <f>"1855"</f>
        <v>1855</v>
      </c>
      <c r="F3402" t="str">
        <f t="shared" si="244"/>
        <v>0000</v>
      </c>
    </row>
    <row r="3403" spans="1:6">
      <c r="C3403" t="str">
        <f t="shared" si="243"/>
        <v>4</v>
      </c>
      <c r="D3403">
        <v>27</v>
      </c>
      <c r="E3403" t="str">
        <f>"588"</f>
        <v>588</v>
      </c>
      <c r="F3403" t="str">
        <f t="shared" si="244"/>
        <v>0000</v>
      </c>
    </row>
    <row r="3404" spans="1:6">
      <c r="C3404" t="str">
        <f t="shared" si="243"/>
        <v>4</v>
      </c>
      <c r="D3404">
        <v>27</v>
      </c>
      <c r="E3404" t="str">
        <f>"676"</f>
        <v>676</v>
      </c>
      <c r="F3404" t="str">
        <f t="shared" si="244"/>
        <v>0000</v>
      </c>
    </row>
    <row r="3405" spans="1:6">
      <c r="C3405" t="str">
        <f t="shared" si="243"/>
        <v>4</v>
      </c>
      <c r="D3405">
        <v>27</v>
      </c>
      <c r="E3405" t="str">
        <f>"678"</f>
        <v>678</v>
      </c>
      <c r="F3405" t="str">
        <f t="shared" si="244"/>
        <v>0000</v>
      </c>
    </row>
    <row r="3406" spans="1:6">
      <c r="C3406" t="str">
        <f t="shared" si="243"/>
        <v>4</v>
      </c>
      <c r="D3406">
        <v>27</v>
      </c>
      <c r="E3406" t="str">
        <f>"99999"</f>
        <v>99999</v>
      </c>
      <c r="F3406" t="str">
        <f t="shared" si="244"/>
        <v>0000</v>
      </c>
    </row>
    <row r="3407" spans="1:6">
      <c r="C3407" t="str">
        <f t="shared" si="243"/>
        <v>4</v>
      </c>
      <c r="D3407">
        <v>27</v>
      </c>
      <c r="E3407" t="str">
        <f>"975"</f>
        <v>975</v>
      </c>
      <c r="F3407" t="str">
        <f t="shared" si="244"/>
        <v>0000</v>
      </c>
    </row>
    <row r="3408" spans="1:6">
      <c r="C3408" t="str">
        <f t="shared" si="243"/>
        <v>4</v>
      </c>
      <c r="D3408">
        <v>27</v>
      </c>
      <c r="E3408" t="str">
        <f>"677"</f>
        <v>677</v>
      </c>
      <c r="F3408" t="str">
        <f t="shared" si="244"/>
        <v>0000</v>
      </c>
    </row>
    <row r="3409" spans="1:6">
      <c r="C3409" t="str">
        <f t="shared" si="243"/>
        <v>4</v>
      </c>
      <c r="D3409">
        <v>27</v>
      </c>
      <c r="E3409" t="str">
        <f>"589"</f>
        <v>589</v>
      </c>
      <c r="F3409" t="str">
        <f t="shared" si="244"/>
        <v>0000</v>
      </c>
    </row>
    <row r="3410" spans="1:6">
      <c r="C3410" t="str">
        <f t="shared" si="243"/>
        <v>4</v>
      </c>
      <c r="D3410">
        <v>27</v>
      </c>
      <c r="E3410" t="str">
        <f>"587"</f>
        <v>587</v>
      </c>
      <c r="F3410" t="str">
        <f t="shared" si="244"/>
        <v>0000</v>
      </c>
    </row>
    <row r="3411" spans="1:6">
      <c r="A3411" t="str">
        <f>"E1235-490"</f>
        <v>E1235-490</v>
      </c>
      <c r="B3411" t="str">
        <f>"VIA FELICE MARITANO  90-"</f>
        <v>VIA FELICE MARITANO  90-</v>
      </c>
      <c r="C3411" t="str">
        <f t="shared" si="243"/>
        <v>4</v>
      </c>
      <c r="D3411">
        <v>27</v>
      </c>
      <c r="E3411" t="str">
        <f>"124"</f>
        <v>124</v>
      </c>
      <c r="F3411" t="str">
        <f t="shared" si="244"/>
        <v>0000</v>
      </c>
    </row>
    <row r="3412" spans="1:6">
      <c r="C3412" t="str">
        <f t="shared" si="243"/>
        <v>4</v>
      </c>
      <c r="D3412">
        <v>27</v>
      </c>
      <c r="E3412" t="str">
        <f>"1422"</f>
        <v>1422</v>
      </c>
      <c r="F3412" t="str">
        <f t="shared" si="244"/>
        <v>0000</v>
      </c>
    </row>
    <row r="3413" spans="1:6">
      <c r="C3413" t="str">
        <f t="shared" si="243"/>
        <v>4</v>
      </c>
      <c r="D3413">
        <v>27</v>
      </c>
      <c r="E3413" t="str">
        <f>"587"</f>
        <v>587</v>
      </c>
      <c r="F3413" t="str">
        <f t="shared" si="244"/>
        <v>0000</v>
      </c>
    </row>
    <row r="3414" spans="1:6">
      <c r="C3414" t="str">
        <f t="shared" si="243"/>
        <v>4</v>
      </c>
      <c r="D3414">
        <v>27</v>
      </c>
      <c r="E3414" t="str">
        <f>"99999"</f>
        <v>99999</v>
      </c>
      <c r="F3414" t="str">
        <f t="shared" si="244"/>
        <v>0000</v>
      </c>
    </row>
    <row r="3415" spans="1:6">
      <c r="C3415" t="str">
        <f t="shared" si="243"/>
        <v>4</v>
      </c>
      <c r="D3415">
        <v>27</v>
      </c>
      <c r="E3415" t="str">
        <f>"975"</f>
        <v>975</v>
      </c>
      <c r="F3415" t="str">
        <f t="shared" si="244"/>
        <v>0000</v>
      </c>
    </row>
    <row r="3416" spans="1:6">
      <c r="C3416" t="str">
        <f t="shared" si="243"/>
        <v>4</v>
      </c>
      <c r="D3416">
        <v>27</v>
      </c>
      <c r="E3416" t="str">
        <f>"678"</f>
        <v>678</v>
      </c>
      <c r="F3416" t="str">
        <f t="shared" si="244"/>
        <v>0000</v>
      </c>
    </row>
    <row r="3417" spans="1:6">
      <c r="C3417" t="str">
        <f t="shared" si="243"/>
        <v>4</v>
      </c>
      <c r="D3417">
        <v>27</v>
      </c>
      <c r="E3417" t="str">
        <f>"677"</f>
        <v>677</v>
      </c>
      <c r="F3417" t="str">
        <f t="shared" si="244"/>
        <v>0000</v>
      </c>
    </row>
    <row r="3418" spans="1:6">
      <c r="C3418" t="str">
        <f t="shared" si="243"/>
        <v>4</v>
      </c>
      <c r="D3418">
        <v>27</v>
      </c>
      <c r="E3418" t="str">
        <f>"676"</f>
        <v>676</v>
      </c>
      <c r="F3418" t="str">
        <f t="shared" si="244"/>
        <v>0000</v>
      </c>
    </row>
    <row r="3419" spans="1:6">
      <c r="C3419" t="str">
        <f t="shared" si="243"/>
        <v>4</v>
      </c>
      <c r="D3419">
        <v>27</v>
      </c>
      <c r="E3419" t="str">
        <f>"589"</f>
        <v>589</v>
      </c>
      <c r="F3419" t="str">
        <f t="shared" si="244"/>
        <v>0000</v>
      </c>
    </row>
    <row r="3420" spans="1:6">
      <c r="C3420" t="str">
        <f t="shared" si="243"/>
        <v>4</v>
      </c>
      <c r="D3420">
        <v>27</v>
      </c>
      <c r="E3420" t="str">
        <f>"588"</f>
        <v>588</v>
      </c>
      <c r="F3420" t="str">
        <f t="shared" si="244"/>
        <v>0000</v>
      </c>
    </row>
    <row r="3421" spans="1:6">
      <c r="C3421" t="str">
        <f t="shared" si="243"/>
        <v>4</v>
      </c>
      <c r="D3421">
        <v>27</v>
      </c>
      <c r="E3421" t="str">
        <f>"1855"</f>
        <v>1855</v>
      </c>
      <c r="F3421" t="str">
        <f t="shared" si="244"/>
        <v>0000</v>
      </c>
    </row>
    <row r="3422" spans="1:6">
      <c r="C3422" t="str">
        <f t="shared" si="243"/>
        <v>4</v>
      </c>
      <c r="D3422">
        <v>27</v>
      </c>
      <c r="E3422" t="str">
        <f>"1421"</f>
        <v>1421</v>
      </c>
      <c r="F3422" t="str">
        <f t="shared" si="244"/>
        <v>0000</v>
      </c>
    </row>
    <row r="3423" spans="1:6">
      <c r="C3423" t="str">
        <f t="shared" si="243"/>
        <v>4</v>
      </c>
      <c r="D3423">
        <v>27</v>
      </c>
      <c r="E3423" t="str">
        <f>"1241"</f>
        <v>1241</v>
      </c>
      <c r="F3423" t="str">
        <f t="shared" si="244"/>
        <v>0000</v>
      </c>
    </row>
    <row r="3424" spans="1:6">
      <c r="A3424" t="str">
        <f>"E1235-491"</f>
        <v>E1235-491</v>
      </c>
      <c r="B3424" t="str">
        <f>"VIA FELICE MARITANO  90-"</f>
        <v>VIA FELICE MARITANO  90-</v>
      </c>
      <c r="C3424" t="str">
        <f t="shared" si="243"/>
        <v>4</v>
      </c>
      <c r="D3424">
        <v>27</v>
      </c>
      <c r="E3424" t="str">
        <f>"124"</f>
        <v>124</v>
      </c>
      <c r="F3424" t="str">
        <f t="shared" si="244"/>
        <v>0000</v>
      </c>
    </row>
    <row r="3425" spans="1:6">
      <c r="C3425" t="str">
        <f t="shared" si="243"/>
        <v>4</v>
      </c>
      <c r="D3425">
        <v>27</v>
      </c>
      <c r="E3425" t="str">
        <f>"1241"</f>
        <v>1241</v>
      </c>
      <c r="F3425" t="str">
        <f t="shared" si="244"/>
        <v>0000</v>
      </c>
    </row>
    <row r="3426" spans="1:6">
      <c r="C3426" t="str">
        <f t="shared" si="243"/>
        <v>4</v>
      </c>
      <c r="D3426">
        <v>27</v>
      </c>
      <c r="E3426" t="str">
        <f>"1421"</f>
        <v>1421</v>
      </c>
      <c r="F3426" t="str">
        <f t="shared" si="244"/>
        <v>0000</v>
      </c>
    </row>
    <row r="3427" spans="1:6">
      <c r="C3427" t="str">
        <f t="shared" si="243"/>
        <v>4</v>
      </c>
      <c r="D3427">
        <v>27</v>
      </c>
      <c r="E3427" t="str">
        <f>"1855"</f>
        <v>1855</v>
      </c>
      <c r="F3427" t="str">
        <f t="shared" si="244"/>
        <v>0000</v>
      </c>
    </row>
    <row r="3428" spans="1:6">
      <c r="C3428" t="str">
        <f t="shared" si="243"/>
        <v>4</v>
      </c>
      <c r="D3428">
        <v>27</v>
      </c>
      <c r="E3428" t="str">
        <f>"588"</f>
        <v>588</v>
      </c>
      <c r="F3428" t="str">
        <f t="shared" si="244"/>
        <v>0000</v>
      </c>
    </row>
    <row r="3429" spans="1:6">
      <c r="C3429" t="str">
        <f t="shared" si="243"/>
        <v>4</v>
      </c>
      <c r="D3429">
        <v>27</v>
      </c>
      <c r="E3429" t="str">
        <f>"676"</f>
        <v>676</v>
      </c>
      <c r="F3429" t="str">
        <f t="shared" si="244"/>
        <v>0000</v>
      </c>
    </row>
    <row r="3430" spans="1:6">
      <c r="C3430" t="str">
        <f t="shared" si="243"/>
        <v>4</v>
      </c>
      <c r="D3430">
        <v>27</v>
      </c>
      <c r="E3430" t="str">
        <f>"99999"</f>
        <v>99999</v>
      </c>
      <c r="F3430" t="str">
        <f t="shared" si="244"/>
        <v>0000</v>
      </c>
    </row>
    <row r="3431" spans="1:6">
      <c r="C3431" t="str">
        <f t="shared" si="243"/>
        <v>4</v>
      </c>
      <c r="D3431">
        <v>27</v>
      </c>
      <c r="E3431" t="str">
        <f>"975"</f>
        <v>975</v>
      </c>
      <c r="F3431" t="str">
        <f t="shared" si="244"/>
        <v>0000</v>
      </c>
    </row>
    <row r="3432" spans="1:6">
      <c r="C3432" t="str">
        <f t="shared" si="243"/>
        <v>4</v>
      </c>
      <c r="D3432">
        <v>27</v>
      </c>
      <c r="E3432" t="str">
        <f>"678"</f>
        <v>678</v>
      </c>
      <c r="F3432" t="str">
        <f t="shared" si="244"/>
        <v>0000</v>
      </c>
    </row>
    <row r="3433" spans="1:6">
      <c r="C3433" t="str">
        <f t="shared" si="243"/>
        <v>4</v>
      </c>
      <c r="D3433">
        <v>27</v>
      </c>
      <c r="E3433" t="str">
        <f>"677"</f>
        <v>677</v>
      </c>
      <c r="F3433" t="str">
        <f t="shared" si="244"/>
        <v>0000</v>
      </c>
    </row>
    <row r="3434" spans="1:6">
      <c r="C3434" t="str">
        <f t="shared" si="243"/>
        <v>4</v>
      </c>
      <c r="D3434">
        <v>27</v>
      </c>
      <c r="E3434" t="str">
        <f>"589"</f>
        <v>589</v>
      </c>
      <c r="F3434" t="str">
        <f t="shared" si="244"/>
        <v>0000</v>
      </c>
    </row>
    <row r="3435" spans="1:6">
      <c r="C3435" t="str">
        <f t="shared" si="243"/>
        <v>4</v>
      </c>
      <c r="D3435">
        <v>27</v>
      </c>
      <c r="E3435" t="str">
        <f>"587"</f>
        <v>587</v>
      </c>
      <c r="F3435" t="str">
        <f t="shared" si="244"/>
        <v>0000</v>
      </c>
    </row>
    <row r="3436" spans="1:6">
      <c r="C3436" t="str">
        <f t="shared" si="243"/>
        <v>4</v>
      </c>
      <c r="D3436">
        <v>27</v>
      </c>
      <c r="E3436" t="str">
        <f>"1422"</f>
        <v>1422</v>
      </c>
      <c r="F3436" t="str">
        <f t="shared" si="244"/>
        <v>0000</v>
      </c>
    </row>
    <row r="3437" spans="1:6">
      <c r="A3437" t="str">
        <f>"E1235-492"</f>
        <v>E1235-492</v>
      </c>
      <c r="B3437" t="str">
        <f>"VIA FELICE MARITANO  90-"</f>
        <v>VIA FELICE MARITANO  90-</v>
      </c>
      <c r="C3437" t="str">
        <f t="shared" si="243"/>
        <v>4</v>
      </c>
      <c r="D3437">
        <v>27</v>
      </c>
      <c r="E3437" t="str">
        <f>"124"</f>
        <v>124</v>
      </c>
      <c r="F3437" t="str">
        <f t="shared" si="244"/>
        <v>0000</v>
      </c>
    </row>
    <row r="3438" spans="1:6">
      <c r="C3438" t="str">
        <f t="shared" si="243"/>
        <v>4</v>
      </c>
      <c r="D3438">
        <v>27</v>
      </c>
      <c r="E3438" t="str">
        <f>"99999"</f>
        <v>99999</v>
      </c>
      <c r="F3438" t="str">
        <f t="shared" si="244"/>
        <v>0000</v>
      </c>
    </row>
    <row r="3439" spans="1:6">
      <c r="C3439" t="str">
        <f t="shared" si="243"/>
        <v>4</v>
      </c>
      <c r="D3439">
        <v>27</v>
      </c>
      <c r="E3439" t="str">
        <f>"975"</f>
        <v>975</v>
      </c>
      <c r="F3439" t="str">
        <f t="shared" si="244"/>
        <v>0000</v>
      </c>
    </row>
    <row r="3440" spans="1:6">
      <c r="C3440" t="str">
        <f t="shared" si="243"/>
        <v>4</v>
      </c>
      <c r="D3440">
        <v>27</v>
      </c>
      <c r="E3440" t="str">
        <f>"678"</f>
        <v>678</v>
      </c>
      <c r="F3440" t="str">
        <f t="shared" si="244"/>
        <v>0000</v>
      </c>
    </row>
    <row r="3441" spans="1:6">
      <c r="C3441" t="str">
        <f t="shared" si="243"/>
        <v>4</v>
      </c>
      <c r="D3441">
        <v>27</v>
      </c>
      <c r="E3441" t="str">
        <f>"677"</f>
        <v>677</v>
      </c>
      <c r="F3441" t="str">
        <f t="shared" si="244"/>
        <v>0000</v>
      </c>
    </row>
    <row r="3442" spans="1:6">
      <c r="C3442" t="str">
        <f t="shared" si="243"/>
        <v>4</v>
      </c>
      <c r="D3442">
        <v>27</v>
      </c>
      <c r="E3442" t="str">
        <f>"676"</f>
        <v>676</v>
      </c>
      <c r="F3442" t="str">
        <f t="shared" si="244"/>
        <v>0000</v>
      </c>
    </row>
    <row r="3443" spans="1:6">
      <c r="C3443" t="str">
        <f t="shared" si="243"/>
        <v>4</v>
      </c>
      <c r="D3443">
        <v>27</v>
      </c>
      <c r="E3443" t="str">
        <f>"589"</f>
        <v>589</v>
      </c>
      <c r="F3443" t="str">
        <f t="shared" si="244"/>
        <v>0000</v>
      </c>
    </row>
    <row r="3444" spans="1:6">
      <c r="C3444" t="str">
        <f t="shared" si="243"/>
        <v>4</v>
      </c>
      <c r="D3444">
        <v>27</v>
      </c>
      <c r="E3444" t="str">
        <f>"588"</f>
        <v>588</v>
      </c>
      <c r="F3444" t="str">
        <f t="shared" si="244"/>
        <v>0000</v>
      </c>
    </row>
    <row r="3445" spans="1:6">
      <c r="C3445" t="str">
        <f t="shared" si="243"/>
        <v>4</v>
      </c>
      <c r="D3445">
        <v>27</v>
      </c>
      <c r="E3445" t="str">
        <f>"587"</f>
        <v>587</v>
      </c>
      <c r="F3445" t="str">
        <f t="shared" si="244"/>
        <v>0000</v>
      </c>
    </row>
    <row r="3446" spans="1:6">
      <c r="C3446" t="str">
        <f t="shared" si="243"/>
        <v>4</v>
      </c>
      <c r="D3446">
        <v>27</v>
      </c>
      <c r="E3446" t="str">
        <f>"1855"</f>
        <v>1855</v>
      </c>
      <c r="F3446" t="str">
        <f t="shared" si="244"/>
        <v>0000</v>
      </c>
    </row>
    <row r="3447" spans="1:6">
      <c r="C3447" t="str">
        <f t="shared" si="243"/>
        <v>4</v>
      </c>
      <c r="D3447">
        <v>27</v>
      </c>
      <c r="E3447" t="str">
        <f>"1241"</f>
        <v>1241</v>
      </c>
      <c r="F3447" t="str">
        <f t="shared" si="244"/>
        <v>0000</v>
      </c>
    </row>
    <row r="3448" spans="1:6">
      <c r="C3448" t="str">
        <f t="shared" si="243"/>
        <v>4</v>
      </c>
      <c r="D3448">
        <v>27</v>
      </c>
      <c r="E3448" t="str">
        <f>"1422"</f>
        <v>1422</v>
      </c>
      <c r="F3448" t="str">
        <f t="shared" si="244"/>
        <v>0000</v>
      </c>
    </row>
    <row r="3449" spans="1:6">
      <c r="C3449" t="str">
        <f t="shared" si="243"/>
        <v>4</v>
      </c>
      <c r="D3449">
        <v>27</v>
      </c>
      <c r="E3449" t="str">
        <f>"1421"</f>
        <v>1421</v>
      </c>
      <c r="F3449" t="str">
        <f t="shared" si="244"/>
        <v>0000</v>
      </c>
    </row>
    <row r="3450" spans="1:6">
      <c r="A3450" t="str">
        <f>"E1235-493"</f>
        <v>E1235-493</v>
      </c>
      <c r="B3450" t="str">
        <f>"VIA FELICE MARITANO  90-"</f>
        <v>VIA FELICE MARITANO  90-</v>
      </c>
      <c r="C3450" t="str">
        <f t="shared" si="243"/>
        <v>4</v>
      </c>
      <c r="D3450">
        <v>27</v>
      </c>
      <c r="E3450" t="str">
        <f>"124"</f>
        <v>124</v>
      </c>
      <c r="F3450" t="str">
        <f t="shared" si="244"/>
        <v>0000</v>
      </c>
    </row>
    <row r="3451" spans="1:6">
      <c r="C3451" t="str">
        <f t="shared" ref="C3451:C3514" si="245">"4"</f>
        <v>4</v>
      </c>
      <c r="D3451">
        <v>27</v>
      </c>
      <c r="E3451" t="str">
        <f>"1241"</f>
        <v>1241</v>
      </c>
      <c r="F3451" t="str">
        <f t="shared" ref="F3451:F3514" si="246">"0000"</f>
        <v>0000</v>
      </c>
    </row>
    <row r="3452" spans="1:6">
      <c r="C3452" t="str">
        <f t="shared" si="245"/>
        <v>4</v>
      </c>
      <c r="D3452">
        <v>27</v>
      </c>
      <c r="E3452" t="str">
        <f>"1422"</f>
        <v>1422</v>
      </c>
      <c r="F3452" t="str">
        <f t="shared" si="246"/>
        <v>0000</v>
      </c>
    </row>
    <row r="3453" spans="1:6">
      <c r="C3453" t="str">
        <f t="shared" si="245"/>
        <v>4</v>
      </c>
      <c r="D3453">
        <v>27</v>
      </c>
      <c r="E3453" t="str">
        <f>"587"</f>
        <v>587</v>
      </c>
      <c r="F3453" t="str">
        <f t="shared" si="246"/>
        <v>0000</v>
      </c>
    </row>
    <row r="3454" spans="1:6">
      <c r="C3454" t="str">
        <f t="shared" si="245"/>
        <v>4</v>
      </c>
      <c r="D3454">
        <v>27</v>
      </c>
      <c r="E3454" t="str">
        <f>"589"</f>
        <v>589</v>
      </c>
      <c r="F3454" t="str">
        <f t="shared" si="246"/>
        <v>0000</v>
      </c>
    </row>
    <row r="3455" spans="1:6">
      <c r="C3455" t="str">
        <f t="shared" si="245"/>
        <v>4</v>
      </c>
      <c r="D3455">
        <v>27</v>
      </c>
      <c r="E3455" t="str">
        <f>"99999"</f>
        <v>99999</v>
      </c>
      <c r="F3455" t="str">
        <f t="shared" si="246"/>
        <v>0000</v>
      </c>
    </row>
    <row r="3456" spans="1:6">
      <c r="C3456" t="str">
        <f t="shared" si="245"/>
        <v>4</v>
      </c>
      <c r="D3456">
        <v>27</v>
      </c>
      <c r="E3456" t="str">
        <f>"975"</f>
        <v>975</v>
      </c>
      <c r="F3456" t="str">
        <f t="shared" si="246"/>
        <v>0000</v>
      </c>
    </row>
    <row r="3457" spans="1:6">
      <c r="C3457" t="str">
        <f t="shared" si="245"/>
        <v>4</v>
      </c>
      <c r="D3457">
        <v>27</v>
      </c>
      <c r="E3457" t="str">
        <f>"678"</f>
        <v>678</v>
      </c>
      <c r="F3457" t="str">
        <f t="shared" si="246"/>
        <v>0000</v>
      </c>
    </row>
    <row r="3458" spans="1:6">
      <c r="C3458" t="str">
        <f t="shared" si="245"/>
        <v>4</v>
      </c>
      <c r="D3458">
        <v>27</v>
      </c>
      <c r="E3458" t="str">
        <f>"677"</f>
        <v>677</v>
      </c>
      <c r="F3458" t="str">
        <f t="shared" si="246"/>
        <v>0000</v>
      </c>
    </row>
    <row r="3459" spans="1:6">
      <c r="C3459" t="str">
        <f t="shared" si="245"/>
        <v>4</v>
      </c>
      <c r="D3459">
        <v>27</v>
      </c>
      <c r="E3459" t="str">
        <f>"676"</f>
        <v>676</v>
      </c>
      <c r="F3459" t="str">
        <f t="shared" si="246"/>
        <v>0000</v>
      </c>
    </row>
    <row r="3460" spans="1:6">
      <c r="C3460" t="str">
        <f t="shared" si="245"/>
        <v>4</v>
      </c>
      <c r="D3460">
        <v>27</v>
      </c>
      <c r="E3460" t="str">
        <f>"588"</f>
        <v>588</v>
      </c>
      <c r="F3460" t="str">
        <f t="shared" si="246"/>
        <v>0000</v>
      </c>
    </row>
    <row r="3461" spans="1:6">
      <c r="C3461" t="str">
        <f t="shared" si="245"/>
        <v>4</v>
      </c>
      <c r="D3461">
        <v>27</v>
      </c>
      <c r="E3461" t="str">
        <f>"1855"</f>
        <v>1855</v>
      </c>
      <c r="F3461" t="str">
        <f t="shared" si="246"/>
        <v>0000</v>
      </c>
    </row>
    <row r="3462" spans="1:6">
      <c r="C3462" t="str">
        <f t="shared" si="245"/>
        <v>4</v>
      </c>
      <c r="D3462">
        <v>27</v>
      </c>
      <c r="E3462" t="str">
        <f>"1421"</f>
        <v>1421</v>
      </c>
      <c r="F3462" t="str">
        <f t="shared" si="246"/>
        <v>0000</v>
      </c>
    </row>
    <row r="3463" spans="1:6">
      <c r="A3463" t="str">
        <f>"E1235-494"</f>
        <v>E1235-494</v>
      </c>
      <c r="B3463" t="str">
        <f>"VIA FELICE MARITANO  90-"</f>
        <v>VIA FELICE MARITANO  90-</v>
      </c>
      <c r="C3463" t="str">
        <f t="shared" si="245"/>
        <v>4</v>
      </c>
      <c r="D3463">
        <v>27</v>
      </c>
      <c r="E3463" t="str">
        <f>"124"</f>
        <v>124</v>
      </c>
      <c r="F3463" t="str">
        <f t="shared" si="246"/>
        <v>0000</v>
      </c>
    </row>
    <row r="3464" spans="1:6">
      <c r="C3464" t="str">
        <f t="shared" si="245"/>
        <v>4</v>
      </c>
      <c r="D3464">
        <v>27</v>
      </c>
      <c r="E3464" t="str">
        <f>"1421"</f>
        <v>1421</v>
      </c>
      <c r="F3464" t="str">
        <f t="shared" si="246"/>
        <v>0000</v>
      </c>
    </row>
    <row r="3465" spans="1:6">
      <c r="C3465" t="str">
        <f t="shared" si="245"/>
        <v>4</v>
      </c>
      <c r="D3465">
        <v>27</v>
      </c>
      <c r="E3465" t="str">
        <f>"1422"</f>
        <v>1422</v>
      </c>
      <c r="F3465" t="str">
        <f t="shared" si="246"/>
        <v>0000</v>
      </c>
    </row>
    <row r="3466" spans="1:6">
      <c r="C3466" t="str">
        <f t="shared" si="245"/>
        <v>4</v>
      </c>
      <c r="D3466">
        <v>27</v>
      </c>
      <c r="E3466" t="str">
        <f>"1241"</f>
        <v>1241</v>
      </c>
      <c r="F3466" t="str">
        <f t="shared" si="246"/>
        <v>0000</v>
      </c>
    </row>
    <row r="3467" spans="1:6">
      <c r="C3467" t="str">
        <f t="shared" si="245"/>
        <v>4</v>
      </c>
      <c r="D3467">
        <v>27</v>
      </c>
      <c r="E3467" t="str">
        <f>"1855"</f>
        <v>1855</v>
      </c>
      <c r="F3467" t="str">
        <f t="shared" si="246"/>
        <v>0000</v>
      </c>
    </row>
    <row r="3468" spans="1:6">
      <c r="C3468" t="str">
        <f t="shared" si="245"/>
        <v>4</v>
      </c>
      <c r="D3468">
        <v>27</v>
      </c>
      <c r="E3468" t="str">
        <f>"588"</f>
        <v>588</v>
      </c>
      <c r="F3468" t="str">
        <f t="shared" si="246"/>
        <v>0000</v>
      </c>
    </row>
    <row r="3469" spans="1:6">
      <c r="C3469" t="str">
        <f t="shared" si="245"/>
        <v>4</v>
      </c>
      <c r="D3469">
        <v>27</v>
      </c>
      <c r="E3469" t="str">
        <f>"676"</f>
        <v>676</v>
      </c>
      <c r="F3469" t="str">
        <f t="shared" si="246"/>
        <v>0000</v>
      </c>
    </row>
    <row r="3470" spans="1:6">
      <c r="C3470" t="str">
        <f t="shared" si="245"/>
        <v>4</v>
      </c>
      <c r="D3470">
        <v>27</v>
      </c>
      <c r="E3470" t="str">
        <f>"678"</f>
        <v>678</v>
      </c>
      <c r="F3470" t="str">
        <f t="shared" si="246"/>
        <v>0000</v>
      </c>
    </row>
    <row r="3471" spans="1:6">
      <c r="C3471" t="str">
        <f t="shared" si="245"/>
        <v>4</v>
      </c>
      <c r="D3471">
        <v>27</v>
      </c>
      <c r="E3471" t="str">
        <f>"99999"</f>
        <v>99999</v>
      </c>
      <c r="F3471" t="str">
        <f t="shared" si="246"/>
        <v>0000</v>
      </c>
    </row>
    <row r="3472" spans="1:6">
      <c r="C3472" t="str">
        <f t="shared" si="245"/>
        <v>4</v>
      </c>
      <c r="D3472">
        <v>27</v>
      </c>
      <c r="E3472" t="str">
        <f>"975"</f>
        <v>975</v>
      </c>
      <c r="F3472" t="str">
        <f t="shared" si="246"/>
        <v>0000</v>
      </c>
    </row>
    <row r="3473" spans="1:6">
      <c r="C3473" t="str">
        <f t="shared" si="245"/>
        <v>4</v>
      </c>
      <c r="D3473">
        <v>27</v>
      </c>
      <c r="E3473" t="str">
        <f>"677"</f>
        <v>677</v>
      </c>
      <c r="F3473" t="str">
        <f t="shared" si="246"/>
        <v>0000</v>
      </c>
    </row>
    <row r="3474" spans="1:6">
      <c r="C3474" t="str">
        <f t="shared" si="245"/>
        <v>4</v>
      </c>
      <c r="D3474">
        <v>27</v>
      </c>
      <c r="E3474" t="str">
        <f>"589"</f>
        <v>589</v>
      </c>
      <c r="F3474" t="str">
        <f t="shared" si="246"/>
        <v>0000</v>
      </c>
    </row>
    <row r="3475" spans="1:6">
      <c r="C3475" t="str">
        <f t="shared" si="245"/>
        <v>4</v>
      </c>
      <c r="D3475">
        <v>27</v>
      </c>
      <c r="E3475" t="str">
        <f>"587"</f>
        <v>587</v>
      </c>
      <c r="F3475" t="str">
        <f t="shared" si="246"/>
        <v>0000</v>
      </c>
    </row>
    <row r="3476" spans="1:6">
      <c r="A3476" t="str">
        <f>"E1235-495"</f>
        <v>E1235-495</v>
      </c>
      <c r="B3476" t="str">
        <f>"VIA FELICE MARITANO  90-"</f>
        <v>VIA FELICE MARITANO  90-</v>
      </c>
      <c r="C3476" t="str">
        <f t="shared" si="245"/>
        <v>4</v>
      </c>
      <c r="D3476">
        <v>27</v>
      </c>
      <c r="E3476" t="str">
        <f>"124"</f>
        <v>124</v>
      </c>
      <c r="F3476" t="str">
        <f t="shared" si="246"/>
        <v>0000</v>
      </c>
    </row>
    <row r="3477" spans="1:6">
      <c r="C3477" t="str">
        <f t="shared" si="245"/>
        <v>4</v>
      </c>
      <c r="D3477">
        <v>27</v>
      </c>
      <c r="E3477" t="str">
        <f>"1422"</f>
        <v>1422</v>
      </c>
      <c r="F3477" t="str">
        <f t="shared" si="246"/>
        <v>0000</v>
      </c>
    </row>
    <row r="3478" spans="1:6">
      <c r="C3478" t="str">
        <f t="shared" si="245"/>
        <v>4</v>
      </c>
      <c r="D3478">
        <v>27</v>
      </c>
      <c r="E3478" t="str">
        <f>"587"</f>
        <v>587</v>
      </c>
      <c r="F3478" t="str">
        <f t="shared" si="246"/>
        <v>0000</v>
      </c>
    </row>
    <row r="3479" spans="1:6">
      <c r="C3479" t="str">
        <f t="shared" si="245"/>
        <v>4</v>
      </c>
      <c r="D3479">
        <v>27</v>
      </c>
      <c r="E3479" t="str">
        <f>"99999"</f>
        <v>99999</v>
      </c>
      <c r="F3479" t="str">
        <f t="shared" si="246"/>
        <v>0000</v>
      </c>
    </row>
    <row r="3480" spans="1:6">
      <c r="C3480" t="str">
        <f t="shared" si="245"/>
        <v>4</v>
      </c>
      <c r="D3480">
        <v>27</v>
      </c>
      <c r="E3480" t="str">
        <f>"975"</f>
        <v>975</v>
      </c>
      <c r="F3480" t="str">
        <f t="shared" si="246"/>
        <v>0000</v>
      </c>
    </row>
    <row r="3481" spans="1:6">
      <c r="C3481" t="str">
        <f t="shared" si="245"/>
        <v>4</v>
      </c>
      <c r="D3481">
        <v>27</v>
      </c>
      <c r="E3481" t="str">
        <f>"678"</f>
        <v>678</v>
      </c>
      <c r="F3481" t="str">
        <f t="shared" si="246"/>
        <v>0000</v>
      </c>
    </row>
    <row r="3482" spans="1:6">
      <c r="C3482" t="str">
        <f t="shared" si="245"/>
        <v>4</v>
      </c>
      <c r="D3482">
        <v>27</v>
      </c>
      <c r="E3482" t="str">
        <f>"677"</f>
        <v>677</v>
      </c>
      <c r="F3482" t="str">
        <f t="shared" si="246"/>
        <v>0000</v>
      </c>
    </row>
    <row r="3483" spans="1:6">
      <c r="C3483" t="str">
        <f t="shared" si="245"/>
        <v>4</v>
      </c>
      <c r="D3483">
        <v>27</v>
      </c>
      <c r="E3483" t="str">
        <f>"676"</f>
        <v>676</v>
      </c>
      <c r="F3483" t="str">
        <f t="shared" si="246"/>
        <v>0000</v>
      </c>
    </row>
    <row r="3484" spans="1:6">
      <c r="C3484" t="str">
        <f t="shared" si="245"/>
        <v>4</v>
      </c>
      <c r="D3484">
        <v>27</v>
      </c>
      <c r="E3484" t="str">
        <f>"589"</f>
        <v>589</v>
      </c>
      <c r="F3484" t="str">
        <f t="shared" si="246"/>
        <v>0000</v>
      </c>
    </row>
    <row r="3485" spans="1:6">
      <c r="C3485" t="str">
        <f t="shared" si="245"/>
        <v>4</v>
      </c>
      <c r="D3485">
        <v>27</v>
      </c>
      <c r="E3485" t="str">
        <f>"588"</f>
        <v>588</v>
      </c>
      <c r="F3485" t="str">
        <f t="shared" si="246"/>
        <v>0000</v>
      </c>
    </row>
    <row r="3486" spans="1:6">
      <c r="C3486" t="str">
        <f t="shared" si="245"/>
        <v>4</v>
      </c>
      <c r="D3486">
        <v>27</v>
      </c>
      <c r="E3486" t="str">
        <f>"1855"</f>
        <v>1855</v>
      </c>
      <c r="F3486" t="str">
        <f t="shared" si="246"/>
        <v>0000</v>
      </c>
    </row>
    <row r="3487" spans="1:6">
      <c r="C3487" t="str">
        <f t="shared" si="245"/>
        <v>4</v>
      </c>
      <c r="D3487">
        <v>27</v>
      </c>
      <c r="E3487" t="str">
        <f>"1421"</f>
        <v>1421</v>
      </c>
      <c r="F3487" t="str">
        <f t="shared" si="246"/>
        <v>0000</v>
      </c>
    </row>
    <row r="3488" spans="1:6">
      <c r="C3488" t="str">
        <f t="shared" si="245"/>
        <v>4</v>
      </c>
      <c r="D3488">
        <v>27</v>
      </c>
      <c r="E3488" t="str">
        <f>"1241"</f>
        <v>1241</v>
      </c>
      <c r="F3488" t="str">
        <f t="shared" si="246"/>
        <v>0000</v>
      </c>
    </row>
    <row r="3489" spans="1:6">
      <c r="A3489" t="str">
        <f>"E1235-496"</f>
        <v>E1235-496</v>
      </c>
      <c r="B3489" t="str">
        <f>"VIA FELICE MARITANO  95-"</f>
        <v>VIA FELICE MARITANO  95-</v>
      </c>
      <c r="C3489" t="str">
        <f t="shared" si="245"/>
        <v>4</v>
      </c>
      <c r="D3489">
        <v>27</v>
      </c>
      <c r="E3489" t="str">
        <f>"124"</f>
        <v>124</v>
      </c>
      <c r="F3489" t="str">
        <f t="shared" si="246"/>
        <v>0000</v>
      </c>
    </row>
    <row r="3490" spans="1:6">
      <c r="C3490" t="str">
        <f t="shared" si="245"/>
        <v>4</v>
      </c>
      <c r="D3490">
        <v>27</v>
      </c>
      <c r="E3490" t="str">
        <f>"1241"</f>
        <v>1241</v>
      </c>
      <c r="F3490" t="str">
        <f t="shared" si="246"/>
        <v>0000</v>
      </c>
    </row>
    <row r="3491" spans="1:6">
      <c r="C3491" t="str">
        <f t="shared" si="245"/>
        <v>4</v>
      </c>
      <c r="D3491">
        <v>27</v>
      </c>
      <c r="E3491" t="str">
        <f>"1421"</f>
        <v>1421</v>
      </c>
      <c r="F3491" t="str">
        <f t="shared" si="246"/>
        <v>0000</v>
      </c>
    </row>
    <row r="3492" spans="1:6">
      <c r="C3492" t="str">
        <f t="shared" si="245"/>
        <v>4</v>
      </c>
      <c r="D3492">
        <v>27</v>
      </c>
      <c r="E3492" t="str">
        <f>"1855"</f>
        <v>1855</v>
      </c>
      <c r="F3492" t="str">
        <f t="shared" si="246"/>
        <v>0000</v>
      </c>
    </row>
    <row r="3493" spans="1:6">
      <c r="C3493" t="str">
        <f t="shared" si="245"/>
        <v>4</v>
      </c>
      <c r="D3493">
        <v>27</v>
      </c>
      <c r="E3493" t="str">
        <f>"588"</f>
        <v>588</v>
      </c>
      <c r="F3493" t="str">
        <f t="shared" si="246"/>
        <v>0000</v>
      </c>
    </row>
    <row r="3494" spans="1:6">
      <c r="C3494" t="str">
        <f t="shared" si="245"/>
        <v>4</v>
      </c>
      <c r="D3494">
        <v>27</v>
      </c>
      <c r="E3494" t="str">
        <f>"676"</f>
        <v>676</v>
      </c>
      <c r="F3494" t="str">
        <f t="shared" si="246"/>
        <v>0000</v>
      </c>
    </row>
    <row r="3495" spans="1:6">
      <c r="C3495" t="str">
        <f t="shared" si="245"/>
        <v>4</v>
      </c>
      <c r="D3495">
        <v>27</v>
      </c>
      <c r="E3495" t="str">
        <f>"99999"</f>
        <v>99999</v>
      </c>
      <c r="F3495" t="str">
        <f t="shared" si="246"/>
        <v>0000</v>
      </c>
    </row>
    <row r="3496" spans="1:6">
      <c r="C3496" t="str">
        <f t="shared" si="245"/>
        <v>4</v>
      </c>
      <c r="D3496">
        <v>27</v>
      </c>
      <c r="E3496" t="str">
        <f>"975"</f>
        <v>975</v>
      </c>
      <c r="F3496" t="str">
        <f t="shared" si="246"/>
        <v>0000</v>
      </c>
    </row>
    <row r="3497" spans="1:6">
      <c r="C3497" t="str">
        <f t="shared" si="245"/>
        <v>4</v>
      </c>
      <c r="D3497">
        <v>27</v>
      </c>
      <c r="E3497" t="str">
        <f>"678"</f>
        <v>678</v>
      </c>
      <c r="F3497" t="str">
        <f t="shared" si="246"/>
        <v>0000</v>
      </c>
    </row>
    <row r="3498" spans="1:6">
      <c r="C3498" t="str">
        <f t="shared" si="245"/>
        <v>4</v>
      </c>
      <c r="D3498">
        <v>27</v>
      </c>
      <c r="E3498" t="str">
        <f>"677"</f>
        <v>677</v>
      </c>
      <c r="F3498" t="str">
        <f t="shared" si="246"/>
        <v>0000</v>
      </c>
    </row>
    <row r="3499" spans="1:6">
      <c r="C3499" t="str">
        <f t="shared" si="245"/>
        <v>4</v>
      </c>
      <c r="D3499">
        <v>27</v>
      </c>
      <c r="E3499" t="str">
        <f>"589"</f>
        <v>589</v>
      </c>
      <c r="F3499" t="str">
        <f t="shared" si="246"/>
        <v>0000</v>
      </c>
    </row>
    <row r="3500" spans="1:6">
      <c r="C3500" t="str">
        <f t="shared" si="245"/>
        <v>4</v>
      </c>
      <c r="D3500">
        <v>27</v>
      </c>
      <c r="E3500" t="str">
        <f>"587"</f>
        <v>587</v>
      </c>
      <c r="F3500" t="str">
        <f t="shared" si="246"/>
        <v>0000</v>
      </c>
    </row>
    <row r="3501" spans="1:6">
      <c r="C3501" t="str">
        <f t="shared" si="245"/>
        <v>4</v>
      </c>
      <c r="D3501">
        <v>27</v>
      </c>
      <c r="E3501" t="str">
        <f>"1422"</f>
        <v>1422</v>
      </c>
      <c r="F3501" t="str">
        <f t="shared" si="246"/>
        <v>0000</v>
      </c>
    </row>
    <row r="3502" spans="1:6">
      <c r="A3502" t="str">
        <f>"E1235-497"</f>
        <v>E1235-497</v>
      </c>
      <c r="B3502" t="str">
        <f>"VIA FELICE MARITANO  95-"</f>
        <v>VIA FELICE MARITANO  95-</v>
      </c>
      <c r="C3502" t="str">
        <f t="shared" si="245"/>
        <v>4</v>
      </c>
      <c r="D3502">
        <v>27</v>
      </c>
      <c r="E3502" t="str">
        <f>"124"</f>
        <v>124</v>
      </c>
      <c r="F3502" t="str">
        <f t="shared" si="246"/>
        <v>0000</v>
      </c>
    </row>
    <row r="3503" spans="1:6">
      <c r="C3503" t="str">
        <f t="shared" si="245"/>
        <v>4</v>
      </c>
      <c r="D3503">
        <v>27</v>
      </c>
      <c r="E3503" t="str">
        <f>"99999"</f>
        <v>99999</v>
      </c>
      <c r="F3503" t="str">
        <f t="shared" si="246"/>
        <v>0000</v>
      </c>
    </row>
    <row r="3504" spans="1:6">
      <c r="C3504" t="str">
        <f t="shared" si="245"/>
        <v>4</v>
      </c>
      <c r="D3504">
        <v>27</v>
      </c>
      <c r="E3504" t="str">
        <f>"975"</f>
        <v>975</v>
      </c>
      <c r="F3504" t="str">
        <f t="shared" si="246"/>
        <v>0000</v>
      </c>
    </row>
    <row r="3505" spans="1:6">
      <c r="C3505" t="str">
        <f t="shared" si="245"/>
        <v>4</v>
      </c>
      <c r="D3505">
        <v>27</v>
      </c>
      <c r="E3505" t="str">
        <f>"678"</f>
        <v>678</v>
      </c>
      <c r="F3505" t="str">
        <f t="shared" si="246"/>
        <v>0000</v>
      </c>
    </row>
    <row r="3506" spans="1:6">
      <c r="C3506" t="str">
        <f t="shared" si="245"/>
        <v>4</v>
      </c>
      <c r="D3506">
        <v>27</v>
      </c>
      <c r="E3506" t="str">
        <f>"677"</f>
        <v>677</v>
      </c>
      <c r="F3506" t="str">
        <f t="shared" si="246"/>
        <v>0000</v>
      </c>
    </row>
    <row r="3507" spans="1:6">
      <c r="C3507" t="str">
        <f t="shared" si="245"/>
        <v>4</v>
      </c>
      <c r="D3507">
        <v>27</v>
      </c>
      <c r="E3507" t="str">
        <f>"676"</f>
        <v>676</v>
      </c>
      <c r="F3507" t="str">
        <f t="shared" si="246"/>
        <v>0000</v>
      </c>
    </row>
    <row r="3508" spans="1:6">
      <c r="C3508" t="str">
        <f t="shared" si="245"/>
        <v>4</v>
      </c>
      <c r="D3508">
        <v>27</v>
      </c>
      <c r="E3508" t="str">
        <f>"589"</f>
        <v>589</v>
      </c>
      <c r="F3508" t="str">
        <f t="shared" si="246"/>
        <v>0000</v>
      </c>
    </row>
    <row r="3509" spans="1:6">
      <c r="C3509" t="str">
        <f t="shared" si="245"/>
        <v>4</v>
      </c>
      <c r="D3509">
        <v>27</v>
      </c>
      <c r="E3509" t="str">
        <f>"588"</f>
        <v>588</v>
      </c>
      <c r="F3509" t="str">
        <f t="shared" si="246"/>
        <v>0000</v>
      </c>
    </row>
    <row r="3510" spans="1:6">
      <c r="C3510" t="str">
        <f t="shared" si="245"/>
        <v>4</v>
      </c>
      <c r="D3510">
        <v>27</v>
      </c>
      <c r="E3510" t="str">
        <f>"587"</f>
        <v>587</v>
      </c>
      <c r="F3510" t="str">
        <f t="shared" si="246"/>
        <v>0000</v>
      </c>
    </row>
    <row r="3511" spans="1:6">
      <c r="C3511" t="str">
        <f t="shared" si="245"/>
        <v>4</v>
      </c>
      <c r="D3511">
        <v>27</v>
      </c>
      <c r="E3511" t="str">
        <f>"1855"</f>
        <v>1855</v>
      </c>
      <c r="F3511" t="str">
        <f t="shared" si="246"/>
        <v>0000</v>
      </c>
    </row>
    <row r="3512" spans="1:6">
      <c r="C3512" t="str">
        <f t="shared" si="245"/>
        <v>4</v>
      </c>
      <c r="D3512">
        <v>27</v>
      </c>
      <c r="E3512" t="str">
        <f>"1241"</f>
        <v>1241</v>
      </c>
      <c r="F3512" t="str">
        <f t="shared" si="246"/>
        <v>0000</v>
      </c>
    </row>
    <row r="3513" spans="1:6">
      <c r="C3513" t="str">
        <f t="shared" si="245"/>
        <v>4</v>
      </c>
      <c r="D3513">
        <v>27</v>
      </c>
      <c r="E3513" t="str">
        <f>"1422"</f>
        <v>1422</v>
      </c>
      <c r="F3513" t="str">
        <f t="shared" si="246"/>
        <v>0000</v>
      </c>
    </row>
    <row r="3514" spans="1:6">
      <c r="C3514" t="str">
        <f t="shared" si="245"/>
        <v>4</v>
      </c>
      <c r="D3514">
        <v>27</v>
      </c>
      <c r="E3514" t="str">
        <f>"1421"</f>
        <v>1421</v>
      </c>
      <c r="F3514" t="str">
        <f t="shared" si="246"/>
        <v>0000</v>
      </c>
    </row>
    <row r="3515" spans="1:6">
      <c r="A3515" t="str">
        <f>"E1235-498"</f>
        <v>E1235-498</v>
      </c>
      <c r="B3515" t="str">
        <f>"VIA FELICE MARITANO  95-"</f>
        <v>VIA FELICE MARITANO  95-</v>
      </c>
      <c r="C3515" t="str">
        <f t="shared" ref="C3515:C3578" si="247">"4"</f>
        <v>4</v>
      </c>
      <c r="D3515">
        <v>27</v>
      </c>
      <c r="E3515" t="str">
        <f>"124"</f>
        <v>124</v>
      </c>
      <c r="F3515" t="str">
        <f t="shared" ref="F3515:F3578" si="248">"0000"</f>
        <v>0000</v>
      </c>
    </row>
    <row r="3516" spans="1:6">
      <c r="C3516" t="str">
        <f t="shared" si="247"/>
        <v>4</v>
      </c>
      <c r="D3516">
        <v>27</v>
      </c>
      <c r="E3516" t="str">
        <f>"1241"</f>
        <v>1241</v>
      </c>
      <c r="F3516" t="str">
        <f t="shared" si="248"/>
        <v>0000</v>
      </c>
    </row>
    <row r="3517" spans="1:6">
      <c r="C3517" t="str">
        <f t="shared" si="247"/>
        <v>4</v>
      </c>
      <c r="D3517">
        <v>27</v>
      </c>
      <c r="E3517" t="str">
        <f>"1422"</f>
        <v>1422</v>
      </c>
      <c r="F3517" t="str">
        <f t="shared" si="248"/>
        <v>0000</v>
      </c>
    </row>
    <row r="3518" spans="1:6">
      <c r="C3518" t="str">
        <f t="shared" si="247"/>
        <v>4</v>
      </c>
      <c r="D3518">
        <v>27</v>
      </c>
      <c r="E3518" t="str">
        <f>"587"</f>
        <v>587</v>
      </c>
      <c r="F3518" t="str">
        <f t="shared" si="248"/>
        <v>0000</v>
      </c>
    </row>
    <row r="3519" spans="1:6">
      <c r="C3519" t="str">
        <f t="shared" si="247"/>
        <v>4</v>
      </c>
      <c r="D3519">
        <v>27</v>
      </c>
      <c r="E3519" t="str">
        <f>"589"</f>
        <v>589</v>
      </c>
      <c r="F3519" t="str">
        <f t="shared" si="248"/>
        <v>0000</v>
      </c>
    </row>
    <row r="3520" spans="1:6">
      <c r="C3520" t="str">
        <f t="shared" si="247"/>
        <v>4</v>
      </c>
      <c r="D3520">
        <v>27</v>
      </c>
      <c r="E3520" t="str">
        <f>"99999"</f>
        <v>99999</v>
      </c>
      <c r="F3520" t="str">
        <f t="shared" si="248"/>
        <v>0000</v>
      </c>
    </row>
    <row r="3521" spans="1:6">
      <c r="C3521" t="str">
        <f t="shared" si="247"/>
        <v>4</v>
      </c>
      <c r="D3521">
        <v>27</v>
      </c>
      <c r="E3521" t="str">
        <f>"975"</f>
        <v>975</v>
      </c>
      <c r="F3521" t="str">
        <f t="shared" si="248"/>
        <v>0000</v>
      </c>
    </row>
    <row r="3522" spans="1:6">
      <c r="C3522" t="str">
        <f t="shared" si="247"/>
        <v>4</v>
      </c>
      <c r="D3522">
        <v>27</v>
      </c>
      <c r="E3522" t="str">
        <f>"678"</f>
        <v>678</v>
      </c>
      <c r="F3522" t="str">
        <f t="shared" si="248"/>
        <v>0000</v>
      </c>
    </row>
    <row r="3523" spans="1:6">
      <c r="C3523" t="str">
        <f t="shared" si="247"/>
        <v>4</v>
      </c>
      <c r="D3523">
        <v>27</v>
      </c>
      <c r="E3523" t="str">
        <f>"677"</f>
        <v>677</v>
      </c>
      <c r="F3523" t="str">
        <f t="shared" si="248"/>
        <v>0000</v>
      </c>
    </row>
    <row r="3524" spans="1:6">
      <c r="C3524" t="str">
        <f t="shared" si="247"/>
        <v>4</v>
      </c>
      <c r="D3524">
        <v>27</v>
      </c>
      <c r="E3524" t="str">
        <f>"676"</f>
        <v>676</v>
      </c>
      <c r="F3524" t="str">
        <f t="shared" si="248"/>
        <v>0000</v>
      </c>
    </row>
    <row r="3525" spans="1:6">
      <c r="C3525" t="str">
        <f t="shared" si="247"/>
        <v>4</v>
      </c>
      <c r="D3525">
        <v>27</v>
      </c>
      <c r="E3525" t="str">
        <f>"588"</f>
        <v>588</v>
      </c>
      <c r="F3525" t="str">
        <f t="shared" si="248"/>
        <v>0000</v>
      </c>
    </row>
    <row r="3526" spans="1:6">
      <c r="C3526" t="str">
        <f t="shared" si="247"/>
        <v>4</v>
      </c>
      <c r="D3526">
        <v>27</v>
      </c>
      <c r="E3526" t="str">
        <f>"1855"</f>
        <v>1855</v>
      </c>
      <c r="F3526" t="str">
        <f t="shared" si="248"/>
        <v>0000</v>
      </c>
    </row>
    <row r="3527" spans="1:6">
      <c r="C3527" t="str">
        <f t="shared" si="247"/>
        <v>4</v>
      </c>
      <c r="D3527">
        <v>27</v>
      </c>
      <c r="E3527" t="str">
        <f>"1421"</f>
        <v>1421</v>
      </c>
      <c r="F3527" t="str">
        <f t="shared" si="248"/>
        <v>0000</v>
      </c>
    </row>
    <row r="3528" spans="1:6">
      <c r="A3528" t="str">
        <f>"E1235-499"</f>
        <v>E1235-499</v>
      </c>
      <c r="B3528" t="str">
        <f>"VIA FELICE MARITANO  95-"</f>
        <v>VIA FELICE MARITANO  95-</v>
      </c>
      <c r="C3528" t="str">
        <f t="shared" si="247"/>
        <v>4</v>
      </c>
      <c r="D3528">
        <v>27</v>
      </c>
      <c r="E3528" t="str">
        <f>"124"</f>
        <v>124</v>
      </c>
      <c r="F3528" t="str">
        <f t="shared" si="248"/>
        <v>0000</v>
      </c>
    </row>
    <row r="3529" spans="1:6">
      <c r="C3529" t="str">
        <f t="shared" si="247"/>
        <v>4</v>
      </c>
      <c r="D3529">
        <v>27</v>
      </c>
      <c r="E3529" t="str">
        <f>"1421"</f>
        <v>1421</v>
      </c>
      <c r="F3529" t="str">
        <f t="shared" si="248"/>
        <v>0000</v>
      </c>
    </row>
    <row r="3530" spans="1:6">
      <c r="C3530" t="str">
        <f t="shared" si="247"/>
        <v>4</v>
      </c>
      <c r="D3530">
        <v>27</v>
      </c>
      <c r="E3530" t="str">
        <f>"1422"</f>
        <v>1422</v>
      </c>
      <c r="F3530" t="str">
        <f t="shared" si="248"/>
        <v>0000</v>
      </c>
    </row>
    <row r="3531" spans="1:6">
      <c r="C3531" t="str">
        <f t="shared" si="247"/>
        <v>4</v>
      </c>
      <c r="D3531">
        <v>27</v>
      </c>
      <c r="E3531" t="str">
        <f>"1241"</f>
        <v>1241</v>
      </c>
      <c r="F3531" t="str">
        <f t="shared" si="248"/>
        <v>0000</v>
      </c>
    </row>
    <row r="3532" spans="1:6">
      <c r="C3532" t="str">
        <f t="shared" si="247"/>
        <v>4</v>
      </c>
      <c r="D3532">
        <v>27</v>
      </c>
      <c r="E3532" t="str">
        <f>"1855"</f>
        <v>1855</v>
      </c>
      <c r="F3532" t="str">
        <f t="shared" si="248"/>
        <v>0000</v>
      </c>
    </row>
    <row r="3533" spans="1:6">
      <c r="C3533" t="str">
        <f t="shared" si="247"/>
        <v>4</v>
      </c>
      <c r="D3533">
        <v>27</v>
      </c>
      <c r="E3533" t="str">
        <f>"588"</f>
        <v>588</v>
      </c>
      <c r="F3533" t="str">
        <f t="shared" si="248"/>
        <v>0000</v>
      </c>
    </row>
    <row r="3534" spans="1:6">
      <c r="C3534" t="str">
        <f t="shared" si="247"/>
        <v>4</v>
      </c>
      <c r="D3534">
        <v>27</v>
      </c>
      <c r="E3534" t="str">
        <f>"676"</f>
        <v>676</v>
      </c>
      <c r="F3534" t="str">
        <f t="shared" si="248"/>
        <v>0000</v>
      </c>
    </row>
    <row r="3535" spans="1:6">
      <c r="C3535" t="str">
        <f t="shared" si="247"/>
        <v>4</v>
      </c>
      <c r="D3535">
        <v>27</v>
      </c>
      <c r="E3535" t="str">
        <f>"678"</f>
        <v>678</v>
      </c>
      <c r="F3535" t="str">
        <f t="shared" si="248"/>
        <v>0000</v>
      </c>
    </row>
    <row r="3536" spans="1:6">
      <c r="C3536" t="str">
        <f t="shared" si="247"/>
        <v>4</v>
      </c>
      <c r="D3536">
        <v>27</v>
      </c>
      <c r="E3536" t="str">
        <f>"99999"</f>
        <v>99999</v>
      </c>
      <c r="F3536" t="str">
        <f t="shared" si="248"/>
        <v>0000</v>
      </c>
    </row>
    <row r="3537" spans="1:6">
      <c r="C3537" t="str">
        <f t="shared" si="247"/>
        <v>4</v>
      </c>
      <c r="D3537">
        <v>27</v>
      </c>
      <c r="E3537" t="str">
        <f>"975"</f>
        <v>975</v>
      </c>
      <c r="F3537" t="str">
        <f t="shared" si="248"/>
        <v>0000</v>
      </c>
    </row>
    <row r="3538" spans="1:6">
      <c r="C3538" t="str">
        <f t="shared" si="247"/>
        <v>4</v>
      </c>
      <c r="D3538">
        <v>27</v>
      </c>
      <c r="E3538" t="str">
        <f>"677"</f>
        <v>677</v>
      </c>
      <c r="F3538" t="str">
        <f t="shared" si="248"/>
        <v>0000</v>
      </c>
    </row>
    <row r="3539" spans="1:6">
      <c r="C3539" t="str">
        <f t="shared" si="247"/>
        <v>4</v>
      </c>
      <c r="D3539">
        <v>27</v>
      </c>
      <c r="E3539" t="str">
        <f>"589"</f>
        <v>589</v>
      </c>
      <c r="F3539" t="str">
        <f t="shared" si="248"/>
        <v>0000</v>
      </c>
    </row>
    <row r="3540" spans="1:6">
      <c r="C3540" t="str">
        <f t="shared" si="247"/>
        <v>4</v>
      </c>
      <c r="D3540">
        <v>27</v>
      </c>
      <c r="E3540" t="str">
        <f>"587"</f>
        <v>587</v>
      </c>
      <c r="F3540" t="str">
        <f t="shared" si="248"/>
        <v>0000</v>
      </c>
    </row>
    <row r="3541" spans="1:6">
      <c r="A3541" t="str">
        <f>"E1235-500"</f>
        <v>E1235-500</v>
      </c>
      <c r="B3541" t="str">
        <f>"VIA FELICE MARITANO  95-"</f>
        <v>VIA FELICE MARITANO  95-</v>
      </c>
      <c r="C3541" t="str">
        <f t="shared" si="247"/>
        <v>4</v>
      </c>
      <c r="D3541">
        <v>27</v>
      </c>
      <c r="E3541" t="str">
        <f>"124"</f>
        <v>124</v>
      </c>
      <c r="F3541" t="str">
        <f t="shared" si="248"/>
        <v>0000</v>
      </c>
    </row>
    <row r="3542" spans="1:6">
      <c r="C3542" t="str">
        <f t="shared" si="247"/>
        <v>4</v>
      </c>
      <c r="D3542">
        <v>27</v>
      </c>
      <c r="E3542" t="str">
        <f>"1422"</f>
        <v>1422</v>
      </c>
      <c r="F3542" t="str">
        <f t="shared" si="248"/>
        <v>0000</v>
      </c>
    </row>
    <row r="3543" spans="1:6">
      <c r="C3543" t="str">
        <f t="shared" si="247"/>
        <v>4</v>
      </c>
      <c r="D3543">
        <v>27</v>
      </c>
      <c r="E3543" t="str">
        <f>"587"</f>
        <v>587</v>
      </c>
      <c r="F3543" t="str">
        <f t="shared" si="248"/>
        <v>0000</v>
      </c>
    </row>
    <row r="3544" spans="1:6">
      <c r="C3544" t="str">
        <f t="shared" si="247"/>
        <v>4</v>
      </c>
      <c r="D3544">
        <v>27</v>
      </c>
      <c r="E3544" t="str">
        <f>"99999"</f>
        <v>99999</v>
      </c>
      <c r="F3544" t="str">
        <f t="shared" si="248"/>
        <v>0000</v>
      </c>
    </row>
    <row r="3545" spans="1:6">
      <c r="C3545" t="str">
        <f t="shared" si="247"/>
        <v>4</v>
      </c>
      <c r="D3545">
        <v>27</v>
      </c>
      <c r="E3545" t="str">
        <f>"975"</f>
        <v>975</v>
      </c>
      <c r="F3545" t="str">
        <f t="shared" si="248"/>
        <v>0000</v>
      </c>
    </row>
    <row r="3546" spans="1:6">
      <c r="C3546" t="str">
        <f t="shared" si="247"/>
        <v>4</v>
      </c>
      <c r="D3546">
        <v>27</v>
      </c>
      <c r="E3546" t="str">
        <f>"678"</f>
        <v>678</v>
      </c>
      <c r="F3546" t="str">
        <f t="shared" si="248"/>
        <v>0000</v>
      </c>
    </row>
    <row r="3547" spans="1:6">
      <c r="C3547" t="str">
        <f t="shared" si="247"/>
        <v>4</v>
      </c>
      <c r="D3547">
        <v>27</v>
      </c>
      <c r="E3547" t="str">
        <f>"677"</f>
        <v>677</v>
      </c>
      <c r="F3547" t="str">
        <f t="shared" si="248"/>
        <v>0000</v>
      </c>
    </row>
    <row r="3548" spans="1:6">
      <c r="C3548" t="str">
        <f t="shared" si="247"/>
        <v>4</v>
      </c>
      <c r="D3548">
        <v>27</v>
      </c>
      <c r="E3548" t="str">
        <f>"676"</f>
        <v>676</v>
      </c>
      <c r="F3548" t="str">
        <f t="shared" si="248"/>
        <v>0000</v>
      </c>
    </row>
    <row r="3549" spans="1:6">
      <c r="C3549" t="str">
        <f t="shared" si="247"/>
        <v>4</v>
      </c>
      <c r="D3549">
        <v>27</v>
      </c>
      <c r="E3549" t="str">
        <f>"589"</f>
        <v>589</v>
      </c>
      <c r="F3549" t="str">
        <f t="shared" si="248"/>
        <v>0000</v>
      </c>
    </row>
    <row r="3550" spans="1:6">
      <c r="C3550" t="str">
        <f t="shared" si="247"/>
        <v>4</v>
      </c>
      <c r="D3550">
        <v>27</v>
      </c>
      <c r="E3550" t="str">
        <f>"588"</f>
        <v>588</v>
      </c>
      <c r="F3550" t="str">
        <f t="shared" si="248"/>
        <v>0000</v>
      </c>
    </row>
    <row r="3551" spans="1:6">
      <c r="C3551" t="str">
        <f t="shared" si="247"/>
        <v>4</v>
      </c>
      <c r="D3551">
        <v>27</v>
      </c>
      <c r="E3551" t="str">
        <f>"1855"</f>
        <v>1855</v>
      </c>
      <c r="F3551" t="str">
        <f t="shared" si="248"/>
        <v>0000</v>
      </c>
    </row>
    <row r="3552" spans="1:6">
      <c r="C3552" t="str">
        <f t="shared" si="247"/>
        <v>4</v>
      </c>
      <c r="D3552">
        <v>27</v>
      </c>
      <c r="E3552" t="str">
        <f>"1421"</f>
        <v>1421</v>
      </c>
      <c r="F3552" t="str">
        <f t="shared" si="248"/>
        <v>0000</v>
      </c>
    </row>
    <row r="3553" spans="1:6">
      <c r="C3553" t="str">
        <f t="shared" si="247"/>
        <v>4</v>
      </c>
      <c r="D3553">
        <v>27</v>
      </c>
      <c r="E3553" t="str">
        <f>"1241"</f>
        <v>1241</v>
      </c>
      <c r="F3553" t="str">
        <f t="shared" si="248"/>
        <v>0000</v>
      </c>
    </row>
    <row r="3554" spans="1:6">
      <c r="A3554" t="str">
        <f>"E1235-501"</f>
        <v>E1235-501</v>
      </c>
      <c r="B3554" t="str">
        <f>"VIA FELICE MARITANO  95-"</f>
        <v>VIA FELICE MARITANO  95-</v>
      </c>
      <c r="C3554" t="str">
        <f t="shared" si="247"/>
        <v>4</v>
      </c>
      <c r="D3554">
        <v>27</v>
      </c>
      <c r="E3554" t="str">
        <f>"124"</f>
        <v>124</v>
      </c>
      <c r="F3554" t="str">
        <f t="shared" si="248"/>
        <v>0000</v>
      </c>
    </row>
    <row r="3555" spans="1:6">
      <c r="C3555" t="str">
        <f t="shared" si="247"/>
        <v>4</v>
      </c>
      <c r="D3555">
        <v>27</v>
      </c>
      <c r="E3555" t="str">
        <f>"1241"</f>
        <v>1241</v>
      </c>
      <c r="F3555" t="str">
        <f t="shared" si="248"/>
        <v>0000</v>
      </c>
    </row>
    <row r="3556" spans="1:6">
      <c r="C3556" t="str">
        <f t="shared" si="247"/>
        <v>4</v>
      </c>
      <c r="D3556">
        <v>27</v>
      </c>
      <c r="E3556" t="str">
        <f>"1421"</f>
        <v>1421</v>
      </c>
      <c r="F3556" t="str">
        <f t="shared" si="248"/>
        <v>0000</v>
      </c>
    </row>
    <row r="3557" spans="1:6">
      <c r="C3557" t="str">
        <f t="shared" si="247"/>
        <v>4</v>
      </c>
      <c r="D3557">
        <v>27</v>
      </c>
      <c r="E3557" t="str">
        <f>"1855"</f>
        <v>1855</v>
      </c>
      <c r="F3557" t="str">
        <f t="shared" si="248"/>
        <v>0000</v>
      </c>
    </row>
    <row r="3558" spans="1:6">
      <c r="C3558" t="str">
        <f t="shared" si="247"/>
        <v>4</v>
      </c>
      <c r="D3558">
        <v>27</v>
      </c>
      <c r="E3558" t="str">
        <f>"588"</f>
        <v>588</v>
      </c>
      <c r="F3558" t="str">
        <f t="shared" si="248"/>
        <v>0000</v>
      </c>
    </row>
    <row r="3559" spans="1:6">
      <c r="C3559" t="str">
        <f t="shared" si="247"/>
        <v>4</v>
      </c>
      <c r="D3559">
        <v>27</v>
      </c>
      <c r="E3559" t="str">
        <f>"676"</f>
        <v>676</v>
      </c>
      <c r="F3559" t="str">
        <f t="shared" si="248"/>
        <v>0000</v>
      </c>
    </row>
    <row r="3560" spans="1:6">
      <c r="C3560" t="str">
        <f t="shared" si="247"/>
        <v>4</v>
      </c>
      <c r="D3560">
        <v>27</v>
      </c>
      <c r="E3560" t="str">
        <f>"99999"</f>
        <v>99999</v>
      </c>
      <c r="F3560" t="str">
        <f t="shared" si="248"/>
        <v>0000</v>
      </c>
    </row>
    <row r="3561" spans="1:6">
      <c r="C3561" t="str">
        <f t="shared" si="247"/>
        <v>4</v>
      </c>
      <c r="D3561">
        <v>27</v>
      </c>
      <c r="E3561" t="str">
        <f>"975"</f>
        <v>975</v>
      </c>
      <c r="F3561" t="str">
        <f t="shared" si="248"/>
        <v>0000</v>
      </c>
    </row>
    <row r="3562" spans="1:6">
      <c r="C3562" t="str">
        <f t="shared" si="247"/>
        <v>4</v>
      </c>
      <c r="D3562">
        <v>27</v>
      </c>
      <c r="E3562" t="str">
        <f>"678"</f>
        <v>678</v>
      </c>
      <c r="F3562" t="str">
        <f t="shared" si="248"/>
        <v>0000</v>
      </c>
    </row>
    <row r="3563" spans="1:6">
      <c r="C3563" t="str">
        <f t="shared" si="247"/>
        <v>4</v>
      </c>
      <c r="D3563">
        <v>27</v>
      </c>
      <c r="E3563" t="str">
        <f>"677"</f>
        <v>677</v>
      </c>
      <c r="F3563" t="str">
        <f t="shared" si="248"/>
        <v>0000</v>
      </c>
    </row>
    <row r="3564" spans="1:6">
      <c r="C3564" t="str">
        <f t="shared" si="247"/>
        <v>4</v>
      </c>
      <c r="D3564">
        <v>27</v>
      </c>
      <c r="E3564" t="str">
        <f>"589"</f>
        <v>589</v>
      </c>
      <c r="F3564" t="str">
        <f t="shared" si="248"/>
        <v>0000</v>
      </c>
    </row>
    <row r="3565" spans="1:6">
      <c r="C3565" t="str">
        <f t="shared" si="247"/>
        <v>4</v>
      </c>
      <c r="D3565">
        <v>27</v>
      </c>
      <c r="E3565" t="str">
        <f>"587"</f>
        <v>587</v>
      </c>
      <c r="F3565" t="str">
        <f t="shared" si="248"/>
        <v>0000</v>
      </c>
    </row>
    <row r="3566" spans="1:6">
      <c r="C3566" t="str">
        <f t="shared" si="247"/>
        <v>4</v>
      </c>
      <c r="D3566">
        <v>27</v>
      </c>
      <c r="E3566" t="str">
        <f>"1422"</f>
        <v>1422</v>
      </c>
      <c r="F3566" t="str">
        <f t="shared" si="248"/>
        <v>0000</v>
      </c>
    </row>
    <row r="3567" spans="1:6">
      <c r="A3567" t="str">
        <f>"E1235-502"</f>
        <v>E1235-502</v>
      </c>
      <c r="B3567" t="str">
        <f>"VIA FELICE MARITANO  95-"</f>
        <v>VIA FELICE MARITANO  95-</v>
      </c>
      <c r="C3567" t="str">
        <f t="shared" si="247"/>
        <v>4</v>
      </c>
      <c r="D3567">
        <v>27</v>
      </c>
      <c r="E3567" t="str">
        <f>"124"</f>
        <v>124</v>
      </c>
      <c r="F3567" t="str">
        <f t="shared" si="248"/>
        <v>0000</v>
      </c>
    </row>
    <row r="3568" spans="1:6">
      <c r="C3568" t="str">
        <f t="shared" si="247"/>
        <v>4</v>
      </c>
      <c r="D3568">
        <v>27</v>
      </c>
      <c r="E3568" t="str">
        <f>"99999"</f>
        <v>99999</v>
      </c>
      <c r="F3568" t="str">
        <f t="shared" si="248"/>
        <v>0000</v>
      </c>
    </row>
    <row r="3569" spans="1:6">
      <c r="C3569" t="str">
        <f t="shared" si="247"/>
        <v>4</v>
      </c>
      <c r="D3569">
        <v>27</v>
      </c>
      <c r="E3569" t="str">
        <f>"975"</f>
        <v>975</v>
      </c>
      <c r="F3569" t="str">
        <f t="shared" si="248"/>
        <v>0000</v>
      </c>
    </row>
    <row r="3570" spans="1:6">
      <c r="C3570" t="str">
        <f t="shared" si="247"/>
        <v>4</v>
      </c>
      <c r="D3570">
        <v>27</v>
      </c>
      <c r="E3570" t="str">
        <f>"678"</f>
        <v>678</v>
      </c>
      <c r="F3570" t="str">
        <f t="shared" si="248"/>
        <v>0000</v>
      </c>
    </row>
    <row r="3571" spans="1:6">
      <c r="C3571" t="str">
        <f t="shared" si="247"/>
        <v>4</v>
      </c>
      <c r="D3571">
        <v>27</v>
      </c>
      <c r="E3571" t="str">
        <f>"677"</f>
        <v>677</v>
      </c>
      <c r="F3571" t="str">
        <f t="shared" si="248"/>
        <v>0000</v>
      </c>
    </row>
    <row r="3572" spans="1:6">
      <c r="C3572" t="str">
        <f t="shared" si="247"/>
        <v>4</v>
      </c>
      <c r="D3572">
        <v>27</v>
      </c>
      <c r="E3572" t="str">
        <f>"676"</f>
        <v>676</v>
      </c>
      <c r="F3572" t="str">
        <f t="shared" si="248"/>
        <v>0000</v>
      </c>
    </row>
    <row r="3573" spans="1:6">
      <c r="C3573" t="str">
        <f t="shared" si="247"/>
        <v>4</v>
      </c>
      <c r="D3573">
        <v>27</v>
      </c>
      <c r="E3573" t="str">
        <f>"589"</f>
        <v>589</v>
      </c>
      <c r="F3573" t="str">
        <f t="shared" si="248"/>
        <v>0000</v>
      </c>
    </row>
    <row r="3574" spans="1:6">
      <c r="C3574" t="str">
        <f t="shared" si="247"/>
        <v>4</v>
      </c>
      <c r="D3574">
        <v>27</v>
      </c>
      <c r="E3574" t="str">
        <f>"588"</f>
        <v>588</v>
      </c>
      <c r="F3574" t="str">
        <f t="shared" si="248"/>
        <v>0000</v>
      </c>
    </row>
    <row r="3575" spans="1:6">
      <c r="C3575" t="str">
        <f t="shared" si="247"/>
        <v>4</v>
      </c>
      <c r="D3575">
        <v>27</v>
      </c>
      <c r="E3575" t="str">
        <f>"587"</f>
        <v>587</v>
      </c>
      <c r="F3575" t="str">
        <f t="shared" si="248"/>
        <v>0000</v>
      </c>
    </row>
    <row r="3576" spans="1:6">
      <c r="C3576" t="str">
        <f t="shared" si="247"/>
        <v>4</v>
      </c>
      <c r="D3576">
        <v>27</v>
      </c>
      <c r="E3576" t="str">
        <f>"1855"</f>
        <v>1855</v>
      </c>
      <c r="F3576" t="str">
        <f t="shared" si="248"/>
        <v>0000</v>
      </c>
    </row>
    <row r="3577" spans="1:6">
      <c r="C3577" t="str">
        <f t="shared" si="247"/>
        <v>4</v>
      </c>
      <c r="D3577">
        <v>27</v>
      </c>
      <c r="E3577" t="str">
        <f>"1241"</f>
        <v>1241</v>
      </c>
      <c r="F3577" t="str">
        <f t="shared" si="248"/>
        <v>0000</v>
      </c>
    </row>
    <row r="3578" spans="1:6">
      <c r="C3578" t="str">
        <f t="shared" si="247"/>
        <v>4</v>
      </c>
      <c r="D3578">
        <v>27</v>
      </c>
      <c r="E3578" t="str">
        <f>"1422"</f>
        <v>1422</v>
      </c>
      <c r="F3578" t="str">
        <f t="shared" si="248"/>
        <v>0000</v>
      </c>
    </row>
    <row r="3579" spans="1:6">
      <c r="C3579" t="str">
        <f t="shared" ref="C3579:C3642" si="249">"4"</f>
        <v>4</v>
      </c>
      <c r="D3579">
        <v>27</v>
      </c>
      <c r="E3579" t="str">
        <f>"1421"</f>
        <v>1421</v>
      </c>
      <c r="F3579" t="str">
        <f t="shared" ref="F3579:F3642" si="250">"0000"</f>
        <v>0000</v>
      </c>
    </row>
    <row r="3580" spans="1:6">
      <c r="A3580" t="str">
        <f>"E1235-503"</f>
        <v>E1235-503</v>
      </c>
      <c r="B3580" t="str">
        <f>"VIA FELICE MARITANO  95-"</f>
        <v>VIA FELICE MARITANO  95-</v>
      </c>
      <c r="C3580" t="str">
        <f t="shared" si="249"/>
        <v>4</v>
      </c>
      <c r="D3580">
        <v>27</v>
      </c>
      <c r="E3580" t="str">
        <f>"124"</f>
        <v>124</v>
      </c>
      <c r="F3580" t="str">
        <f t="shared" si="250"/>
        <v>0000</v>
      </c>
    </row>
    <row r="3581" spans="1:6">
      <c r="C3581" t="str">
        <f t="shared" si="249"/>
        <v>4</v>
      </c>
      <c r="D3581">
        <v>27</v>
      </c>
      <c r="E3581" t="str">
        <f>"1241"</f>
        <v>1241</v>
      </c>
      <c r="F3581" t="str">
        <f t="shared" si="250"/>
        <v>0000</v>
      </c>
    </row>
    <row r="3582" spans="1:6">
      <c r="C3582" t="str">
        <f t="shared" si="249"/>
        <v>4</v>
      </c>
      <c r="D3582">
        <v>27</v>
      </c>
      <c r="E3582" t="str">
        <f>"1422"</f>
        <v>1422</v>
      </c>
      <c r="F3582" t="str">
        <f t="shared" si="250"/>
        <v>0000</v>
      </c>
    </row>
    <row r="3583" spans="1:6">
      <c r="C3583" t="str">
        <f t="shared" si="249"/>
        <v>4</v>
      </c>
      <c r="D3583">
        <v>27</v>
      </c>
      <c r="E3583" t="str">
        <f>"587"</f>
        <v>587</v>
      </c>
      <c r="F3583" t="str">
        <f t="shared" si="250"/>
        <v>0000</v>
      </c>
    </row>
    <row r="3584" spans="1:6">
      <c r="C3584" t="str">
        <f t="shared" si="249"/>
        <v>4</v>
      </c>
      <c r="D3584">
        <v>27</v>
      </c>
      <c r="E3584" t="str">
        <f>"589"</f>
        <v>589</v>
      </c>
      <c r="F3584" t="str">
        <f t="shared" si="250"/>
        <v>0000</v>
      </c>
    </row>
    <row r="3585" spans="1:6">
      <c r="C3585" t="str">
        <f t="shared" si="249"/>
        <v>4</v>
      </c>
      <c r="D3585">
        <v>27</v>
      </c>
      <c r="E3585" t="str">
        <f>"99999"</f>
        <v>99999</v>
      </c>
      <c r="F3585" t="str">
        <f t="shared" si="250"/>
        <v>0000</v>
      </c>
    </row>
    <row r="3586" spans="1:6">
      <c r="C3586" t="str">
        <f t="shared" si="249"/>
        <v>4</v>
      </c>
      <c r="D3586">
        <v>27</v>
      </c>
      <c r="E3586" t="str">
        <f>"975"</f>
        <v>975</v>
      </c>
      <c r="F3586" t="str">
        <f t="shared" si="250"/>
        <v>0000</v>
      </c>
    </row>
    <row r="3587" spans="1:6">
      <c r="C3587" t="str">
        <f t="shared" si="249"/>
        <v>4</v>
      </c>
      <c r="D3587">
        <v>27</v>
      </c>
      <c r="E3587" t="str">
        <f>"678"</f>
        <v>678</v>
      </c>
      <c r="F3587" t="str">
        <f t="shared" si="250"/>
        <v>0000</v>
      </c>
    </row>
    <row r="3588" spans="1:6">
      <c r="C3588" t="str">
        <f t="shared" si="249"/>
        <v>4</v>
      </c>
      <c r="D3588">
        <v>27</v>
      </c>
      <c r="E3588" t="str">
        <f>"677"</f>
        <v>677</v>
      </c>
      <c r="F3588" t="str">
        <f t="shared" si="250"/>
        <v>0000</v>
      </c>
    </row>
    <row r="3589" spans="1:6">
      <c r="C3589" t="str">
        <f t="shared" si="249"/>
        <v>4</v>
      </c>
      <c r="D3589">
        <v>27</v>
      </c>
      <c r="E3589" t="str">
        <f>"676"</f>
        <v>676</v>
      </c>
      <c r="F3589" t="str">
        <f t="shared" si="250"/>
        <v>0000</v>
      </c>
    </row>
    <row r="3590" spans="1:6">
      <c r="C3590" t="str">
        <f t="shared" si="249"/>
        <v>4</v>
      </c>
      <c r="D3590">
        <v>27</v>
      </c>
      <c r="E3590" t="str">
        <f>"588"</f>
        <v>588</v>
      </c>
      <c r="F3590" t="str">
        <f t="shared" si="250"/>
        <v>0000</v>
      </c>
    </row>
    <row r="3591" spans="1:6">
      <c r="C3591" t="str">
        <f t="shared" si="249"/>
        <v>4</v>
      </c>
      <c r="D3591">
        <v>27</v>
      </c>
      <c r="E3591" t="str">
        <f>"1855"</f>
        <v>1855</v>
      </c>
      <c r="F3591" t="str">
        <f t="shared" si="250"/>
        <v>0000</v>
      </c>
    </row>
    <row r="3592" spans="1:6">
      <c r="C3592" t="str">
        <f t="shared" si="249"/>
        <v>4</v>
      </c>
      <c r="D3592">
        <v>27</v>
      </c>
      <c r="E3592" t="str">
        <f>"1421"</f>
        <v>1421</v>
      </c>
      <c r="F3592" t="str">
        <f t="shared" si="250"/>
        <v>0000</v>
      </c>
    </row>
    <row r="3593" spans="1:6">
      <c r="A3593" t="str">
        <f>"E1235-504"</f>
        <v>E1235-504</v>
      </c>
      <c r="B3593" t="str">
        <f>"VIA FELICE MARITANO  95-"</f>
        <v>VIA FELICE MARITANO  95-</v>
      </c>
      <c r="C3593" t="str">
        <f t="shared" si="249"/>
        <v>4</v>
      </c>
      <c r="D3593">
        <v>27</v>
      </c>
      <c r="E3593" t="str">
        <f>"124"</f>
        <v>124</v>
      </c>
      <c r="F3593" t="str">
        <f t="shared" si="250"/>
        <v>0000</v>
      </c>
    </row>
    <row r="3594" spans="1:6">
      <c r="C3594" t="str">
        <f t="shared" si="249"/>
        <v>4</v>
      </c>
      <c r="D3594">
        <v>27</v>
      </c>
      <c r="E3594" t="str">
        <f>"1421"</f>
        <v>1421</v>
      </c>
      <c r="F3594" t="str">
        <f t="shared" si="250"/>
        <v>0000</v>
      </c>
    </row>
    <row r="3595" spans="1:6">
      <c r="C3595" t="str">
        <f t="shared" si="249"/>
        <v>4</v>
      </c>
      <c r="D3595">
        <v>27</v>
      </c>
      <c r="E3595" t="str">
        <f>"1422"</f>
        <v>1422</v>
      </c>
      <c r="F3595" t="str">
        <f t="shared" si="250"/>
        <v>0000</v>
      </c>
    </row>
    <row r="3596" spans="1:6">
      <c r="C3596" t="str">
        <f t="shared" si="249"/>
        <v>4</v>
      </c>
      <c r="D3596">
        <v>27</v>
      </c>
      <c r="E3596" t="str">
        <f>"1241"</f>
        <v>1241</v>
      </c>
      <c r="F3596" t="str">
        <f t="shared" si="250"/>
        <v>0000</v>
      </c>
    </row>
    <row r="3597" spans="1:6">
      <c r="C3597" t="str">
        <f t="shared" si="249"/>
        <v>4</v>
      </c>
      <c r="D3597">
        <v>27</v>
      </c>
      <c r="E3597" t="str">
        <f>"1855"</f>
        <v>1855</v>
      </c>
      <c r="F3597" t="str">
        <f t="shared" si="250"/>
        <v>0000</v>
      </c>
    </row>
    <row r="3598" spans="1:6">
      <c r="C3598" t="str">
        <f t="shared" si="249"/>
        <v>4</v>
      </c>
      <c r="D3598">
        <v>27</v>
      </c>
      <c r="E3598" t="str">
        <f>"588"</f>
        <v>588</v>
      </c>
      <c r="F3598" t="str">
        <f t="shared" si="250"/>
        <v>0000</v>
      </c>
    </row>
    <row r="3599" spans="1:6">
      <c r="C3599" t="str">
        <f t="shared" si="249"/>
        <v>4</v>
      </c>
      <c r="D3599">
        <v>27</v>
      </c>
      <c r="E3599" t="str">
        <f>"676"</f>
        <v>676</v>
      </c>
      <c r="F3599" t="str">
        <f t="shared" si="250"/>
        <v>0000</v>
      </c>
    </row>
    <row r="3600" spans="1:6">
      <c r="C3600" t="str">
        <f t="shared" si="249"/>
        <v>4</v>
      </c>
      <c r="D3600">
        <v>27</v>
      </c>
      <c r="E3600" t="str">
        <f>"678"</f>
        <v>678</v>
      </c>
      <c r="F3600" t="str">
        <f t="shared" si="250"/>
        <v>0000</v>
      </c>
    </row>
    <row r="3601" spans="1:6">
      <c r="C3601" t="str">
        <f t="shared" si="249"/>
        <v>4</v>
      </c>
      <c r="D3601">
        <v>27</v>
      </c>
      <c r="E3601" t="str">
        <f>"99999"</f>
        <v>99999</v>
      </c>
      <c r="F3601" t="str">
        <f t="shared" si="250"/>
        <v>0000</v>
      </c>
    </row>
    <row r="3602" spans="1:6">
      <c r="C3602" t="str">
        <f t="shared" si="249"/>
        <v>4</v>
      </c>
      <c r="D3602">
        <v>27</v>
      </c>
      <c r="E3602" t="str">
        <f>"975"</f>
        <v>975</v>
      </c>
      <c r="F3602" t="str">
        <f t="shared" si="250"/>
        <v>0000</v>
      </c>
    </row>
    <row r="3603" spans="1:6">
      <c r="C3603" t="str">
        <f t="shared" si="249"/>
        <v>4</v>
      </c>
      <c r="D3603">
        <v>27</v>
      </c>
      <c r="E3603" t="str">
        <f>"677"</f>
        <v>677</v>
      </c>
      <c r="F3603" t="str">
        <f t="shared" si="250"/>
        <v>0000</v>
      </c>
    </row>
    <row r="3604" spans="1:6">
      <c r="C3604" t="str">
        <f t="shared" si="249"/>
        <v>4</v>
      </c>
      <c r="D3604">
        <v>27</v>
      </c>
      <c r="E3604" t="str">
        <f>"589"</f>
        <v>589</v>
      </c>
      <c r="F3604" t="str">
        <f t="shared" si="250"/>
        <v>0000</v>
      </c>
    </row>
    <row r="3605" spans="1:6">
      <c r="C3605" t="str">
        <f t="shared" si="249"/>
        <v>4</v>
      </c>
      <c r="D3605">
        <v>27</v>
      </c>
      <c r="E3605" t="str">
        <f>"587"</f>
        <v>587</v>
      </c>
      <c r="F3605" t="str">
        <f t="shared" si="250"/>
        <v>0000</v>
      </c>
    </row>
    <row r="3606" spans="1:6">
      <c r="A3606" t="str">
        <f>"E1235-505"</f>
        <v>E1235-505</v>
      </c>
      <c r="B3606" t="str">
        <f>"VIA FELICE MARITANO  95-"</f>
        <v>VIA FELICE MARITANO  95-</v>
      </c>
      <c r="C3606" t="str">
        <f t="shared" si="249"/>
        <v>4</v>
      </c>
      <c r="D3606">
        <v>27</v>
      </c>
      <c r="E3606" t="str">
        <f>"124"</f>
        <v>124</v>
      </c>
      <c r="F3606" t="str">
        <f t="shared" si="250"/>
        <v>0000</v>
      </c>
    </row>
    <row r="3607" spans="1:6">
      <c r="C3607" t="str">
        <f t="shared" si="249"/>
        <v>4</v>
      </c>
      <c r="D3607">
        <v>27</v>
      </c>
      <c r="E3607" t="str">
        <f>"1422"</f>
        <v>1422</v>
      </c>
      <c r="F3607" t="str">
        <f t="shared" si="250"/>
        <v>0000</v>
      </c>
    </row>
    <row r="3608" spans="1:6">
      <c r="C3608" t="str">
        <f t="shared" si="249"/>
        <v>4</v>
      </c>
      <c r="D3608">
        <v>27</v>
      </c>
      <c r="E3608" t="str">
        <f>"587"</f>
        <v>587</v>
      </c>
      <c r="F3608" t="str">
        <f t="shared" si="250"/>
        <v>0000</v>
      </c>
    </row>
    <row r="3609" spans="1:6">
      <c r="C3609" t="str">
        <f t="shared" si="249"/>
        <v>4</v>
      </c>
      <c r="D3609">
        <v>27</v>
      </c>
      <c r="E3609" t="str">
        <f>"99999"</f>
        <v>99999</v>
      </c>
      <c r="F3609" t="str">
        <f t="shared" si="250"/>
        <v>0000</v>
      </c>
    </row>
    <row r="3610" spans="1:6">
      <c r="C3610" t="str">
        <f t="shared" si="249"/>
        <v>4</v>
      </c>
      <c r="D3610">
        <v>27</v>
      </c>
      <c r="E3610" t="str">
        <f>"975"</f>
        <v>975</v>
      </c>
      <c r="F3610" t="str">
        <f t="shared" si="250"/>
        <v>0000</v>
      </c>
    </row>
    <row r="3611" spans="1:6">
      <c r="C3611" t="str">
        <f t="shared" si="249"/>
        <v>4</v>
      </c>
      <c r="D3611">
        <v>27</v>
      </c>
      <c r="E3611" t="str">
        <f>"678"</f>
        <v>678</v>
      </c>
      <c r="F3611" t="str">
        <f t="shared" si="250"/>
        <v>0000</v>
      </c>
    </row>
    <row r="3612" spans="1:6">
      <c r="C3612" t="str">
        <f t="shared" si="249"/>
        <v>4</v>
      </c>
      <c r="D3612">
        <v>27</v>
      </c>
      <c r="E3612" t="str">
        <f>"677"</f>
        <v>677</v>
      </c>
      <c r="F3612" t="str">
        <f t="shared" si="250"/>
        <v>0000</v>
      </c>
    </row>
    <row r="3613" spans="1:6">
      <c r="C3613" t="str">
        <f t="shared" si="249"/>
        <v>4</v>
      </c>
      <c r="D3613">
        <v>27</v>
      </c>
      <c r="E3613" t="str">
        <f>"676"</f>
        <v>676</v>
      </c>
      <c r="F3613" t="str">
        <f t="shared" si="250"/>
        <v>0000</v>
      </c>
    </row>
    <row r="3614" spans="1:6">
      <c r="C3614" t="str">
        <f t="shared" si="249"/>
        <v>4</v>
      </c>
      <c r="D3614">
        <v>27</v>
      </c>
      <c r="E3614" t="str">
        <f>"589"</f>
        <v>589</v>
      </c>
      <c r="F3614" t="str">
        <f t="shared" si="250"/>
        <v>0000</v>
      </c>
    </row>
    <row r="3615" spans="1:6">
      <c r="C3615" t="str">
        <f t="shared" si="249"/>
        <v>4</v>
      </c>
      <c r="D3615">
        <v>27</v>
      </c>
      <c r="E3615" t="str">
        <f>"588"</f>
        <v>588</v>
      </c>
      <c r="F3615" t="str">
        <f t="shared" si="250"/>
        <v>0000</v>
      </c>
    </row>
    <row r="3616" spans="1:6">
      <c r="C3616" t="str">
        <f t="shared" si="249"/>
        <v>4</v>
      </c>
      <c r="D3616">
        <v>27</v>
      </c>
      <c r="E3616" t="str">
        <f>"1855"</f>
        <v>1855</v>
      </c>
      <c r="F3616" t="str">
        <f t="shared" si="250"/>
        <v>0000</v>
      </c>
    </row>
    <row r="3617" spans="1:6">
      <c r="C3617" t="str">
        <f t="shared" si="249"/>
        <v>4</v>
      </c>
      <c r="D3617">
        <v>27</v>
      </c>
      <c r="E3617" t="str">
        <f>"1421"</f>
        <v>1421</v>
      </c>
      <c r="F3617" t="str">
        <f t="shared" si="250"/>
        <v>0000</v>
      </c>
    </row>
    <row r="3618" spans="1:6">
      <c r="C3618" t="str">
        <f t="shared" si="249"/>
        <v>4</v>
      </c>
      <c r="D3618">
        <v>27</v>
      </c>
      <c r="E3618" t="str">
        <f>"1241"</f>
        <v>1241</v>
      </c>
      <c r="F3618" t="str">
        <f t="shared" si="250"/>
        <v>0000</v>
      </c>
    </row>
    <row r="3619" spans="1:6">
      <c r="A3619" t="str">
        <f>"E1235-506"</f>
        <v>E1235-506</v>
      </c>
      <c r="B3619" t="str">
        <f>"VIA FELICE MARITANO  95-"</f>
        <v>VIA FELICE MARITANO  95-</v>
      </c>
      <c r="C3619" t="str">
        <f t="shared" si="249"/>
        <v>4</v>
      </c>
      <c r="D3619">
        <v>27</v>
      </c>
      <c r="E3619" t="str">
        <f>"124"</f>
        <v>124</v>
      </c>
      <c r="F3619" t="str">
        <f t="shared" si="250"/>
        <v>0000</v>
      </c>
    </row>
    <row r="3620" spans="1:6">
      <c r="C3620" t="str">
        <f t="shared" si="249"/>
        <v>4</v>
      </c>
      <c r="D3620">
        <v>27</v>
      </c>
      <c r="E3620" t="str">
        <f>"1241"</f>
        <v>1241</v>
      </c>
      <c r="F3620" t="str">
        <f t="shared" si="250"/>
        <v>0000</v>
      </c>
    </row>
    <row r="3621" spans="1:6">
      <c r="C3621" t="str">
        <f t="shared" si="249"/>
        <v>4</v>
      </c>
      <c r="D3621">
        <v>27</v>
      </c>
      <c r="E3621" t="str">
        <f>"1421"</f>
        <v>1421</v>
      </c>
      <c r="F3621" t="str">
        <f t="shared" si="250"/>
        <v>0000</v>
      </c>
    </row>
    <row r="3622" spans="1:6">
      <c r="C3622" t="str">
        <f t="shared" si="249"/>
        <v>4</v>
      </c>
      <c r="D3622">
        <v>27</v>
      </c>
      <c r="E3622" t="str">
        <f>"1855"</f>
        <v>1855</v>
      </c>
      <c r="F3622" t="str">
        <f t="shared" si="250"/>
        <v>0000</v>
      </c>
    </row>
    <row r="3623" spans="1:6">
      <c r="C3623" t="str">
        <f t="shared" si="249"/>
        <v>4</v>
      </c>
      <c r="D3623">
        <v>27</v>
      </c>
      <c r="E3623" t="str">
        <f>"588"</f>
        <v>588</v>
      </c>
      <c r="F3623" t="str">
        <f t="shared" si="250"/>
        <v>0000</v>
      </c>
    </row>
    <row r="3624" spans="1:6">
      <c r="C3624" t="str">
        <f t="shared" si="249"/>
        <v>4</v>
      </c>
      <c r="D3624">
        <v>27</v>
      </c>
      <c r="E3624" t="str">
        <f>"676"</f>
        <v>676</v>
      </c>
      <c r="F3624" t="str">
        <f t="shared" si="250"/>
        <v>0000</v>
      </c>
    </row>
    <row r="3625" spans="1:6">
      <c r="C3625" t="str">
        <f t="shared" si="249"/>
        <v>4</v>
      </c>
      <c r="D3625">
        <v>27</v>
      </c>
      <c r="E3625" t="str">
        <f>"99999"</f>
        <v>99999</v>
      </c>
      <c r="F3625" t="str">
        <f t="shared" si="250"/>
        <v>0000</v>
      </c>
    </row>
    <row r="3626" spans="1:6">
      <c r="C3626" t="str">
        <f t="shared" si="249"/>
        <v>4</v>
      </c>
      <c r="D3626">
        <v>27</v>
      </c>
      <c r="E3626" t="str">
        <f>"975"</f>
        <v>975</v>
      </c>
      <c r="F3626" t="str">
        <f t="shared" si="250"/>
        <v>0000</v>
      </c>
    </row>
    <row r="3627" spans="1:6">
      <c r="C3627" t="str">
        <f t="shared" si="249"/>
        <v>4</v>
      </c>
      <c r="D3627">
        <v>27</v>
      </c>
      <c r="E3627" t="str">
        <f>"678"</f>
        <v>678</v>
      </c>
      <c r="F3627" t="str">
        <f t="shared" si="250"/>
        <v>0000</v>
      </c>
    </row>
    <row r="3628" spans="1:6">
      <c r="C3628" t="str">
        <f t="shared" si="249"/>
        <v>4</v>
      </c>
      <c r="D3628">
        <v>27</v>
      </c>
      <c r="E3628" t="str">
        <f>"677"</f>
        <v>677</v>
      </c>
      <c r="F3628" t="str">
        <f t="shared" si="250"/>
        <v>0000</v>
      </c>
    </row>
    <row r="3629" spans="1:6">
      <c r="C3629" t="str">
        <f t="shared" si="249"/>
        <v>4</v>
      </c>
      <c r="D3629">
        <v>27</v>
      </c>
      <c r="E3629" t="str">
        <f>"589"</f>
        <v>589</v>
      </c>
      <c r="F3629" t="str">
        <f t="shared" si="250"/>
        <v>0000</v>
      </c>
    </row>
    <row r="3630" spans="1:6">
      <c r="C3630" t="str">
        <f t="shared" si="249"/>
        <v>4</v>
      </c>
      <c r="D3630">
        <v>27</v>
      </c>
      <c r="E3630" t="str">
        <f>"587"</f>
        <v>587</v>
      </c>
      <c r="F3630" t="str">
        <f t="shared" si="250"/>
        <v>0000</v>
      </c>
    </row>
    <row r="3631" spans="1:6">
      <c r="C3631" t="str">
        <f t="shared" si="249"/>
        <v>4</v>
      </c>
      <c r="D3631">
        <v>27</v>
      </c>
      <c r="E3631" t="str">
        <f>"1422"</f>
        <v>1422</v>
      </c>
      <c r="F3631" t="str">
        <f t="shared" si="250"/>
        <v>0000</v>
      </c>
    </row>
    <row r="3632" spans="1:6">
      <c r="A3632" t="str">
        <f>"E1235-507"</f>
        <v>E1235-507</v>
      </c>
      <c r="B3632" t="str">
        <f>"VIA FELICE MARITANO  95-"</f>
        <v>VIA FELICE MARITANO  95-</v>
      </c>
      <c r="C3632" t="str">
        <f t="shared" si="249"/>
        <v>4</v>
      </c>
      <c r="D3632">
        <v>27</v>
      </c>
      <c r="E3632" t="str">
        <f>"124"</f>
        <v>124</v>
      </c>
      <c r="F3632" t="str">
        <f t="shared" si="250"/>
        <v>0000</v>
      </c>
    </row>
    <row r="3633" spans="1:6">
      <c r="C3633" t="str">
        <f t="shared" si="249"/>
        <v>4</v>
      </c>
      <c r="D3633">
        <v>27</v>
      </c>
      <c r="E3633" t="str">
        <f>"99999"</f>
        <v>99999</v>
      </c>
      <c r="F3633" t="str">
        <f t="shared" si="250"/>
        <v>0000</v>
      </c>
    </row>
    <row r="3634" spans="1:6">
      <c r="C3634" t="str">
        <f t="shared" si="249"/>
        <v>4</v>
      </c>
      <c r="D3634">
        <v>27</v>
      </c>
      <c r="E3634" t="str">
        <f>"975"</f>
        <v>975</v>
      </c>
      <c r="F3634" t="str">
        <f t="shared" si="250"/>
        <v>0000</v>
      </c>
    </row>
    <row r="3635" spans="1:6">
      <c r="C3635" t="str">
        <f t="shared" si="249"/>
        <v>4</v>
      </c>
      <c r="D3635">
        <v>27</v>
      </c>
      <c r="E3635" t="str">
        <f>"678"</f>
        <v>678</v>
      </c>
      <c r="F3635" t="str">
        <f t="shared" si="250"/>
        <v>0000</v>
      </c>
    </row>
    <row r="3636" spans="1:6">
      <c r="C3636" t="str">
        <f t="shared" si="249"/>
        <v>4</v>
      </c>
      <c r="D3636">
        <v>27</v>
      </c>
      <c r="E3636" t="str">
        <f>"677"</f>
        <v>677</v>
      </c>
      <c r="F3636" t="str">
        <f t="shared" si="250"/>
        <v>0000</v>
      </c>
    </row>
    <row r="3637" spans="1:6">
      <c r="C3637" t="str">
        <f t="shared" si="249"/>
        <v>4</v>
      </c>
      <c r="D3637">
        <v>27</v>
      </c>
      <c r="E3637" t="str">
        <f>"676"</f>
        <v>676</v>
      </c>
      <c r="F3637" t="str">
        <f t="shared" si="250"/>
        <v>0000</v>
      </c>
    </row>
    <row r="3638" spans="1:6">
      <c r="C3638" t="str">
        <f t="shared" si="249"/>
        <v>4</v>
      </c>
      <c r="D3638">
        <v>27</v>
      </c>
      <c r="E3638" t="str">
        <f>"589"</f>
        <v>589</v>
      </c>
      <c r="F3638" t="str">
        <f t="shared" si="250"/>
        <v>0000</v>
      </c>
    </row>
    <row r="3639" spans="1:6">
      <c r="C3639" t="str">
        <f t="shared" si="249"/>
        <v>4</v>
      </c>
      <c r="D3639">
        <v>27</v>
      </c>
      <c r="E3639" t="str">
        <f>"588"</f>
        <v>588</v>
      </c>
      <c r="F3639" t="str">
        <f t="shared" si="250"/>
        <v>0000</v>
      </c>
    </row>
    <row r="3640" spans="1:6">
      <c r="C3640" t="str">
        <f t="shared" si="249"/>
        <v>4</v>
      </c>
      <c r="D3640">
        <v>27</v>
      </c>
      <c r="E3640" t="str">
        <f>"587"</f>
        <v>587</v>
      </c>
      <c r="F3640" t="str">
        <f t="shared" si="250"/>
        <v>0000</v>
      </c>
    </row>
    <row r="3641" spans="1:6">
      <c r="C3641" t="str">
        <f t="shared" si="249"/>
        <v>4</v>
      </c>
      <c r="D3641">
        <v>27</v>
      </c>
      <c r="E3641" t="str">
        <f>"1855"</f>
        <v>1855</v>
      </c>
      <c r="F3641" t="str">
        <f t="shared" si="250"/>
        <v>0000</v>
      </c>
    </row>
    <row r="3642" spans="1:6">
      <c r="C3642" t="str">
        <f t="shared" si="249"/>
        <v>4</v>
      </c>
      <c r="D3642">
        <v>27</v>
      </c>
      <c r="E3642" t="str">
        <f>"1241"</f>
        <v>1241</v>
      </c>
      <c r="F3642" t="str">
        <f t="shared" si="250"/>
        <v>0000</v>
      </c>
    </row>
    <row r="3643" spans="1:6">
      <c r="C3643" t="str">
        <f t="shared" ref="C3643:C3706" si="251">"4"</f>
        <v>4</v>
      </c>
      <c r="D3643">
        <v>27</v>
      </c>
      <c r="E3643" t="str">
        <f>"1422"</f>
        <v>1422</v>
      </c>
      <c r="F3643" t="str">
        <f t="shared" ref="F3643:F3706" si="252">"0000"</f>
        <v>0000</v>
      </c>
    </row>
    <row r="3644" spans="1:6">
      <c r="C3644" t="str">
        <f t="shared" si="251"/>
        <v>4</v>
      </c>
      <c r="D3644">
        <v>27</v>
      </c>
      <c r="E3644" t="str">
        <f>"1421"</f>
        <v>1421</v>
      </c>
      <c r="F3644" t="str">
        <f t="shared" si="252"/>
        <v>0000</v>
      </c>
    </row>
    <row r="3645" spans="1:6">
      <c r="A3645" t="str">
        <f>"E1235-508"</f>
        <v>E1235-508</v>
      </c>
      <c r="B3645" t="str">
        <f>"VIA FELICE MARITANO  95-"</f>
        <v>VIA FELICE MARITANO  95-</v>
      </c>
      <c r="C3645" t="str">
        <f t="shared" si="251"/>
        <v>4</v>
      </c>
      <c r="D3645">
        <v>27</v>
      </c>
      <c r="E3645" t="str">
        <f>"124"</f>
        <v>124</v>
      </c>
      <c r="F3645" t="str">
        <f t="shared" si="252"/>
        <v>0000</v>
      </c>
    </row>
    <row r="3646" spans="1:6">
      <c r="C3646" t="str">
        <f t="shared" si="251"/>
        <v>4</v>
      </c>
      <c r="D3646">
        <v>27</v>
      </c>
      <c r="E3646" t="str">
        <f>"1241"</f>
        <v>1241</v>
      </c>
      <c r="F3646" t="str">
        <f t="shared" si="252"/>
        <v>0000</v>
      </c>
    </row>
    <row r="3647" spans="1:6">
      <c r="C3647" t="str">
        <f t="shared" si="251"/>
        <v>4</v>
      </c>
      <c r="D3647">
        <v>27</v>
      </c>
      <c r="E3647" t="str">
        <f>"1422"</f>
        <v>1422</v>
      </c>
      <c r="F3647" t="str">
        <f t="shared" si="252"/>
        <v>0000</v>
      </c>
    </row>
    <row r="3648" spans="1:6">
      <c r="C3648" t="str">
        <f t="shared" si="251"/>
        <v>4</v>
      </c>
      <c r="D3648">
        <v>27</v>
      </c>
      <c r="E3648" t="str">
        <f>"587"</f>
        <v>587</v>
      </c>
      <c r="F3648" t="str">
        <f t="shared" si="252"/>
        <v>0000</v>
      </c>
    </row>
    <row r="3649" spans="1:6">
      <c r="C3649" t="str">
        <f t="shared" si="251"/>
        <v>4</v>
      </c>
      <c r="D3649">
        <v>27</v>
      </c>
      <c r="E3649" t="str">
        <f>"589"</f>
        <v>589</v>
      </c>
      <c r="F3649" t="str">
        <f t="shared" si="252"/>
        <v>0000</v>
      </c>
    </row>
    <row r="3650" spans="1:6">
      <c r="C3650" t="str">
        <f t="shared" si="251"/>
        <v>4</v>
      </c>
      <c r="D3650">
        <v>27</v>
      </c>
      <c r="E3650" t="str">
        <f>"99999"</f>
        <v>99999</v>
      </c>
      <c r="F3650" t="str">
        <f t="shared" si="252"/>
        <v>0000</v>
      </c>
    </row>
    <row r="3651" spans="1:6">
      <c r="C3651" t="str">
        <f t="shared" si="251"/>
        <v>4</v>
      </c>
      <c r="D3651">
        <v>27</v>
      </c>
      <c r="E3651" t="str">
        <f>"975"</f>
        <v>975</v>
      </c>
      <c r="F3651" t="str">
        <f t="shared" si="252"/>
        <v>0000</v>
      </c>
    </row>
    <row r="3652" spans="1:6">
      <c r="C3652" t="str">
        <f t="shared" si="251"/>
        <v>4</v>
      </c>
      <c r="D3652">
        <v>27</v>
      </c>
      <c r="E3652" t="str">
        <f>"678"</f>
        <v>678</v>
      </c>
      <c r="F3652" t="str">
        <f t="shared" si="252"/>
        <v>0000</v>
      </c>
    </row>
    <row r="3653" spans="1:6">
      <c r="C3653" t="str">
        <f t="shared" si="251"/>
        <v>4</v>
      </c>
      <c r="D3653">
        <v>27</v>
      </c>
      <c r="E3653" t="str">
        <f>"677"</f>
        <v>677</v>
      </c>
      <c r="F3653" t="str">
        <f t="shared" si="252"/>
        <v>0000</v>
      </c>
    </row>
    <row r="3654" spans="1:6">
      <c r="C3654" t="str">
        <f t="shared" si="251"/>
        <v>4</v>
      </c>
      <c r="D3654">
        <v>27</v>
      </c>
      <c r="E3654" t="str">
        <f>"676"</f>
        <v>676</v>
      </c>
      <c r="F3654" t="str">
        <f t="shared" si="252"/>
        <v>0000</v>
      </c>
    </row>
    <row r="3655" spans="1:6">
      <c r="C3655" t="str">
        <f t="shared" si="251"/>
        <v>4</v>
      </c>
      <c r="D3655">
        <v>27</v>
      </c>
      <c r="E3655" t="str">
        <f>"588"</f>
        <v>588</v>
      </c>
      <c r="F3655" t="str">
        <f t="shared" si="252"/>
        <v>0000</v>
      </c>
    </row>
    <row r="3656" spans="1:6">
      <c r="C3656" t="str">
        <f t="shared" si="251"/>
        <v>4</v>
      </c>
      <c r="D3656">
        <v>27</v>
      </c>
      <c r="E3656" t="str">
        <f>"1855"</f>
        <v>1855</v>
      </c>
      <c r="F3656" t="str">
        <f t="shared" si="252"/>
        <v>0000</v>
      </c>
    </row>
    <row r="3657" spans="1:6">
      <c r="C3657" t="str">
        <f t="shared" si="251"/>
        <v>4</v>
      </c>
      <c r="D3657">
        <v>27</v>
      </c>
      <c r="E3657" t="str">
        <f>"1421"</f>
        <v>1421</v>
      </c>
      <c r="F3657" t="str">
        <f t="shared" si="252"/>
        <v>0000</v>
      </c>
    </row>
    <row r="3658" spans="1:6">
      <c r="A3658" t="str">
        <f>"E1235-509"</f>
        <v>E1235-509</v>
      </c>
      <c r="B3658" t="str">
        <f>"VIA FELICE MARITANO  95-"</f>
        <v>VIA FELICE MARITANO  95-</v>
      </c>
      <c r="C3658" t="str">
        <f t="shared" si="251"/>
        <v>4</v>
      </c>
      <c r="D3658">
        <v>27</v>
      </c>
      <c r="E3658" t="str">
        <f>"124"</f>
        <v>124</v>
      </c>
      <c r="F3658" t="str">
        <f t="shared" si="252"/>
        <v>0000</v>
      </c>
    </row>
    <row r="3659" spans="1:6">
      <c r="C3659" t="str">
        <f t="shared" si="251"/>
        <v>4</v>
      </c>
      <c r="D3659">
        <v>27</v>
      </c>
      <c r="E3659" t="str">
        <f>"1421"</f>
        <v>1421</v>
      </c>
      <c r="F3659" t="str">
        <f t="shared" si="252"/>
        <v>0000</v>
      </c>
    </row>
    <row r="3660" spans="1:6">
      <c r="C3660" t="str">
        <f t="shared" si="251"/>
        <v>4</v>
      </c>
      <c r="D3660">
        <v>27</v>
      </c>
      <c r="E3660" t="str">
        <f>"1422"</f>
        <v>1422</v>
      </c>
      <c r="F3660" t="str">
        <f t="shared" si="252"/>
        <v>0000</v>
      </c>
    </row>
    <row r="3661" spans="1:6">
      <c r="C3661" t="str">
        <f t="shared" si="251"/>
        <v>4</v>
      </c>
      <c r="D3661">
        <v>27</v>
      </c>
      <c r="E3661" t="str">
        <f>"1241"</f>
        <v>1241</v>
      </c>
      <c r="F3661" t="str">
        <f t="shared" si="252"/>
        <v>0000</v>
      </c>
    </row>
    <row r="3662" spans="1:6">
      <c r="C3662" t="str">
        <f t="shared" si="251"/>
        <v>4</v>
      </c>
      <c r="D3662">
        <v>27</v>
      </c>
      <c r="E3662" t="str">
        <f>"1855"</f>
        <v>1855</v>
      </c>
      <c r="F3662" t="str">
        <f t="shared" si="252"/>
        <v>0000</v>
      </c>
    </row>
    <row r="3663" spans="1:6">
      <c r="C3663" t="str">
        <f t="shared" si="251"/>
        <v>4</v>
      </c>
      <c r="D3663">
        <v>27</v>
      </c>
      <c r="E3663" t="str">
        <f>"588"</f>
        <v>588</v>
      </c>
      <c r="F3663" t="str">
        <f t="shared" si="252"/>
        <v>0000</v>
      </c>
    </row>
    <row r="3664" spans="1:6">
      <c r="C3664" t="str">
        <f t="shared" si="251"/>
        <v>4</v>
      </c>
      <c r="D3664">
        <v>27</v>
      </c>
      <c r="E3664" t="str">
        <f>"676"</f>
        <v>676</v>
      </c>
      <c r="F3664" t="str">
        <f t="shared" si="252"/>
        <v>0000</v>
      </c>
    </row>
    <row r="3665" spans="1:6">
      <c r="C3665" t="str">
        <f t="shared" si="251"/>
        <v>4</v>
      </c>
      <c r="D3665">
        <v>27</v>
      </c>
      <c r="E3665" t="str">
        <f>"678"</f>
        <v>678</v>
      </c>
      <c r="F3665" t="str">
        <f t="shared" si="252"/>
        <v>0000</v>
      </c>
    </row>
    <row r="3666" spans="1:6">
      <c r="C3666" t="str">
        <f t="shared" si="251"/>
        <v>4</v>
      </c>
      <c r="D3666">
        <v>27</v>
      </c>
      <c r="E3666" t="str">
        <f>"99999"</f>
        <v>99999</v>
      </c>
      <c r="F3666" t="str">
        <f t="shared" si="252"/>
        <v>0000</v>
      </c>
    </row>
    <row r="3667" spans="1:6">
      <c r="C3667" t="str">
        <f t="shared" si="251"/>
        <v>4</v>
      </c>
      <c r="D3667">
        <v>27</v>
      </c>
      <c r="E3667" t="str">
        <f>"975"</f>
        <v>975</v>
      </c>
      <c r="F3667" t="str">
        <f t="shared" si="252"/>
        <v>0000</v>
      </c>
    </row>
    <row r="3668" spans="1:6">
      <c r="C3668" t="str">
        <f t="shared" si="251"/>
        <v>4</v>
      </c>
      <c r="D3668">
        <v>27</v>
      </c>
      <c r="E3668" t="str">
        <f>"677"</f>
        <v>677</v>
      </c>
      <c r="F3668" t="str">
        <f t="shared" si="252"/>
        <v>0000</v>
      </c>
    </row>
    <row r="3669" spans="1:6">
      <c r="C3669" t="str">
        <f t="shared" si="251"/>
        <v>4</v>
      </c>
      <c r="D3669">
        <v>27</v>
      </c>
      <c r="E3669" t="str">
        <f>"589"</f>
        <v>589</v>
      </c>
      <c r="F3669" t="str">
        <f t="shared" si="252"/>
        <v>0000</v>
      </c>
    </row>
    <row r="3670" spans="1:6">
      <c r="C3670" t="str">
        <f t="shared" si="251"/>
        <v>4</v>
      </c>
      <c r="D3670">
        <v>27</v>
      </c>
      <c r="E3670" t="str">
        <f>"587"</f>
        <v>587</v>
      </c>
      <c r="F3670" t="str">
        <f t="shared" si="252"/>
        <v>0000</v>
      </c>
    </row>
    <row r="3671" spans="1:6">
      <c r="A3671" t="str">
        <f>"E1235-510"</f>
        <v>E1235-510</v>
      </c>
      <c r="B3671" t="str">
        <f>"VIA FELICE MARITANO  95-"</f>
        <v>VIA FELICE MARITANO  95-</v>
      </c>
      <c r="C3671" t="str">
        <f t="shared" si="251"/>
        <v>4</v>
      </c>
      <c r="D3671">
        <v>27</v>
      </c>
      <c r="E3671" t="str">
        <f>"124"</f>
        <v>124</v>
      </c>
      <c r="F3671" t="str">
        <f t="shared" si="252"/>
        <v>0000</v>
      </c>
    </row>
    <row r="3672" spans="1:6">
      <c r="C3672" t="str">
        <f t="shared" si="251"/>
        <v>4</v>
      </c>
      <c r="D3672">
        <v>27</v>
      </c>
      <c r="E3672" t="str">
        <f>"1422"</f>
        <v>1422</v>
      </c>
      <c r="F3672" t="str">
        <f t="shared" si="252"/>
        <v>0000</v>
      </c>
    </row>
    <row r="3673" spans="1:6">
      <c r="C3673" t="str">
        <f t="shared" si="251"/>
        <v>4</v>
      </c>
      <c r="D3673">
        <v>27</v>
      </c>
      <c r="E3673" t="str">
        <f>"587"</f>
        <v>587</v>
      </c>
      <c r="F3673" t="str">
        <f t="shared" si="252"/>
        <v>0000</v>
      </c>
    </row>
    <row r="3674" spans="1:6">
      <c r="C3674" t="str">
        <f t="shared" si="251"/>
        <v>4</v>
      </c>
      <c r="D3674">
        <v>27</v>
      </c>
      <c r="E3674" t="str">
        <f>"99999"</f>
        <v>99999</v>
      </c>
      <c r="F3674" t="str">
        <f t="shared" si="252"/>
        <v>0000</v>
      </c>
    </row>
    <row r="3675" spans="1:6">
      <c r="C3675" t="str">
        <f t="shared" si="251"/>
        <v>4</v>
      </c>
      <c r="D3675">
        <v>27</v>
      </c>
      <c r="E3675" t="str">
        <f>"975"</f>
        <v>975</v>
      </c>
      <c r="F3675" t="str">
        <f t="shared" si="252"/>
        <v>0000</v>
      </c>
    </row>
    <row r="3676" spans="1:6">
      <c r="C3676" t="str">
        <f t="shared" si="251"/>
        <v>4</v>
      </c>
      <c r="D3676">
        <v>27</v>
      </c>
      <c r="E3676" t="str">
        <f>"678"</f>
        <v>678</v>
      </c>
      <c r="F3676" t="str">
        <f t="shared" si="252"/>
        <v>0000</v>
      </c>
    </row>
    <row r="3677" spans="1:6">
      <c r="C3677" t="str">
        <f t="shared" si="251"/>
        <v>4</v>
      </c>
      <c r="D3677">
        <v>27</v>
      </c>
      <c r="E3677" t="str">
        <f>"677"</f>
        <v>677</v>
      </c>
      <c r="F3677" t="str">
        <f t="shared" si="252"/>
        <v>0000</v>
      </c>
    </row>
    <row r="3678" spans="1:6">
      <c r="C3678" t="str">
        <f t="shared" si="251"/>
        <v>4</v>
      </c>
      <c r="D3678">
        <v>27</v>
      </c>
      <c r="E3678" t="str">
        <f>"676"</f>
        <v>676</v>
      </c>
      <c r="F3678" t="str">
        <f t="shared" si="252"/>
        <v>0000</v>
      </c>
    </row>
    <row r="3679" spans="1:6">
      <c r="C3679" t="str">
        <f t="shared" si="251"/>
        <v>4</v>
      </c>
      <c r="D3679">
        <v>27</v>
      </c>
      <c r="E3679" t="str">
        <f>"589"</f>
        <v>589</v>
      </c>
      <c r="F3679" t="str">
        <f t="shared" si="252"/>
        <v>0000</v>
      </c>
    </row>
    <row r="3680" spans="1:6">
      <c r="C3680" t="str">
        <f t="shared" si="251"/>
        <v>4</v>
      </c>
      <c r="D3680">
        <v>27</v>
      </c>
      <c r="E3680" t="str">
        <f>"588"</f>
        <v>588</v>
      </c>
      <c r="F3680" t="str">
        <f t="shared" si="252"/>
        <v>0000</v>
      </c>
    </row>
    <row r="3681" spans="1:6">
      <c r="C3681" t="str">
        <f t="shared" si="251"/>
        <v>4</v>
      </c>
      <c r="D3681">
        <v>27</v>
      </c>
      <c r="E3681" t="str">
        <f>"1855"</f>
        <v>1855</v>
      </c>
      <c r="F3681" t="str">
        <f t="shared" si="252"/>
        <v>0000</v>
      </c>
    </row>
    <row r="3682" spans="1:6">
      <c r="C3682" t="str">
        <f t="shared" si="251"/>
        <v>4</v>
      </c>
      <c r="D3682">
        <v>27</v>
      </c>
      <c r="E3682" t="str">
        <f>"1421"</f>
        <v>1421</v>
      </c>
      <c r="F3682" t="str">
        <f t="shared" si="252"/>
        <v>0000</v>
      </c>
    </row>
    <row r="3683" spans="1:6">
      <c r="C3683" t="str">
        <f t="shared" si="251"/>
        <v>4</v>
      </c>
      <c r="D3683">
        <v>27</v>
      </c>
      <c r="E3683" t="str">
        <f>"1241"</f>
        <v>1241</v>
      </c>
      <c r="F3683" t="str">
        <f t="shared" si="252"/>
        <v>0000</v>
      </c>
    </row>
    <row r="3684" spans="1:6">
      <c r="A3684" t="str">
        <f>"E1235-511"</f>
        <v>E1235-511</v>
      </c>
      <c r="B3684" t="str">
        <f>"VIA FELICE MARITANO  95-"</f>
        <v>VIA FELICE MARITANO  95-</v>
      </c>
      <c r="C3684" t="str">
        <f t="shared" si="251"/>
        <v>4</v>
      </c>
      <c r="D3684">
        <v>27</v>
      </c>
      <c r="E3684" t="str">
        <f>"124"</f>
        <v>124</v>
      </c>
      <c r="F3684" t="str">
        <f t="shared" si="252"/>
        <v>0000</v>
      </c>
    </row>
    <row r="3685" spans="1:6">
      <c r="C3685" t="str">
        <f t="shared" si="251"/>
        <v>4</v>
      </c>
      <c r="D3685">
        <v>27</v>
      </c>
      <c r="E3685" t="str">
        <f>"1241"</f>
        <v>1241</v>
      </c>
      <c r="F3685" t="str">
        <f t="shared" si="252"/>
        <v>0000</v>
      </c>
    </row>
    <row r="3686" spans="1:6">
      <c r="C3686" t="str">
        <f t="shared" si="251"/>
        <v>4</v>
      </c>
      <c r="D3686">
        <v>27</v>
      </c>
      <c r="E3686" t="str">
        <f>"1421"</f>
        <v>1421</v>
      </c>
      <c r="F3686" t="str">
        <f t="shared" si="252"/>
        <v>0000</v>
      </c>
    </row>
    <row r="3687" spans="1:6">
      <c r="C3687" t="str">
        <f t="shared" si="251"/>
        <v>4</v>
      </c>
      <c r="D3687">
        <v>27</v>
      </c>
      <c r="E3687" t="str">
        <f>"1855"</f>
        <v>1855</v>
      </c>
      <c r="F3687" t="str">
        <f t="shared" si="252"/>
        <v>0000</v>
      </c>
    </row>
    <row r="3688" spans="1:6">
      <c r="C3688" t="str">
        <f t="shared" si="251"/>
        <v>4</v>
      </c>
      <c r="D3688">
        <v>27</v>
      </c>
      <c r="E3688" t="str">
        <f>"588"</f>
        <v>588</v>
      </c>
      <c r="F3688" t="str">
        <f t="shared" si="252"/>
        <v>0000</v>
      </c>
    </row>
    <row r="3689" spans="1:6">
      <c r="C3689" t="str">
        <f t="shared" si="251"/>
        <v>4</v>
      </c>
      <c r="D3689">
        <v>27</v>
      </c>
      <c r="E3689" t="str">
        <f>"676"</f>
        <v>676</v>
      </c>
      <c r="F3689" t="str">
        <f t="shared" si="252"/>
        <v>0000</v>
      </c>
    </row>
    <row r="3690" spans="1:6">
      <c r="C3690" t="str">
        <f t="shared" si="251"/>
        <v>4</v>
      </c>
      <c r="D3690">
        <v>27</v>
      </c>
      <c r="E3690" t="str">
        <f>"99999"</f>
        <v>99999</v>
      </c>
      <c r="F3690" t="str">
        <f t="shared" si="252"/>
        <v>0000</v>
      </c>
    </row>
    <row r="3691" spans="1:6">
      <c r="C3691" t="str">
        <f t="shared" si="251"/>
        <v>4</v>
      </c>
      <c r="D3691">
        <v>27</v>
      </c>
      <c r="E3691" t="str">
        <f>"975"</f>
        <v>975</v>
      </c>
      <c r="F3691" t="str">
        <f t="shared" si="252"/>
        <v>0000</v>
      </c>
    </row>
    <row r="3692" spans="1:6">
      <c r="C3692" t="str">
        <f t="shared" si="251"/>
        <v>4</v>
      </c>
      <c r="D3692">
        <v>27</v>
      </c>
      <c r="E3692" t="str">
        <f>"678"</f>
        <v>678</v>
      </c>
      <c r="F3692" t="str">
        <f t="shared" si="252"/>
        <v>0000</v>
      </c>
    </row>
    <row r="3693" spans="1:6">
      <c r="C3693" t="str">
        <f t="shared" si="251"/>
        <v>4</v>
      </c>
      <c r="D3693">
        <v>27</v>
      </c>
      <c r="E3693" t="str">
        <f>"677"</f>
        <v>677</v>
      </c>
      <c r="F3693" t="str">
        <f t="shared" si="252"/>
        <v>0000</v>
      </c>
    </row>
    <row r="3694" spans="1:6">
      <c r="C3694" t="str">
        <f t="shared" si="251"/>
        <v>4</v>
      </c>
      <c r="D3694">
        <v>27</v>
      </c>
      <c r="E3694" t="str">
        <f>"589"</f>
        <v>589</v>
      </c>
      <c r="F3694" t="str">
        <f t="shared" si="252"/>
        <v>0000</v>
      </c>
    </row>
    <row r="3695" spans="1:6">
      <c r="C3695" t="str">
        <f t="shared" si="251"/>
        <v>4</v>
      </c>
      <c r="D3695">
        <v>27</v>
      </c>
      <c r="E3695" t="str">
        <f>"587"</f>
        <v>587</v>
      </c>
      <c r="F3695" t="str">
        <f t="shared" si="252"/>
        <v>0000</v>
      </c>
    </row>
    <row r="3696" spans="1:6">
      <c r="C3696" t="str">
        <f t="shared" si="251"/>
        <v>4</v>
      </c>
      <c r="D3696">
        <v>27</v>
      </c>
      <c r="E3696" t="str">
        <f>"1422"</f>
        <v>1422</v>
      </c>
      <c r="F3696" t="str">
        <f t="shared" si="252"/>
        <v>0000</v>
      </c>
    </row>
    <row r="3697" spans="1:6">
      <c r="A3697" t="str">
        <f>"E1235-512"</f>
        <v>E1235-512</v>
      </c>
      <c r="B3697" t="str">
        <f>"VIA FELICE MARITANO  95-"</f>
        <v>VIA FELICE MARITANO  95-</v>
      </c>
      <c r="C3697" t="str">
        <f t="shared" si="251"/>
        <v>4</v>
      </c>
      <c r="D3697">
        <v>27</v>
      </c>
      <c r="E3697" t="str">
        <f>"124"</f>
        <v>124</v>
      </c>
      <c r="F3697" t="str">
        <f t="shared" si="252"/>
        <v>0000</v>
      </c>
    </row>
    <row r="3698" spans="1:6">
      <c r="C3698" t="str">
        <f t="shared" si="251"/>
        <v>4</v>
      </c>
      <c r="D3698">
        <v>27</v>
      </c>
      <c r="E3698" t="str">
        <f>"99999"</f>
        <v>99999</v>
      </c>
      <c r="F3698" t="str">
        <f t="shared" si="252"/>
        <v>0000</v>
      </c>
    </row>
    <row r="3699" spans="1:6">
      <c r="C3699" t="str">
        <f t="shared" si="251"/>
        <v>4</v>
      </c>
      <c r="D3699">
        <v>27</v>
      </c>
      <c r="E3699" t="str">
        <f>"975"</f>
        <v>975</v>
      </c>
      <c r="F3699" t="str">
        <f t="shared" si="252"/>
        <v>0000</v>
      </c>
    </row>
    <row r="3700" spans="1:6">
      <c r="C3700" t="str">
        <f t="shared" si="251"/>
        <v>4</v>
      </c>
      <c r="D3700">
        <v>27</v>
      </c>
      <c r="E3700" t="str">
        <f>"678"</f>
        <v>678</v>
      </c>
      <c r="F3700" t="str">
        <f t="shared" si="252"/>
        <v>0000</v>
      </c>
    </row>
    <row r="3701" spans="1:6">
      <c r="C3701" t="str">
        <f t="shared" si="251"/>
        <v>4</v>
      </c>
      <c r="D3701">
        <v>27</v>
      </c>
      <c r="E3701" t="str">
        <f>"677"</f>
        <v>677</v>
      </c>
      <c r="F3701" t="str">
        <f t="shared" si="252"/>
        <v>0000</v>
      </c>
    </row>
    <row r="3702" spans="1:6">
      <c r="C3702" t="str">
        <f t="shared" si="251"/>
        <v>4</v>
      </c>
      <c r="D3702">
        <v>27</v>
      </c>
      <c r="E3702" t="str">
        <f>"676"</f>
        <v>676</v>
      </c>
      <c r="F3702" t="str">
        <f t="shared" si="252"/>
        <v>0000</v>
      </c>
    </row>
    <row r="3703" spans="1:6">
      <c r="C3703" t="str">
        <f t="shared" si="251"/>
        <v>4</v>
      </c>
      <c r="D3703">
        <v>27</v>
      </c>
      <c r="E3703" t="str">
        <f>"589"</f>
        <v>589</v>
      </c>
      <c r="F3703" t="str">
        <f t="shared" si="252"/>
        <v>0000</v>
      </c>
    </row>
    <row r="3704" spans="1:6">
      <c r="C3704" t="str">
        <f t="shared" si="251"/>
        <v>4</v>
      </c>
      <c r="D3704">
        <v>27</v>
      </c>
      <c r="E3704" t="str">
        <f>"588"</f>
        <v>588</v>
      </c>
      <c r="F3704" t="str">
        <f t="shared" si="252"/>
        <v>0000</v>
      </c>
    </row>
    <row r="3705" spans="1:6">
      <c r="C3705" t="str">
        <f t="shared" si="251"/>
        <v>4</v>
      </c>
      <c r="D3705">
        <v>27</v>
      </c>
      <c r="E3705" t="str">
        <f>"587"</f>
        <v>587</v>
      </c>
      <c r="F3705" t="str">
        <f t="shared" si="252"/>
        <v>0000</v>
      </c>
    </row>
    <row r="3706" spans="1:6">
      <c r="C3706" t="str">
        <f t="shared" si="251"/>
        <v>4</v>
      </c>
      <c r="D3706">
        <v>27</v>
      </c>
      <c r="E3706" t="str">
        <f>"1855"</f>
        <v>1855</v>
      </c>
      <c r="F3706" t="str">
        <f t="shared" si="252"/>
        <v>0000</v>
      </c>
    </row>
    <row r="3707" spans="1:6">
      <c r="C3707" t="str">
        <f t="shared" ref="C3707:C3770" si="253">"4"</f>
        <v>4</v>
      </c>
      <c r="D3707">
        <v>27</v>
      </c>
      <c r="E3707" t="str">
        <f>"1241"</f>
        <v>1241</v>
      </c>
      <c r="F3707" t="str">
        <f t="shared" ref="F3707:F3770" si="254">"0000"</f>
        <v>0000</v>
      </c>
    </row>
    <row r="3708" spans="1:6">
      <c r="C3708" t="str">
        <f t="shared" si="253"/>
        <v>4</v>
      </c>
      <c r="D3708">
        <v>27</v>
      </c>
      <c r="E3708" t="str">
        <f>"1422"</f>
        <v>1422</v>
      </c>
      <c r="F3708" t="str">
        <f t="shared" si="254"/>
        <v>0000</v>
      </c>
    </row>
    <row r="3709" spans="1:6">
      <c r="C3709" t="str">
        <f t="shared" si="253"/>
        <v>4</v>
      </c>
      <c r="D3709">
        <v>27</v>
      </c>
      <c r="E3709" t="str">
        <f>"1421"</f>
        <v>1421</v>
      </c>
      <c r="F3709" t="str">
        <f t="shared" si="254"/>
        <v>0000</v>
      </c>
    </row>
    <row r="3710" spans="1:6">
      <c r="A3710" t="str">
        <f>"E1235-513"</f>
        <v>E1235-513</v>
      </c>
      <c r="B3710" t="str">
        <f>"VIA FELICE MARITANO  95-"</f>
        <v>VIA FELICE MARITANO  95-</v>
      </c>
      <c r="C3710" t="str">
        <f t="shared" si="253"/>
        <v>4</v>
      </c>
      <c r="D3710">
        <v>27</v>
      </c>
      <c r="E3710" t="str">
        <f>"124"</f>
        <v>124</v>
      </c>
      <c r="F3710" t="str">
        <f t="shared" si="254"/>
        <v>0000</v>
      </c>
    </row>
    <row r="3711" spans="1:6">
      <c r="C3711" t="str">
        <f t="shared" si="253"/>
        <v>4</v>
      </c>
      <c r="D3711">
        <v>27</v>
      </c>
      <c r="E3711" t="str">
        <f>"1241"</f>
        <v>1241</v>
      </c>
      <c r="F3711" t="str">
        <f t="shared" si="254"/>
        <v>0000</v>
      </c>
    </row>
    <row r="3712" spans="1:6">
      <c r="C3712" t="str">
        <f t="shared" si="253"/>
        <v>4</v>
      </c>
      <c r="D3712">
        <v>27</v>
      </c>
      <c r="E3712" t="str">
        <f>"1422"</f>
        <v>1422</v>
      </c>
      <c r="F3712" t="str">
        <f t="shared" si="254"/>
        <v>0000</v>
      </c>
    </row>
    <row r="3713" spans="1:6">
      <c r="C3713" t="str">
        <f t="shared" si="253"/>
        <v>4</v>
      </c>
      <c r="D3713">
        <v>27</v>
      </c>
      <c r="E3713" t="str">
        <f>"587"</f>
        <v>587</v>
      </c>
      <c r="F3713" t="str">
        <f t="shared" si="254"/>
        <v>0000</v>
      </c>
    </row>
    <row r="3714" spans="1:6">
      <c r="C3714" t="str">
        <f t="shared" si="253"/>
        <v>4</v>
      </c>
      <c r="D3714">
        <v>27</v>
      </c>
      <c r="E3714" t="str">
        <f>"589"</f>
        <v>589</v>
      </c>
      <c r="F3714" t="str">
        <f t="shared" si="254"/>
        <v>0000</v>
      </c>
    </row>
    <row r="3715" spans="1:6">
      <c r="C3715" t="str">
        <f t="shared" si="253"/>
        <v>4</v>
      </c>
      <c r="D3715">
        <v>27</v>
      </c>
      <c r="E3715" t="str">
        <f>"99999"</f>
        <v>99999</v>
      </c>
      <c r="F3715" t="str">
        <f t="shared" si="254"/>
        <v>0000</v>
      </c>
    </row>
    <row r="3716" spans="1:6">
      <c r="C3716" t="str">
        <f t="shared" si="253"/>
        <v>4</v>
      </c>
      <c r="D3716">
        <v>27</v>
      </c>
      <c r="E3716" t="str">
        <f>"975"</f>
        <v>975</v>
      </c>
      <c r="F3716" t="str">
        <f t="shared" si="254"/>
        <v>0000</v>
      </c>
    </row>
    <row r="3717" spans="1:6">
      <c r="C3717" t="str">
        <f t="shared" si="253"/>
        <v>4</v>
      </c>
      <c r="D3717">
        <v>27</v>
      </c>
      <c r="E3717" t="str">
        <f>"678"</f>
        <v>678</v>
      </c>
      <c r="F3717" t="str">
        <f t="shared" si="254"/>
        <v>0000</v>
      </c>
    </row>
    <row r="3718" spans="1:6">
      <c r="C3718" t="str">
        <f t="shared" si="253"/>
        <v>4</v>
      </c>
      <c r="D3718">
        <v>27</v>
      </c>
      <c r="E3718" t="str">
        <f>"677"</f>
        <v>677</v>
      </c>
      <c r="F3718" t="str">
        <f t="shared" si="254"/>
        <v>0000</v>
      </c>
    </row>
    <row r="3719" spans="1:6">
      <c r="C3719" t="str">
        <f t="shared" si="253"/>
        <v>4</v>
      </c>
      <c r="D3719">
        <v>27</v>
      </c>
      <c r="E3719" t="str">
        <f>"676"</f>
        <v>676</v>
      </c>
      <c r="F3719" t="str">
        <f t="shared" si="254"/>
        <v>0000</v>
      </c>
    </row>
    <row r="3720" spans="1:6">
      <c r="C3720" t="str">
        <f t="shared" si="253"/>
        <v>4</v>
      </c>
      <c r="D3720">
        <v>27</v>
      </c>
      <c r="E3720" t="str">
        <f>"588"</f>
        <v>588</v>
      </c>
      <c r="F3720" t="str">
        <f t="shared" si="254"/>
        <v>0000</v>
      </c>
    </row>
    <row r="3721" spans="1:6">
      <c r="C3721" t="str">
        <f t="shared" si="253"/>
        <v>4</v>
      </c>
      <c r="D3721">
        <v>27</v>
      </c>
      <c r="E3721" t="str">
        <f>"1855"</f>
        <v>1855</v>
      </c>
      <c r="F3721" t="str">
        <f t="shared" si="254"/>
        <v>0000</v>
      </c>
    </row>
    <row r="3722" spans="1:6">
      <c r="C3722" t="str">
        <f t="shared" si="253"/>
        <v>4</v>
      </c>
      <c r="D3722">
        <v>27</v>
      </c>
      <c r="E3722" t="str">
        <f>"1421"</f>
        <v>1421</v>
      </c>
      <c r="F3722" t="str">
        <f t="shared" si="254"/>
        <v>0000</v>
      </c>
    </row>
    <row r="3723" spans="1:6">
      <c r="A3723" t="str">
        <f>"E1235-514"</f>
        <v>E1235-514</v>
      </c>
      <c r="B3723" t="str">
        <f>"VIA FELICE MARITANO  95-"</f>
        <v>VIA FELICE MARITANO  95-</v>
      </c>
      <c r="C3723" t="str">
        <f t="shared" si="253"/>
        <v>4</v>
      </c>
      <c r="D3723">
        <v>27</v>
      </c>
      <c r="E3723" t="str">
        <f>"124"</f>
        <v>124</v>
      </c>
      <c r="F3723" t="str">
        <f t="shared" si="254"/>
        <v>0000</v>
      </c>
    </row>
    <row r="3724" spans="1:6">
      <c r="C3724" t="str">
        <f t="shared" si="253"/>
        <v>4</v>
      </c>
      <c r="D3724">
        <v>27</v>
      </c>
      <c r="E3724" t="str">
        <f>"1421"</f>
        <v>1421</v>
      </c>
      <c r="F3724" t="str">
        <f t="shared" si="254"/>
        <v>0000</v>
      </c>
    </row>
    <row r="3725" spans="1:6">
      <c r="C3725" t="str">
        <f t="shared" si="253"/>
        <v>4</v>
      </c>
      <c r="D3725">
        <v>27</v>
      </c>
      <c r="E3725" t="str">
        <f>"1422"</f>
        <v>1422</v>
      </c>
      <c r="F3725" t="str">
        <f t="shared" si="254"/>
        <v>0000</v>
      </c>
    </row>
    <row r="3726" spans="1:6">
      <c r="C3726" t="str">
        <f t="shared" si="253"/>
        <v>4</v>
      </c>
      <c r="D3726">
        <v>27</v>
      </c>
      <c r="E3726" t="str">
        <f>"1241"</f>
        <v>1241</v>
      </c>
      <c r="F3726" t="str">
        <f t="shared" si="254"/>
        <v>0000</v>
      </c>
    </row>
    <row r="3727" spans="1:6">
      <c r="C3727" t="str">
        <f t="shared" si="253"/>
        <v>4</v>
      </c>
      <c r="D3727">
        <v>27</v>
      </c>
      <c r="E3727" t="str">
        <f>"1855"</f>
        <v>1855</v>
      </c>
      <c r="F3727" t="str">
        <f t="shared" si="254"/>
        <v>0000</v>
      </c>
    </row>
    <row r="3728" spans="1:6">
      <c r="C3728" t="str">
        <f t="shared" si="253"/>
        <v>4</v>
      </c>
      <c r="D3728">
        <v>27</v>
      </c>
      <c r="E3728" t="str">
        <f>"588"</f>
        <v>588</v>
      </c>
      <c r="F3728" t="str">
        <f t="shared" si="254"/>
        <v>0000</v>
      </c>
    </row>
    <row r="3729" spans="1:6">
      <c r="C3729" t="str">
        <f t="shared" si="253"/>
        <v>4</v>
      </c>
      <c r="D3729">
        <v>27</v>
      </c>
      <c r="E3729" t="str">
        <f>"676"</f>
        <v>676</v>
      </c>
      <c r="F3729" t="str">
        <f t="shared" si="254"/>
        <v>0000</v>
      </c>
    </row>
    <row r="3730" spans="1:6">
      <c r="C3730" t="str">
        <f t="shared" si="253"/>
        <v>4</v>
      </c>
      <c r="D3730">
        <v>27</v>
      </c>
      <c r="E3730" t="str">
        <f>"678"</f>
        <v>678</v>
      </c>
      <c r="F3730" t="str">
        <f t="shared" si="254"/>
        <v>0000</v>
      </c>
    </row>
    <row r="3731" spans="1:6">
      <c r="C3731" t="str">
        <f t="shared" si="253"/>
        <v>4</v>
      </c>
      <c r="D3731">
        <v>27</v>
      </c>
      <c r="E3731" t="str">
        <f>"99999"</f>
        <v>99999</v>
      </c>
      <c r="F3731" t="str">
        <f t="shared" si="254"/>
        <v>0000</v>
      </c>
    </row>
    <row r="3732" spans="1:6">
      <c r="C3732" t="str">
        <f t="shared" si="253"/>
        <v>4</v>
      </c>
      <c r="D3732">
        <v>27</v>
      </c>
      <c r="E3732" t="str">
        <f>"975"</f>
        <v>975</v>
      </c>
      <c r="F3732" t="str">
        <f t="shared" si="254"/>
        <v>0000</v>
      </c>
    </row>
    <row r="3733" spans="1:6">
      <c r="C3733" t="str">
        <f t="shared" si="253"/>
        <v>4</v>
      </c>
      <c r="D3733">
        <v>27</v>
      </c>
      <c r="E3733" t="str">
        <f>"677"</f>
        <v>677</v>
      </c>
      <c r="F3733" t="str">
        <f t="shared" si="254"/>
        <v>0000</v>
      </c>
    </row>
    <row r="3734" spans="1:6">
      <c r="C3734" t="str">
        <f t="shared" si="253"/>
        <v>4</v>
      </c>
      <c r="D3734">
        <v>27</v>
      </c>
      <c r="E3734" t="str">
        <f>"589"</f>
        <v>589</v>
      </c>
      <c r="F3734" t="str">
        <f t="shared" si="254"/>
        <v>0000</v>
      </c>
    </row>
    <row r="3735" spans="1:6">
      <c r="C3735" t="str">
        <f t="shared" si="253"/>
        <v>4</v>
      </c>
      <c r="D3735">
        <v>27</v>
      </c>
      <c r="E3735" t="str">
        <f>"587"</f>
        <v>587</v>
      </c>
      <c r="F3735" t="str">
        <f t="shared" si="254"/>
        <v>0000</v>
      </c>
    </row>
    <row r="3736" spans="1:6">
      <c r="A3736" t="str">
        <f>"E1235-515"</f>
        <v>E1235-515</v>
      </c>
      <c r="B3736" t="str">
        <f>"VIA FELICE MARITANO  95-"</f>
        <v>VIA FELICE MARITANO  95-</v>
      </c>
      <c r="C3736" t="str">
        <f t="shared" si="253"/>
        <v>4</v>
      </c>
      <c r="D3736">
        <v>27</v>
      </c>
      <c r="E3736" t="str">
        <f>"124"</f>
        <v>124</v>
      </c>
      <c r="F3736" t="str">
        <f t="shared" si="254"/>
        <v>0000</v>
      </c>
    </row>
    <row r="3737" spans="1:6">
      <c r="C3737" t="str">
        <f t="shared" si="253"/>
        <v>4</v>
      </c>
      <c r="D3737">
        <v>27</v>
      </c>
      <c r="E3737" t="str">
        <f>"1422"</f>
        <v>1422</v>
      </c>
      <c r="F3737" t="str">
        <f t="shared" si="254"/>
        <v>0000</v>
      </c>
    </row>
    <row r="3738" spans="1:6">
      <c r="C3738" t="str">
        <f t="shared" si="253"/>
        <v>4</v>
      </c>
      <c r="D3738">
        <v>27</v>
      </c>
      <c r="E3738" t="str">
        <f>"587"</f>
        <v>587</v>
      </c>
      <c r="F3738" t="str">
        <f t="shared" si="254"/>
        <v>0000</v>
      </c>
    </row>
    <row r="3739" spans="1:6">
      <c r="C3739" t="str">
        <f t="shared" si="253"/>
        <v>4</v>
      </c>
      <c r="D3739">
        <v>27</v>
      </c>
      <c r="E3739" t="str">
        <f>"99999"</f>
        <v>99999</v>
      </c>
      <c r="F3739" t="str">
        <f t="shared" si="254"/>
        <v>0000</v>
      </c>
    </row>
    <row r="3740" spans="1:6">
      <c r="C3740" t="str">
        <f t="shared" si="253"/>
        <v>4</v>
      </c>
      <c r="D3740">
        <v>27</v>
      </c>
      <c r="E3740" t="str">
        <f>"975"</f>
        <v>975</v>
      </c>
      <c r="F3740" t="str">
        <f t="shared" si="254"/>
        <v>0000</v>
      </c>
    </row>
    <row r="3741" spans="1:6">
      <c r="C3741" t="str">
        <f t="shared" si="253"/>
        <v>4</v>
      </c>
      <c r="D3741">
        <v>27</v>
      </c>
      <c r="E3741" t="str">
        <f>"678"</f>
        <v>678</v>
      </c>
      <c r="F3741" t="str">
        <f t="shared" si="254"/>
        <v>0000</v>
      </c>
    </row>
    <row r="3742" spans="1:6">
      <c r="C3742" t="str">
        <f t="shared" si="253"/>
        <v>4</v>
      </c>
      <c r="D3742">
        <v>27</v>
      </c>
      <c r="E3742" t="str">
        <f>"677"</f>
        <v>677</v>
      </c>
      <c r="F3742" t="str">
        <f t="shared" si="254"/>
        <v>0000</v>
      </c>
    </row>
    <row r="3743" spans="1:6">
      <c r="C3743" t="str">
        <f t="shared" si="253"/>
        <v>4</v>
      </c>
      <c r="D3743">
        <v>27</v>
      </c>
      <c r="E3743" t="str">
        <f>"676"</f>
        <v>676</v>
      </c>
      <c r="F3743" t="str">
        <f t="shared" si="254"/>
        <v>0000</v>
      </c>
    </row>
    <row r="3744" spans="1:6">
      <c r="C3744" t="str">
        <f t="shared" si="253"/>
        <v>4</v>
      </c>
      <c r="D3744">
        <v>27</v>
      </c>
      <c r="E3744" t="str">
        <f>"589"</f>
        <v>589</v>
      </c>
      <c r="F3744" t="str">
        <f t="shared" si="254"/>
        <v>0000</v>
      </c>
    </row>
    <row r="3745" spans="1:6">
      <c r="C3745" t="str">
        <f t="shared" si="253"/>
        <v>4</v>
      </c>
      <c r="D3745">
        <v>27</v>
      </c>
      <c r="E3745" t="str">
        <f>"588"</f>
        <v>588</v>
      </c>
      <c r="F3745" t="str">
        <f t="shared" si="254"/>
        <v>0000</v>
      </c>
    </row>
    <row r="3746" spans="1:6">
      <c r="C3746" t="str">
        <f t="shared" si="253"/>
        <v>4</v>
      </c>
      <c r="D3746">
        <v>27</v>
      </c>
      <c r="E3746" t="str">
        <f>"1855"</f>
        <v>1855</v>
      </c>
      <c r="F3746" t="str">
        <f t="shared" si="254"/>
        <v>0000</v>
      </c>
    </row>
    <row r="3747" spans="1:6">
      <c r="C3747" t="str">
        <f t="shared" si="253"/>
        <v>4</v>
      </c>
      <c r="D3747">
        <v>27</v>
      </c>
      <c r="E3747" t="str">
        <f>"1421"</f>
        <v>1421</v>
      </c>
      <c r="F3747" t="str">
        <f t="shared" si="254"/>
        <v>0000</v>
      </c>
    </row>
    <row r="3748" spans="1:6">
      <c r="C3748" t="str">
        <f t="shared" si="253"/>
        <v>4</v>
      </c>
      <c r="D3748">
        <v>27</v>
      </c>
      <c r="E3748" t="str">
        <f>"1241"</f>
        <v>1241</v>
      </c>
      <c r="F3748" t="str">
        <f t="shared" si="254"/>
        <v>0000</v>
      </c>
    </row>
    <row r="3749" spans="1:6">
      <c r="A3749" t="str">
        <f>"E1235-516"</f>
        <v>E1235-516</v>
      </c>
      <c r="B3749" t="str">
        <f>"VIA FELICE MARITANO  95-"</f>
        <v>VIA FELICE MARITANO  95-</v>
      </c>
      <c r="C3749" t="str">
        <f t="shared" si="253"/>
        <v>4</v>
      </c>
      <c r="D3749">
        <v>27</v>
      </c>
      <c r="E3749" t="str">
        <f>"124"</f>
        <v>124</v>
      </c>
      <c r="F3749" t="str">
        <f t="shared" si="254"/>
        <v>0000</v>
      </c>
    </row>
    <row r="3750" spans="1:6">
      <c r="C3750" t="str">
        <f t="shared" si="253"/>
        <v>4</v>
      </c>
      <c r="D3750">
        <v>27</v>
      </c>
      <c r="E3750" t="str">
        <f>"1241"</f>
        <v>1241</v>
      </c>
      <c r="F3750" t="str">
        <f t="shared" si="254"/>
        <v>0000</v>
      </c>
    </row>
    <row r="3751" spans="1:6">
      <c r="C3751" t="str">
        <f t="shared" si="253"/>
        <v>4</v>
      </c>
      <c r="D3751">
        <v>27</v>
      </c>
      <c r="E3751" t="str">
        <f>"1421"</f>
        <v>1421</v>
      </c>
      <c r="F3751" t="str">
        <f t="shared" si="254"/>
        <v>0000</v>
      </c>
    </row>
    <row r="3752" spans="1:6">
      <c r="C3752" t="str">
        <f t="shared" si="253"/>
        <v>4</v>
      </c>
      <c r="D3752">
        <v>27</v>
      </c>
      <c r="E3752" t="str">
        <f>"1855"</f>
        <v>1855</v>
      </c>
      <c r="F3752" t="str">
        <f t="shared" si="254"/>
        <v>0000</v>
      </c>
    </row>
    <row r="3753" spans="1:6">
      <c r="C3753" t="str">
        <f t="shared" si="253"/>
        <v>4</v>
      </c>
      <c r="D3753">
        <v>27</v>
      </c>
      <c r="E3753" t="str">
        <f>"588"</f>
        <v>588</v>
      </c>
      <c r="F3753" t="str">
        <f t="shared" si="254"/>
        <v>0000</v>
      </c>
    </row>
    <row r="3754" spans="1:6">
      <c r="C3754" t="str">
        <f t="shared" si="253"/>
        <v>4</v>
      </c>
      <c r="D3754">
        <v>27</v>
      </c>
      <c r="E3754" t="str">
        <f>"676"</f>
        <v>676</v>
      </c>
      <c r="F3754" t="str">
        <f t="shared" si="254"/>
        <v>0000</v>
      </c>
    </row>
    <row r="3755" spans="1:6">
      <c r="C3755" t="str">
        <f t="shared" si="253"/>
        <v>4</v>
      </c>
      <c r="D3755">
        <v>27</v>
      </c>
      <c r="E3755" t="str">
        <f>"99999"</f>
        <v>99999</v>
      </c>
      <c r="F3755" t="str">
        <f t="shared" si="254"/>
        <v>0000</v>
      </c>
    </row>
    <row r="3756" spans="1:6">
      <c r="C3756" t="str">
        <f t="shared" si="253"/>
        <v>4</v>
      </c>
      <c r="D3756">
        <v>27</v>
      </c>
      <c r="E3756" t="str">
        <f>"975"</f>
        <v>975</v>
      </c>
      <c r="F3756" t="str">
        <f t="shared" si="254"/>
        <v>0000</v>
      </c>
    </row>
    <row r="3757" spans="1:6">
      <c r="C3757" t="str">
        <f t="shared" si="253"/>
        <v>4</v>
      </c>
      <c r="D3757">
        <v>27</v>
      </c>
      <c r="E3757" t="str">
        <f>"678"</f>
        <v>678</v>
      </c>
      <c r="F3757" t="str">
        <f t="shared" si="254"/>
        <v>0000</v>
      </c>
    </row>
    <row r="3758" spans="1:6">
      <c r="C3758" t="str">
        <f t="shared" si="253"/>
        <v>4</v>
      </c>
      <c r="D3758">
        <v>27</v>
      </c>
      <c r="E3758" t="str">
        <f>"677"</f>
        <v>677</v>
      </c>
      <c r="F3758" t="str">
        <f t="shared" si="254"/>
        <v>0000</v>
      </c>
    </row>
    <row r="3759" spans="1:6">
      <c r="C3759" t="str">
        <f t="shared" si="253"/>
        <v>4</v>
      </c>
      <c r="D3759">
        <v>27</v>
      </c>
      <c r="E3759" t="str">
        <f>"589"</f>
        <v>589</v>
      </c>
      <c r="F3759" t="str">
        <f t="shared" si="254"/>
        <v>0000</v>
      </c>
    </row>
    <row r="3760" spans="1:6">
      <c r="C3760" t="str">
        <f t="shared" si="253"/>
        <v>4</v>
      </c>
      <c r="D3760">
        <v>27</v>
      </c>
      <c r="E3760" t="str">
        <f>"587"</f>
        <v>587</v>
      </c>
      <c r="F3760" t="str">
        <f t="shared" si="254"/>
        <v>0000</v>
      </c>
    </row>
    <row r="3761" spans="1:6">
      <c r="C3761" t="str">
        <f t="shared" si="253"/>
        <v>4</v>
      </c>
      <c r="D3761">
        <v>27</v>
      </c>
      <c r="E3761" t="str">
        <f>"1422"</f>
        <v>1422</v>
      </c>
      <c r="F3761" t="str">
        <f t="shared" si="254"/>
        <v>0000</v>
      </c>
    </row>
    <row r="3762" spans="1:6">
      <c r="A3762" t="str">
        <f>"E1235-517"</f>
        <v>E1235-517</v>
      </c>
      <c r="B3762" t="str">
        <f>"VIA FELICE MARITANO  95-"</f>
        <v>VIA FELICE MARITANO  95-</v>
      </c>
      <c r="C3762" t="str">
        <f t="shared" si="253"/>
        <v>4</v>
      </c>
      <c r="D3762">
        <v>27</v>
      </c>
      <c r="E3762" t="str">
        <f>"124"</f>
        <v>124</v>
      </c>
      <c r="F3762" t="str">
        <f t="shared" si="254"/>
        <v>0000</v>
      </c>
    </row>
    <row r="3763" spans="1:6">
      <c r="C3763" t="str">
        <f t="shared" si="253"/>
        <v>4</v>
      </c>
      <c r="D3763">
        <v>27</v>
      </c>
      <c r="E3763" t="str">
        <f>"99999"</f>
        <v>99999</v>
      </c>
      <c r="F3763" t="str">
        <f t="shared" si="254"/>
        <v>0000</v>
      </c>
    </row>
    <row r="3764" spans="1:6">
      <c r="C3764" t="str">
        <f t="shared" si="253"/>
        <v>4</v>
      </c>
      <c r="D3764">
        <v>27</v>
      </c>
      <c r="E3764" t="str">
        <f>"975"</f>
        <v>975</v>
      </c>
      <c r="F3764" t="str">
        <f t="shared" si="254"/>
        <v>0000</v>
      </c>
    </row>
    <row r="3765" spans="1:6">
      <c r="C3765" t="str">
        <f t="shared" si="253"/>
        <v>4</v>
      </c>
      <c r="D3765">
        <v>27</v>
      </c>
      <c r="E3765" t="str">
        <f>"678"</f>
        <v>678</v>
      </c>
      <c r="F3765" t="str">
        <f t="shared" si="254"/>
        <v>0000</v>
      </c>
    </row>
    <row r="3766" spans="1:6">
      <c r="C3766" t="str">
        <f t="shared" si="253"/>
        <v>4</v>
      </c>
      <c r="D3766">
        <v>27</v>
      </c>
      <c r="E3766" t="str">
        <f>"677"</f>
        <v>677</v>
      </c>
      <c r="F3766" t="str">
        <f t="shared" si="254"/>
        <v>0000</v>
      </c>
    </row>
    <row r="3767" spans="1:6">
      <c r="C3767" t="str">
        <f t="shared" si="253"/>
        <v>4</v>
      </c>
      <c r="D3767">
        <v>27</v>
      </c>
      <c r="E3767" t="str">
        <f>"676"</f>
        <v>676</v>
      </c>
      <c r="F3767" t="str">
        <f t="shared" si="254"/>
        <v>0000</v>
      </c>
    </row>
    <row r="3768" spans="1:6">
      <c r="C3768" t="str">
        <f t="shared" si="253"/>
        <v>4</v>
      </c>
      <c r="D3768">
        <v>27</v>
      </c>
      <c r="E3768" t="str">
        <f>"589"</f>
        <v>589</v>
      </c>
      <c r="F3768" t="str">
        <f t="shared" si="254"/>
        <v>0000</v>
      </c>
    </row>
    <row r="3769" spans="1:6">
      <c r="C3769" t="str">
        <f t="shared" si="253"/>
        <v>4</v>
      </c>
      <c r="D3769">
        <v>27</v>
      </c>
      <c r="E3769" t="str">
        <f>"588"</f>
        <v>588</v>
      </c>
      <c r="F3769" t="str">
        <f t="shared" si="254"/>
        <v>0000</v>
      </c>
    </row>
    <row r="3770" spans="1:6">
      <c r="C3770" t="str">
        <f t="shared" si="253"/>
        <v>4</v>
      </c>
      <c r="D3770">
        <v>27</v>
      </c>
      <c r="E3770" t="str">
        <f>"587"</f>
        <v>587</v>
      </c>
      <c r="F3770" t="str">
        <f t="shared" si="254"/>
        <v>0000</v>
      </c>
    </row>
    <row r="3771" spans="1:6">
      <c r="C3771" t="str">
        <f t="shared" ref="C3771:C3834" si="255">"4"</f>
        <v>4</v>
      </c>
      <c r="D3771">
        <v>27</v>
      </c>
      <c r="E3771" t="str">
        <f>"1855"</f>
        <v>1855</v>
      </c>
      <c r="F3771" t="str">
        <f t="shared" ref="F3771:F3834" si="256">"0000"</f>
        <v>0000</v>
      </c>
    </row>
    <row r="3772" spans="1:6">
      <c r="C3772" t="str">
        <f t="shared" si="255"/>
        <v>4</v>
      </c>
      <c r="D3772">
        <v>27</v>
      </c>
      <c r="E3772" t="str">
        <f>"1241"</f>
        <v>1241</v>
      </c>
      <c r="F3772" t="str">
        <f t="shared" si="256"/>
        <v>0000</v>
      </c>
    </row>
    <row r="3773" spans="1:6">
      <c r="C3773" t="str">
        <f t="shared" si="255"/>
        <v>4</v>
      </c>
      <c r="D3773">
        <v>27</v>
      </c>
      <c r="E3773" t="str">
        <f>"1422"</f>
        <v>1422</v>
      </c>
      <c r="F3773" t="str">
        <f t="shared" si="256"/>
        <v>0000</v>
      </c>
    </row>
    <row r="3774" spans="1:6">
      <c r="C3774" t="str">
        <f t="shared" si="255"/>
        <v>4</v>
      </c>
      <c r="D3774">
        <v>27</v>
      </c>
      <c r="E3774" t="str">
        <f>"1421"</f>
        <v>1421</v>
      </c>
      <c r="F3774" t="str">
        <f t="shared" si="256"/>
        <v>0000</v>
      </c>
    </row>
    <row r="3775" spans="1:6">
      <c r="A3775" t="str">
        <f>"E1235-518"</f>
        <v>E1235-518</v>
      </c>
      <c r="B3775" t="str">
        <f>"VIA FELICE MARITANO  95-"</f>
        <v>VIA FELICE MARITANO  95-</v>
      </c>
      <c r="C3775" t="str">
        <f t="shared" si="255"/>
        <v>4</v>
      </c>
      <c r="D3775">
        <v>27</v>
      </c>
      <c r="E3775" t="str">
        <f>"124"</f>
        <v>124</v>
      </c>
      <c r="F3775" t="str">
        <f t="shared" si="256"/>
        <v>0000</v>
      </c>
    </row>
    <row r="3776" spans="1:6">
      <c r="C3776" t="str">
        <f t="shared" si="255"/>
        <v>4</v>
      </c>
      <c r="D3776">
        <v>27</v>
      </c>
      <c r="E3776" t="str">
        <f>"1241"</f>
        <v>1241</v>
      </c>
      <c r="F3776" t="str">
        <f t="shared" si="256"/>
        <v>0000</v>
      </c>
    </row>
    <row r="3777" spans="1:6">
      <c r="C3777" t="str">
        <f t="shared" si="255"/>
        <v>4</v>
      </c>
      <c r="D3777">
        <v>27</v>
      </c>
      <c r="E3777" t="str">
        <f>"1422"</f>
        <v>1422</v>
      </c>
      <c r="F3777" t="str">
        <f t="shared" si="256"/>
        <v>0000</v>
      </c>
    </row>
    <row r="3778" spans="1:6">
      <c r="C3778" t="str">
        <f t="shared" si="255"/>
        <v>4</v>
      </c>
      <c r="D3778">
        <v>27</v>
      </c>
      <c r="E3778" t="str">
        <f>"587"</f>
        <v>587</v>
      </c>
      <c r="F3778" t="str">
        <f t="shared" si="256"/>
        <v>0000</v>
      </c>
    </row>
    <row r="3779" spans="1:6">
      <c r="C3779" t="str">
        <f t="shared" si="255"/>
        <v>4</v>
      </c>
      <c r="D3779">
        <v>27</v>
      </c>
      <c r="E3779" t="str">
        <f>"589"</f>
        <v>589</v>
      </c>
      <c r="F3779" t="str">
        <f t="shared" si="256"/>
        <v>0000</v>
      </c>
    </row>
    <row r="3780" spans="1:6">
      <c r="C3780" t="str">
        <f t="shared" si="255"/>
        <v>4</v>
      </c>
      <c r="D3780">
        <v>27</v>
      </c>
      <c r="E3780" t="str">
        <f>"99999"</f>
        <v>99999</v>
      </c>
      <c r="F3780" t="str">
        <f t="shared" si="256"/>
        <v>0000</v>
      </c>
    </row>
    <row r="3781" spans="1:6">
      <c r="C3781" t="str">
        <f t="shared" si="255"/>
        <v>4</v>
      </c>
      <c r="D3781">
        <v>27</v>
      </c>
      <c r="E3781" t="str">
        <f>"975"</f>
        <v>975</v>
      </c>
      <c r="F3781" t="str">
        <f t="shared" si="256"/>
        <v>0000</v>
      </c>
    </row>
    <row r="3782" spans="1:6">
      <c r="C3782" t="str">
        <f t="shared" si="255"/>
        <v>4</v>
      </c>
      <c r="D3782">
        <v>27</v>
      </c>
      <c r="E3782" t="str">
        <f>"678"</f>
        <v>678</v>
      </c>
      <c r="F3782" t="str">
        <f t="shared" si="256"/>
        <v>0000</v>
      </c>
    </row>
    <row r="3783" spans="1:6">
      <c r="C3783" t="str">
        <f t="shared" si="255"/>
        <v>4</v>
      </c>
      <c r="D3783">
        <v>27</v>
      </c>
      <c r="E3783" t="str">
        <f>"677"</f>
        <v>677</v>
      </c>
      <c r="F3783" t="str">
        <f t="shared" si="256"/>
        <v>0000</v>
      </c>
    </row>
    <row r="3784" spans="1:6">
      <c r="C3784" t="str">
        <f t="shared" si="255"/>
        <v>4</v>
      </c>
      <c r="D3784">
        <v>27</v>
      </c>
      <c r="E3784" t="str">
        <f>"676"</f>
        <v>676</v>
      </c>
      <c r="F3784" t="str">
        <f t="shared" si="256"/>
        <v>0000</v>
      </c>
    </row>
    <row r="3785" spans="1:6">
      <c r="C3785" t="str">
        <f t="shared" si="255"/>
        <v>4</v>
      </c>
      <c r="D3785">
        <v>27</v>
      </c>
      <c r="E3785" t="str">
        <f>"588"</f>
        <v>588</v>
      </c>
      <c r="F3785" t="str">
        <f t="shared" si="256"/>
        <v>0000</v>
      </c>
    </row>
    <row r="3786" spans="1:6">
      <c r="C3786" t="str">
        <f t="shared" si="255"/>
        <v>4</v>
      </c>
      <c r="D3786">
        <v>27</v>
      </c>
      <c r="E3786" t="str">
        <f>"1855"</f>
        <v>1855</v>
      </c>
      <c r="F3786" t="str">
        <f t="shared" si="256"/>
        <v>0000</v>
      </c>
    </row>
    <row r="3787" spans="1:6">
      <c r="C3787" t="str">
        <f t="shared" si="255"/>
        <v>4</v>
      </c>
      <c r="D3787">
        <v>27</v>
      </c>
      <c r="E3787" t="str">
        <f>"1421"</f>
        <v>1421</v>
      </c>
      <c r="F3787" t="str">
        <f t="shared" si="256"/>
        <v>0000</v>
      </c>
    </row>
    <row r="3788" spans="1:6">
      <c r="A3788" t="str">
        <f>"E1235-519"</f>
        <v>E1235-519</v>
      </c>
      <c r="B3788" t="str">
        <f>"VIA FELICE MARITANO  95-"</f>
        <v>VIA FELICE MARITANO  95-</v>
      </c>
      <c r="C3788" t="str">
        <f t="shared" si="255"/>
        <v>4</v>
      </c>
      <c r="D3788">
        <v>27</v>
      </c>
      <c r="E3788" t="str">
        <f>"124"</f>
        <v>124</v>
      </c>
      <c r="F3788" t="str">
        <f t="shared" si="256"/>
        <v>0000</v>
      </c>
    </row>
    <row r="3789" spans="1:6">
      <c r="C3789" t="str">
        <f t="shared" si="255"/>
        <v>4</v>
      </c>
      <c r="D3789">
        <v>27</v>
      </c>
      <c r="E3789" t="str">
        <f>"1421"</f>
        <v>1421</v>
      </c>
      <c r="F3789" t="str">
        <f t="shared" si="256"/>
        <v>0000</v>
      </c>
    </row>
    <row r="3790" spans="1:6">
      <c r="C3790" t="str">
        <f t="shared" si="255"/>
        <v>4</v>
      </c>
      <c r="D3790">
        <v>27</v>
      </c>
      <c r="E3790" t="str">
        <f>"1422"</f>
        <v>1422</v>
      </c>
      <c r="F3790" t="str">
        <f t="shared" si="256"/>
        <v>0000</v>
      </c>
    </row>
    <row r="3791" spans="1:6">
      <c r="C3791" t="str">
        <f t="shared" si="255"/>
        <v>4</v>
      </c>
      <c r="D3791">
        <v>27</v>
      </c>
      <c r="E3791" t="str">
        <f>"1241"</f>
        <v>1241</v>
      </c>
      <c r="F3791" t="str">
        <f t="shared" si="256"/>
        <v>0000</v>
      </c>
    </row>
    <row r="3792" spans="1:6">
      <c r="C3792" t="str">
        <f t="shared" si="255"/>
        <v>4</v>
      </c>
      <c r="D3792">
        <v>27</v>
      </c>
      <c r="E3792" t="str">
        <f>"1855"</f>
        <v>1855</v>
      </c>
      <c r="F3792" t="str">
        <f t="shared" si="256"/>
        <v>0000</v>
      </c>
    </row>
    <row r="3793" spans="1:6">
      <c r="C3793" t="str">
        <f t="shared" si="255"/>
        <v>4</v>
      </c>
      <c r="D3793">
        <v>27</v>
      </c>
      <c r="E3793" t="str">
        <f>"588"</f>
        <v>588</v>
      </c>
      <c r="F3793" t="str">
        <f t="shared" si="256"/>
        <v>0000</v>
      </c>
    </row>
    <row r="3794" spans="1:6">
      <c r="C3794" t="str">
        <f t="shared" si="255"/>
        <v>4</v>
      </c>
      <c r="D3794">
        <v>27</v>
      </c>
      <c r="E3794" t="str">
        <f>"676"</f>
        <v>676</v>
      </c>
      <c r="F3794" t="str">
        <f t="shared" si="256"/>
        <v>0000</v>
      </c>
    </row>
    <row r="3795" spans="1:6">
      <c r="C3795" t="str">
        <f t="shared" si="255"/>
        <v>4</v>
      </c>
      <c r="D3795">
        <v>27</v>
      </c>
      <c r="E3795" t="str">
        <f>"678"</f>
        <v>678</v>
      </c>
      <c r="F3795" t="str">
        <f t="shared" si="256"/>
        <v>0000</v>
      </c>
    </row>
    <row r="3796" spans="1:6">
      <c r="C3796" t="str">
        <f t="shared" si="255"/>
        <v>4</v>
      </c>
      <c r="D3796">
        <v>27</v>
      </c>
      <c r="E3796" t="str">
        <f>"99999"</f>
        <v>99999</v>
      </c>
      <c r="F3796" t="str">
        <f t="shared" si="256"/>
        <v>0000</v>
      </c>
    </row>
    <row r="3797" spans="1:6">
      <c r="C3797" t="str">
        <f t="shared" si="255"/>
        <v>4</v>
      </c>
      <c r="D3797">
        <v>27</v>
      </c>
      <c r="E3797" t="str">
        <f>"975"</f>
        <v>975</v>
      </c>
      <c r="F3797" t="str">
        <f t="shared" si="256"/>
        <v>0000</v>
      </c>
    </row>
    <row r="3798" spans="1:6">
      <c r="C3798" t="str">
        <f t="shared" si="255"/>
        <v>4</v>
      </c>
      <c r="D3798">
        <v>27</v>
      </c>
      <c r="E3798" t="str">
        <f>"677"</f>
        <v>677</v>
      </c>
      <c r="F3798" t="str">
        <f t="shared" si="256"/>
        <v>0000</v>
      </c>
    </row>
    <row r="3799" spans="1:6">
      <c r="C3799" t="str">
        <f t="shared" si="255"/>
        <v>4</v>
      </c>
      <c r="D3799">
        <v>27</v>
      </c>
      <c r="E3799" t="str">
        <f>"589"</f>
        <v>589</v>
      </c>
      <c r="F3799" t="str">
        <f t="shared" si="256"/>
        <v>0000</v>
      </c>
    </row>
    <row r="3800" spans="1:6">
      <c r="C3800" t="str">
        <f t="shared" si="255"/>
        <v>4</v>
      </c>
      <c r="D3800">
        <v>27</v>
      </c>
      <c r="E3800" t="str">
        <f>"587"</f>
        <v>587</v>
      </c>
      <c r="F3800" t="str">
        <f t="shared" si="256"/>
        <v>0000</v>
      </c>
    </row>
    <row r="3801" spans="1:6">
      <c r="A3801" t="str">
        <f>"E1235-520"</f>
        <v>E1235-520</v>
      </c>
      <c r="B3801" t="str">
        <f>"VIA FELICE MARITANO  95-"</f>
        <v>VIA FELICE MARITANO  95-</v>
      </c>
      <c r="C3801" t="str">
        <f t="shared" si="255"/>
        <v>4</v>
      </c>
      <c r="D3801">
        <v>27</v>
      </c>
      <c r="E3801" t="str">
        <f>"124"</f>
        <v>124</v>
      </c>
      <c r="F3801" t="str">
        <f t="shared" si="256"/>
        <v>0000</v>
      </c>
    </row>
    <row r="3802" spans="1:6">
      <c r="C3802" t="str">
        <f t="shared" si="255"/>
        <v>4</v>
      </c>
      <c r="D3802">
        <v>27</v>
      </c>
      <c r="E3802" t="str">
        <f>"1422"</f>
        <v>1422</v>
      </c>
      <c r="F3802" t="str">
        <f t="shared" si="256"/>
        <v>0000</v>
      </c>
    </row>
    <row r="3803" spans="1:6">
      <c r="C3803" t="str">
        <f t="shared" si="255"/>
        <v>4</v>
      </c>
      <c r="D3803">
        <v>27</v>
      </c>
      <c r="E3803" t="str">
        <f>"587"</f>
        <v>587</v>
      </c>
      <c r="F3803" t="str">
        <f t="shared" si="256"/>
        <v>0000</v>
      </c>
    </row>
    <row r="3804" spans="1:6">
      <c r="C3804" t="str">
        <f t="shared" si="255"/>
        <v>4</v>
      </c>
      <c r="D3804">
        <v>27</v>
      </c>
      <c r="E3804" t="str">
        <f>"99999"</f>
        <v>99999</v>
      </c>
      <c r="F3804" t="str">
        <f t="shared" si="256"/>
        <v>0000</v>
      </c>
    </row>
    <row r="3805" spans="1:6">
      <c r="C3805" t="str">
        <f t="shared" si="255"/>
        <v>4</v>
      </c>
      <c r="D3805">
        <v>27</v>
      </c>
      <c r="E3805" t="str">
        <f>"975"</f>
        <v>975</v>
      </c>
      <c r="F3805" t="str">
        <f t="shared" si="256"/>
        <v>0000</v>
      </c>
    </row>
    <row r="3806" spans="1:6">
      <c r="C3806" t="str">
        <f t="shared" si="255"/>
        <v>4</v>
      </c>
      <c r="D3806">
        <v>27</v>
      </c>
      <c r="E3806" t="str">
        <f>"678"</f>
        <v>678</v>
      </c>
      <c r="F3806" t="str">
        <f t="shared" si="256"/>
        <v>0000</v>
      </c>
    </row>
    <row r="3807" spans="1:6">
      <c r="C3807" t="str">
        <f t="shared" si="255"/>
        <v>4</v>
      </c>
      <c r="D3807">
        <v>27</v>
      </c>
      <c r="E3807" t="str">
        <f>"677"</f>
        <v>677</v>
      </c>
      <c r="F3807" t="str">
        <f t="shared" si="256"/>
        <v>0000</v>
      </c>
    </row>
    <row r="3808" spans="1:6">
      <c r="C3808" t="str">
        <f t="shared" si="255"/>
        <v>4</v>
      </c>
      <c r="D3808">
        <v>27</v>
      </c>
      <c r="E3808" t="str">
        <f>"676"</f>
        <v>676</v>
      </c>
      <c r="F3808" t="str">
        <f t="shared" si="256"/>
        <v>0000</v>
      </c>
    </row>
    <row r="3809" spans="1:6">
      <c r="C3809" t="str">
        <f t="shared" si="255"/>
        <v>4</v>
      </c>
      <c r="D3809">
        <v>27</v>
      </c>
      <c r="E3809" t="str">
        <f>"589"</f>
        <v>589</v>
      </c>
      <c r="F3809" t="str">
        <f t="shared" si="256"/>
        <v>0000</v>
      </c>
    </row>
    <row r="3810" spans="1:6">
      <c r="C3810" t="str">
        <f t="shared" si="255"/>
        <v>4</v>
      </c>
      <c r="D3810">
        <v>27</v>
      </c>
      <c r="E3810" t="str">
        <f>"588"</f>
        <v>588</v>
      </c>
      <c r="F3810" t="str">
        <f t="shared" si="256"/>
        <v>0000</v>
      </c>
    </row>
    <row r="3811" spans="1:6">
      <c r="C3811" t="str">
        <f t="shared" si="255"/>
        <v>4</v>
      </c>
      <c r="D3811">
        <v>27</v>
      </c>
      <c r="E3811" t="str">
        <f>"1855"</f>
        <v>1855</v>
      </c>
      <c r="F3811" t="str">
        <f t="shared" si="256"/>
        <v>0000</v>
      </c>
    </row>
    <row r="3812" spans="1:6">
      <c r="C3812" t="str">
        <f t="shared" si="255"/>
        <v>4</v>
      </c>
      <c r="D3812">
        <v>27</v>
      </c>
      <c r="E3812" t="str">
        <f>"1421"</f>
        <v>1421</v>
      </c>
      <c r="F3812" t="str">
        <f t="shared" si="256"/>
        <v>0000</v>
      </c>
    </row>
    <row r="3813" spans="1:6">
      <c r="C3813" t="str">
        <f t="shared" si="255"/>
        <v>4</v>
      </c>
      <c r="D3813">
        <v>27</v>
      </c>
      <c r="E3813" t="str">
        <f>"1241"</f>
        <v>1241</v>
      </c>
      <c r="F3813" t="str">
        <f t="shared" si="256"/>
        <v>0000</v>
      </c>
    </row>
    <row r="3814" spans="1:6">
      <c r="A3814" t="str">
        <f>"E1235-521"</f>
        <v>E1235-521</v>
      </c>
      <c r="B3814" t="str">
        <f>"VIA FELICE MARITANO  95-"</f>
        <v>VIA FELICE MARITANO  95-</v>
      </c>
      <c r="C3814" t="str">
        <f t="shared" si="255"/>
        <v>4</v>
      </c>
      <c r="D3814">
        <v>27</v>
      </c>
      <c r="E3814" t="str">
        <f>"124"</f>
        <v>124</v>
      </c>
      <c r="F3814" t="str">
        <f t="shared" si="256"/>
        <v>0000</v>
      </c>
    </row>
    <row r="3815" spans="1:6">
      <c r="C3815" t="str">
        <f t="shared" si="255"/>
        <v>4</v>
      </c>
      <c r="D3815">
        <v>27</v>
      </c>
      <c r="E3815" t="str">
        <f>"1241"</f>
        <v>1241</v>
      </c>
      <c r="F3815" t="str">
        <f t="shared" si="256"/>
        <v>0000</v>
      </c>
    </row>
    <row r="3816" spans="1:6">
      <c r="C3816" t="str">
        <f t="shared" si="255"/>
        <v>4</v>
      </c>
      <c r="D3816">
        <v>27</v>
      </c>
      <c r="E3816" t="str">
        <f>"1421"</f>
        <v>1421</v>
      </c>
      <c r="F3816" t="str">
        <f t="shared" si="256"/>
        <v>0000</v>
      </c>
    </row>
    <row r="3817" spans="1:6">
      <c r="C3817" t="str">
        <f t="shared" si="255"/>
        <v>4</v>
      </c>
      <c r="D3817">
        <v>27</v>
      </c>
      <c r="E3817" t="str">
        <f>"1855"</f>
        <v>1855</v>
      </c>
      <c r="F3817" t="str">
        <f t="shared" si="256"/>
        <v>0000</v>
      </c>
    </row>
    <row r="3818" spans="1:6">
      <c r="C3818" t="str">
        <f t="shared" si="255"/>
        <v>4</v>
      </c>
      <c r="D3818">
        <v>27</v>
      </c>
      <c r="E3818" t="str">
        <f>"588"</f>
        <v>588</v>
      </c>
      <c r="F3818" t="str">
        <f t="shared" si="256"/>
        <v>0000</v>
      </c>
    </row>
    <row r="3819" spans="1:6">
      <c r="C3819" t="str">
        <f t="shared" si="255"/>
        <v>4</v>
      </c>
      <c r="D3819">
        <v>27</v>
      </c>
      <c r="E3819" t="str">
        <f>"676"</f>
        <v>676</v>
      </c>
      <c r="F3819" t="str">
        <f t="shared" si="256"/>
        <v>0000</v>
      </c>
    </row>
    <row r="3820" spans="1:6">
      <c r="C3820" t="str">
        <f t="shared" si="255"/>
        <v>4</v>
      </c>
      <c r="D3820">
        <v>27</v>
      </c>
      <c r="E3820" t="str">
        <f>"99999"</f>
        <v>99999</v>
      </c>
      <c r="F3820" t="str">
        <f t="shared" si="256"/>
        <v>0000</v>
      </c>
    </row>
    <row r="3821" spans="1:6">
      <c r="C3821" t="str">
        <f t="shared" si="255"/>
        <v>4</v>
      </c>
      <c r="D3821">
        <v>27</v>
      </c>
      <c r="E3821" t="str">
        <f>"975"</f>
        <v>975</v>
      </c>
      <c r="F3821" t="str">
        <f t="shared" si="256"/>
        <v>0000</v>
      </c>
    </row>
    <row r="3822" spans="1:6">
      <c r="C3822" t="str">
        <f t="shared" si="255"/>
        <v>4</v>
      </c>
      <c r="D3822">
        <v>27</v>
      </c>
      <c r="E3822" t="str">
        <f>"678"</f>
        <v>678</v>
      </c>
      <c r="F3822" t="str">
        <f t="shared" si="256"/>
        <v>0000</v>
      </c>
    </row>
    <row r="3823" spans="1:6">
      <c r="C3823" t="str">
        <f t="shared" si="255"/>
        <v>4</v>
      </c>
      <c r="D3823">
        <v>27</v>
      </c>
      <c r="E3823" t="str">
        <f>"677"</f>
        <v>677</v>
      </c>
      <c r="F3823" t="str">
        <f t="shared" si="256"/>
        <v>0000</v>
      </c>
    </row>
    <row r="3824" spans="1:6">
      <c r="C3824" t="str">
        <f t="shared" si="255"/>
        <v>4</v>
      </c>
      <c r="D3824">
        <v>27</v>
      </c>
      <c r="E3824" t="str">
        <f>"589"</f>
        <v>589</v>
      </c>
      <c r="F3824" t="str">
        <f t="shared" si="256"/>
        <v>0000</v>
      </c>
    </row>
    <row r="3825" spans="1:6">
      <c r="C3825" t="str">
        <f t="shared" si="255"/>
        <v>4</v>
      </c>
      <c r="D3825">
        <v>27</v>
      </c>
      <c r="E3825" t="str">
        <f>"587"</f>
        <v>587</v>
      </c>
      <c r="F3825" t="str">
        <f t="shared" si="256"/>
        <v>0000</v>
      </c>
    </row>
    <row r="3826" spans="1:6">
      <c r="C3826" t="str">
        <f t="shared" si="255"/>
        <v>4</v>
      </c>
      <c r="D3826">
        <v>27</v>
      </c>
      <c r="E3826" t="str">
        <f>"1422"</f>
        <v>1422</v>
      </c>
      <c r="F3826" t="str">
        <f t="shared" si="256"/>
        <v>0000</v>
      </c>
    </row>
    <row r="3827" spans="1:6">
      <c r="A3827" t="str">
        <f>"E1235-522"</f>
        <v>E1235-522</v>
      </c>
      <c r="B3827" t="str">
        <f>"VIA FELICE MARITANO  95-"</f>
        <v>VIA FELICE MARITANO  95-</v>
      </c>
      <c r="C3827" t="str">
        <f t="shared" si="255"/>
        <v>4</v>
      </c>
      <c r="D3827">
        <v>27</v>
      </c>
      <c r="E3827" t="str">
        <f>"124"</f>
        <v>124</v>
      </c>
      <c r="F3827" t="str">
        <f t="shared" si="256"/>
        <v>0000</v>
      </c>
    </row>
    <row r="3828" spans="1:6">
      <c r="C3828" t="str">
        <f t="shared" si="255"/>
        <v>4</v>
      </c>
      <c r="D3828">
        <v>27</v>
      </c>
      <c r="E3828" t="str">
        <f>"99999"</f>
        <v>99999</v>
      </c>
      <c r="F3828" t="str">
        <f t="shared" si="256"/>
        <v>0000</v>
      </c>
    </row>
    <row r="3829" spans="1:6">
      <c r="C3829" t="str">
        <f t="shared" si="255"/>
        <v>4</v>
      </c>
      <c r="D3829">
        <v>27</v>
      </c>
      <c r="E3829" t="str">
        <f>"975"</f>
        <v>975</v>
      </c>
      <c r="F3829" t="str">
        <f t="shared" si="256"/>
        <v>0000</v>
      </c>
    </row>
    <row r="3830" spans="1:6">
      <c r="C3830" t="str">
        <f t="shared" si="255"/>
        <v>4</v>
      </c>
      <c r="D3830">
        <v>27</v>
      </c>
      <c r="E3830" t="str">
        <f>"678"</f>
        <v>678</v>
      </c>
      <c r="F3830" t="str">
        <f t="shared" si="256"/>
        <v>0000</v>
      </c>
    </row>
    <row r="3831" spans="1:6">
      <c r="C3831" t="str">
        <f t="shared" si="255"/>
        <v>4</v>
      </c>
      <c r="D3831">
        <v>27</v>
      </c>
      <c r="E3831" t="str">
        <f>"677"</f>
        <v>677</v>
      </c>
      <c r="F3831" t="str">
        <f t="shared" si="256"/>
        <v>0000</v>
      </c>
    </row>
    <row r="3832" spans="1:6">
      <c r="C3832" t="str">
        <f t="shared" si="255"/>
        <v>4</v>
      </c>
      <c r="D3832">
        <v>27</v>
      </c>
      <c r="E3832" t="str">
        <f>"676"</f>
        <v>676</v>
      </c>
      <c r="F3832" t="str">
        <f t="shared" si="256"/>
        <v>0000</v>
      </c>
    </row>
    <row r="3833" spans="1:6">
      <c r="C3833" t="str">
        <f t="shared" si="255"/>
        <v>4</v>
      </c>
      <c r="D3833">
        <v>27</v>
      </c>
      <c r="E3833" t="str">
        <f>"589"</f>
        <v>589</v>
      </c>
      <c r="F3833" t="str">
        <f t="shared" si="256"/>
        <v>0000</v>
      </c>
    </row>
    <row r="3834" spans="1:6">
      <c r="C3834" t="str">
        <f t="shared" si="255"/>
        <v>4</v>
      </c>
      <c r="D3834">
        <v>27</v>
      </c>
      <c r="E3834" t="str">
        <f>"588"</f>
        <v>588</v>
      </c>
      <c r="F3834" t="str">
        <f t="shared" si="256"/>
        <v>0000</v>
      </c>
    </row>
    <row r="3835" spans="1:6">
      <c r="C3835" t="str">
        <f t="shared" ref="C3835:C3898" si="257">"4"</f>
        <v>4</v>
      </c>
      <c r="D3835">
        <v>27</v>
      </c>
      <c r="E3835" t="str">
        <f>"587"</f>
        <v>587</v>
      </c>
      <c r="F3835" t="str">
        <f t="shared" ref="F3835:F3898" si="258">"0000"</f>
        <v>0000</v>
      </c>
    </row>
    <row r="3836" spans="1:6">
      <c r="C3836" t="str">
        <f t="shared" si="257"/>
        <v>4</v>
      </c>
      <c r="D3836">
        <v>27</v>
      </c>
      <c r="E3836" t="str">
        <f>"1855"</f>
        <v>1855</v>
      </c>
      <c r="F3836" t="str">
        <f t="shared" si="258"/>
        <v>0000</v>
      </c>
    </row>
    <row r="3837" spans="1:6">
      <c r="C3837" t="str">
        <f t="shared" si="257"/>
        <v>4</v>
      </c>
      <c r="D3837">
        <v>27</v>
      </c>
      <c r="E3837" t="str">
        <f>"1241"</f>
        <v>1241</v>
      </c>
      <c r="F3837" t="str">
        <f t="shared" si="258"/>
        <v>0000</v>
      </c>
    </row>
    <row r="3838" spans="1:6">
      <c r="C3838" t="str">
        <f t="shared" si="257"/>
        <v>4</v>
      </c>
      <c r="D3838">
        <v>27</v>
      </c>
      <c r="E3838" t="str">
        <f>"1422"</f>
        <v>1422</v>
      </c>
      <c r="F3838" t="str">
        <f t="shared" si="258"/>
        <v>0000</v>
      </c>
    </row>
    <row r="3839" spans="1:6">
      <c r="C3839" t="str">
        <f t="shared" si="257"/>
        <v>4</v>
      </c>
      <c r="D3839">
        <v>27</v>
      </c>
      <c r="E3839" t="str">
        <f>"1421"</f>
        <v>1421</v>
      </c>
      <c r="F3839" t="str">
        <f t="shared" si="258"/>
        <v>0000</v>
      </c>
    </row>
    <row r="3840" spans="1:6">
      <c r="A3840" t="str">
        <f>"E1235-523"</f>
        <v>E1235-523</v>
      </c>
      <c r="B3840" t="str">
        <f>"VIA FELICE MARITANO  95-"</f>
        <v>VIA FELICE MARITANO  95-</v>
      </c>
      <c r="C3840" t="str">
        <f t="shared" si="257"/>
        <v>4</v>
      </c>
      <c r="D3840">
        <v>27</v>
      </c>
      <c r="E3840" t="str">
        <f>"124"</f>
        <v>124</v>
      </c>
      <c r="F3840" t="str">
        <f t="shared" si="258"/>
        <v>0000</v>
      </c>
    </row>
    <row r="3841" spans="1:6">
      <c r="C3841" t="str">
        <f t="shared" si="257"/>
        <v>4</v>
      </c>
      <c r="D3841">
        <v>27</v>
      </c>
      <c r="E3841" t="str">
        <f>"1241"</f>
        <v>1241</v>
      </c>
      <c r="F3841" t="str">
        <f t="shared" si="258"/>
        <v>0000</v>
      </c>
    </row>
    <row r="3842" spans="1:6">
      <c r="C3842" t="str">
        <f t="shared" si="257"/>
        <v>4</v>
      </c>
      <c r="D3842">
        <v>27</v>
      </c>
      <c r="E3842" t="str">
        <f>"1422"</f>
        <v>1422</v>
      </c>
      <c r="F3842" t="str">
        <f t="shared" si="258"/>
        <v>0000</v>
      </c>
    </row>
    <row r="3843" spans="1:6">
      <c r="C3843" t="str">
        <f t="shared" si="257"/>
        <v>4</v>
      </c>
      <c r="D3843">
        <v>27</v>
      </c>
      <c r="E3843" t="str">
        <f>"587"</f>
        <v>587</v>
      </c>
      <c r="F3843" t="str">
        <f t="shared" si="258"/>
        <v>0000</v>
      </c>
    </row>
    <row r="3844" spans="1:6">
      <c r="C3844" t="str">
        <f t="shared" si="257"/>
        <v>4</v>
      </c>
      <c r="D3844">
        <v>27</v>
      </c>
      <c r="E3844" t="str">
        <f>"589"</f>
        <v>589</v>
      </c>
      <c r="F3844" t="str">
        <f t="shared" si="258"/>
        <v>0000</v>
      </c>
    </row>
    <row r="3845" spans="1:6">
      <c r="C3845" t="str">
        <f t="shared" si="257"/>
        <v>4</v>
      </c>
      <c r="D3845">
        <v>27</v>
      </c>
      <c r="E3845" t="str">
        <f>"99999"</f>
        <v>99999</v>
      </c>
      <c r="F3845" t="str">
        <f t="shared" si="258"/>
        <v>0000</v>
      </c>
    </row>
    <row r="3846" spans="1:6">
      <c r="C3846" t="str">
        <f t="shared" si="257"/>
        <v>4</v>
      </c>
      <c r="D3846">
        <v>27</v>
      </c>
      <c r="E3846" t="str">
        <f>"975"</f>
        <v>975</v>
      </c>
      <c r="F3846" t="str">
        <f t="shared" si="258"/>
        <v>0000</v>
      </c>
    </row>
    <row r="3847" spans="1:6">
      <c r="C3847" t="str">
        <f t="shared" si="257"/>
        <v>4</v>
      </c>
      <c r="D3847">
        <v>27</v>
      </c>
      <c r="E3847" t="str">
        <f>"678"</f>
        <v>678</v>
      </c>
      <c r="F3847" t="str">
        <f t="shared" si="258"/>
        <v>0000</v>
      </c>
    </row>
    <row r="3848" spans="1:6">
      <c r="C3848" t="str">
        <f t="shared" si="257"/>
        <v>4</v>
      </c>
      <c r="D3848">
        <v>27</v>
      </c>
      <c r="E3848" t="str">
        <f>"677"</f>
        <v>677</v>
      </c>
      <c r="F3848" t="str">
        <f t="shared" si="258"/>
        <v>0000</v>
      </c>
    </row>
    <row r="3849" spans="1:6">
      <c r="C3849" t="str">
        <f t="shared" si="257"/>
        <v>4</v>
      </c>
      <c r="D3849">
        <v>27</v>
      </c>
      <c r="E3849" t="str">
        <f>"676"</f>
        <v>676</v>
      </c>
      <c r="F3849" t="str">
        <f t="shared" si="258"/>
        <v>0000</v>
      </c>
    </row>
    <row r="3850" spans="1:6">
      <c r="C3850" t="str">
        <f t="shared" si="257"/>
        <v>4</v>
      </c>
      <c r="D3850">
        <v>27</v>
      </c>
      <c r="E3850" t="str">
        <f>"588"</f>
        <v>588</v>
      </c>
      <c r="F3850" t="str">
        <f t="shared" si="258"/>
        <v>0000</v>
      </c>
    </row>
    <row r="3851" spans="1:6">
      <c r="C3851" t="str">
        <f t="shared" si="257"/>
        <v>4</v>
      </c>
      <c r="D3851">
        <v>27</v>
      </c>
      <c r="E3851" t="str">
        <f>"1855"</f>
        <v>1855</v>
      </c>
      <c r="F3851" t="str">
        <f t="shared" si="258"/>
        <v>0000</v>
      </c>
    </row>
    <row r="3852" spans="1:6">
      <c r="C3852" t="str">
        <f t="shared" si="257"/>
        <v>4</v>
      </c>
      <c r="D3852">
        <v>27</v>
      </c>
      <c r="E3852" t="str">
        <f>"1421"</f>
        <v>1421</v>
      </c>
      <c r="F3852" t="str">
        <f t="shared" si="258"/>
        <v>0000</v>
      </c>
    </row>
    <row r="3853" spans="1:6">
      <c r="A3853" t="str">
        <f>"E1235-524"</f>
        <v>E1235-524</v>
      </c>
      <c r="B3853" t="str">
        <f>"VIA FELICE MARITANO  95-"</f>
        <v>VIA FELICE MARITANO  95-</v>
      </c>
      <c r="C3853" t="str">
        <f t="shared" si="257"/>
        <v>4</v>
      </c>
      <c r="D3853">
        <v>27</v>
      </c>
      <c r="E3853" t="str">
        <f>"124"</f>
        <v>124</v>
      </c>
      <c r="F3853" t="str">
        <f t="shared" si="258"/>
        <v>0000</v>
      </c>
    </row>
    <row r="3854" spans="1:6">
      <c r="C3854" t="str">
        <f t="shared" si="257"/>
        <v>4</v>
      </c>
      <c r="D3854">
        <v>27</v>
      </c>
      <c r="E3854" t="str">
        <f>"1421"</f>
        <v>1421</v>
      </c>
      <c r="F3854" t="str">
        <f t="shared" si="258"/>
        <v>0000</v>
      </c>
    </row>
    <row r="3855" spans="1:6">
      <c r="C3855" t="str">
        <f t="shared" si="257"/>
        <v>4</v>
      </c>
      <c r="D3855">
        <v>27</v>
      </c>
      <c r="E3855" t="str">
        <f>"1422"</f>
        <v>1422</v>
      </c>
      <c r="F3855" t="str">
        <f t="shared" si="258"/>
        <v>0000</v>
      </c>
    </row>
    <row r="3856" spans="1:6">
      <c r="C3856" t="str">
        <f t="shared" si="257"/>
        <v>4</v>
      </c>
      <c r="D3856">
        <v>27</v>
      </c>
      <c r="E3856" t="str">
        <f>"1241"</f>
        <v>1241</v>
      </c>
      <c r="F3856" t="str">
        <f t="shared" si="258"/>
        <v>0000</v>
      </c>
    </row>
    <row r="3857" spans="1:6">
      <c r="C3857" t="str">
        <f t="shared" si="257"/>
        <v>4</v>
      </c>
      <c r="D3857">
        <v>27</v>
      </c>
      <c r="E3857" t="str">
        <f>"1855"</f>
        <v>1855</v>
      </c>
      <c r="F3857" t="str">
        <f t="shared" si="258"/>
        <v>0000</v>
      </c>
    </row>
    <row r="3858" spans="1:6">
      <c r="C3858" t="str">
        <f t="shared" si="257"/>
        <v>4</v>
      </c>
      <c r="D3858">
        <v>27</v>
      </c>
      <c r="E3858" t="str">
        <f>"588"</f>
        <v>588</v>
      </c>
      <c r="F3858" t="str">
        <f t="shared" si="258"/>
        <v>0000</v>
      </c>
    </row>
    <row r="3859" spans="1:6">
      <c r="C3859" t="str">
        <f t="shared" si="257"/>
        <v>4</v>
      </c>
      <c r="D3859">
        <v>27</v>
      </c>
      <c r="E3859" t="str">
        <f>"676"</f>
        <v>676</v>
      </c>
      <c r="F3859" t="str">
        <f t="shared" si="258"/>
        <v>0000</v>
      </c>
    </row>
    <row r="3860" spans="1:6">
      <c r="C3860" t="str">
        <f t="shared" si="257"/>
        <v>4</v>
      </c>
      <c r="D3860">
        <v>27</v>
      </c>
      <c r="E3860" t="str">
        <f>"678"</f>
        <v>678</v>
      </c>
      <c r="F3860" t="str">
        <f t="shared" si="258"/>
        <v>0000</v>
      </c>
    </row>
    <row r="3861" spans="1:6">
      <c r="C3861" t="str">
        <f t="shared" si="257"/>
        <v>4</v>
      </c>
      <c r="D3861">
        <v>27</v>
      </c>
      <c r="E3861" t="str">
        <f>"99999"</f>
        <v>99999</v>
      </c>
      <c r="F3861" t="str">
        <f t="shared" si="258"/>
        <v>0000</v>
      </c>
    </row>
    <row r="3862" spans="1:6">
      <c r="C3862" t="str">
        <f t="shared" si="257"/>
        <v>4</v>
      </c>
      <c r="D3862">
        <v>27</v>
      </c>
      <c r="E3862" t="str">
        <f>"975"</f>
        <v>975</v>
      </c>
      <c r="F3862" t="str">
        <f t="shared" si="258"/>
        <v>0000</v>
      </c>
    </row>
    <row r="3863" spans="1:6">
      <c r="C3863" t="str">
        <f t="shared" si="257"/>
        <v>4</v>
      </c>
      <c r="D3863">
        <v>27</v>
      </c>
      <c r="E3863" t="str">
        <f>"677"</f>
        <v>677</v>
      </c>
      <c r="F3863" t="str">
        <f t="shared" si="258"/>
        <v>0000</v>
      </c>
    </row>
    <row r="3864" spans="1:6">
      <c r="C3864" t="str">
        <f t="shared" si="257"/>
        <v>4</v>
      </c>
      <c r="D3864">
        <v>27</v>
      </c>
      <c r="E3864" t="str">
        <f>"589"</f>
        <v>589</v>
      </c>
      <c r="F3864" t="str">
        <f t="shared" si="258"/>
        <v>0000</v>
      </c>
    </row>
    <row r="3865" spans="1:6">
      <c r="C3865" t="str">
        <f t="shared" si="257"/>
        <v>4</v>
      </c>
      <c r="D3865">
        <v>27</v>
      </c>
      <c r="E3865" t="str">
        <f>"587"</f>
        <v>587</v>
      </c>
      <c r="F3865" t="str">
        <f t="shared" si="258"/>
        <v>0000</v>
      </c>
    </row>
    <row r="3866" spans="1:6">
      <c r="A3866" t="str">
        <f>"E1235-525"</f>
        <v>E1235-525</v>
      </c>
      <c r="B3866" t="str">
        <f>"VIA FELICE MARITANO  95-"</f>
        <v>VIA FELICE MARITANO  95-</v>
      </c>
      <c r="C3866" t="str">
        <f t="shared" si="257"/>
        <v>4</v>
      </c>
      <c r="D3866">
        <v>27</v>
      </c>
      <c r="E3866" t="str">
        <f>"124"</f>
        <v>124</v>
      </c>
      <c r="F3866" t="str">
        <f t="shared" si="258"/>
        <v>0000</v>
      </c>
    </row>
    <row r="3867" spans="1:6">
      <c r="C3867" t="str">
        <f t="shared" si="257"/>
        <v>4</v>
      </c>
      <c r="D3867">
        <v>27</v>
      </c>
      <c r="E3867" t="str">
        <f>"1422"</f>
        <v>1422</v>
      </c>
      <c r="F3867" t="str">
        <f t="shared" si="258"/>
        <v>0000</v>
      </c>
    </row>
    <row r="3868" spans="1:6">
      <c r="C3868" t="str">
        <f t="shared" si="257"/>
        <v>4</v>
      </c>
      <c r="D3868">
        <v>27</v>
      </c>
      <c r="E3868" t="str">
        <f>"587"</f>
        <v>587</v>
      </c>
      <c r="F3868" t="str">
        <f t="shared" si="258"/>
        <v>0000</v>
      </c>
    </row>
    <row r="3869" spans="1:6">
      <c r="C3869" t="str">
        <f t="shared" si="257"/>
        <v>4</v>
      </c>
      <c r="D3869">
        <v>27</v>
      </c>
      <c r="E3869" t="str">
        <f>"99999"</f>
        <v>99999</v>
      </c>
      <c r="F3869" t="str">
        <f t="shared" si="258"/>
        <v>0000</v>
      </c>
    </row>
    <row r="3870" spans="1:6">
      <c r="C3870" t="str">
        <f t="shared" si="257"/>
        <v>4</v>
      </c>
      <c r="D3870">
        <v>27</v>
      </c>
      <c r="E3870" t="str">
        <f>"975"</f>
        <v>975</v>
      </c>
      <c r="F3870" t="str">
        <f t="shared" si="258"/>
        <v>0000</v>
      </c>
    </row>
    <row r="3871" spans="1:6">
      <c r="C3871" t="str">
        <f t="shared" si="257"/>
        <v>4</v>
      </c>
      <c r="D3871">
        <v>27</v>
      </c>
      <c r="E3871" t="str">
        <f>"678"</f>
        <v>678</v>
      </c>
      <c r="F3871" t="str">
        <f t="shared" si="258"/>
        <v>0000</v>
      </c>
    </row>
    <row r="3872" spans="1:6">
      <c r="C3872" t="str">
        <f t="shared" si="257"/>
        <v>4</v>
      </c>
      <c r="D3872">
        <v>27</v>
      </c>
      <c r="E3872" t="str">
        <f>"677"</f>
        <v>677</v>
      </c>
      <c r="F3872" t="str">
        <f t="shared" si="258"/>
        <v>0000</v>
      </c>
    </row>
    <row r="3873" spans="1:6">
      <c r="C3873" t="str">
        <f t="shared" si="257"/>
        <v>4</v>
      </c>
      <c r="D3873">
        <v>27</v>
      </c>
      <c r="E3873" t="str">
        <f>"676"</f>
        <v>676</v>
      </c>
      <c r="F3873" t="str">
        <f t="shared" si="258"/>
        <v>0000</v>
      </c>
    </row>
    <row r="3874" spans="1:6">
      <c r="C3874" t="str">
        <f t="shared" si="257"/>
        <v>4</v>
      </c>
      <c r="D3874">
        <v>27</v>
      </c>
      <c r="E3874" t="str">
        <f>"589"</f>
        <v>589</v>
      </c>
      <c r="F3874" t="str">
        <f t="shared" si="258"/>
        <v>0000</v>
      </c>
    </row>
    <row r="3875" spans="1:6">
      <c r="C3875" t="str">
        <f t="shared" si="257"/>
        <v>4</v>
      </c>
      <c r="D3875">
        <v>27</v>
      </c>
      <c r="E3875" t="str">
        <f>"588"</f>
        <v>588</v>
      </c>
      <c r="F3875" t="str">
        <f t="shared" si="258"/>
        <v>0000</v>
      </c>
    </row>
    <row r="3876" spans="1:6">
      <c r="C3876" t="str">
        <f t="shared" si="257"/>
        <v>4</v>
      </c>
      <c r="D3876">
        <v>27</v>
      </c>
      <c r="E3876" t="str">
        <f>"1855"</f>
        <v>1855</v>
      </c>
      <c r="F3876" t="str">
        <f t="shared" si="258"/>
        <v>0000</v>
      </c>
    </row>
    <row r="3877" spans="1:6">
      <c r="C3877" t="str">
        <f t="shared" si="257"/>
        <v>4</v>
      </c>
      <c r="D3877">
        <v>27</v>
      </c>
      <c r="E3877" t="str">
        <f>"1421"</f>
        <v>1421</v>
      </c>
      <c r="F3877" t="str">
        <f t="shared" si="258"/>
        <v>0000</v>
      </c>
    </row>
    <row r="3878" spans="1:6">
      <c r="C3878" t="str">
        <f t="shared" si="257"/>
        <v>4</v>
      </c>
      <c r="D3878">
        <v>27</v>
      </c>
      <c r="E3878" t="str">
        <f>"1241"</f>
        <v>1241</v>
      </c>
      <c r="F3878" t="str">
        <f t="shared" si="258"/>
        <v>0000</v>
      </c>
    </row>
    <row r="3879" spans="1:6">
      <c r="A3879" t="str">
        <f>"E1235-526"</f>
        <v>E1235-526</v>
      </c>
      <c r="B3879" t="str">
        <f>"VIA FELICE MARITANO  95-"</f>
        <v>VIA FELICE MARITANO  95-</v>
      </c>
      <c r="C3879" t="str">
        <f t="shared" si="257"/>
        <v>4</v>
      </c>
      <c r="D3879">
        <v>27</v>
      </c>
      <c r="E3879" t="str">
        <f>"124"</f>
        <v>124</v>
      </c>
      <c r="F3879" t="str">
        <f t="shared" si="258"/>
        <v>0000</v>
      </c>
    </row>
    <row r="3880" spans="1:6">
      <c r="C3880" t="str">
        <f t="shared" si="257"/>
        <v>4</v>
      </c>
      <c r="D3880">
        <v>27</v>
      </c>
      <c r="E3880" t="str">
        <f>"1241"</f>
        <v>1241</v>
      </c>
      <c r="F3880" t="str">
        <f t="shared" si="258"/>
        <v>0000</v>
      </c>
    </row>
    <row r="3881" spans="1:6">
      <c r="C3881" t="str">
        <f t="shared" si="257"/>
        <v>4</v>
      </c>
      <c r="D3881">
        <v>27</v>
      </c>
      <c r="E3881" t="str">
        <f>"1421"</f>
        <v>1421</v>
      </c>
      <c r="F3881" t="str">
        <f t="shared" si="258"/>
        <v>0000</v>
      </c>
    </row>
    <row r="3882" spans="1:6">
      <c r="C3882" t="str">
        <f t="shared" si="257"/>
        <v>4</v>
      </c>
      <c r="D3882">
        <v>27</v>
      </c>
      <c r="E3882" t="str">
        <f>"1855"</f>
        <v>1855</v>
      </c>
      <c r="F3882" t="str">
        <f t="shared" si="258"/>
        <v>0000</v>
      </c>
    </row>
    <row r="3883" spans="1:6">
      <c r="C3883" t="str">
        <f t="shared" si="257"/>
        <v>4</v>
      </c>
      <c r="D3883">
        <v>27</v>
      </c>
      <c r="E3883" t="str">
        <f>"588"</f>
        <v>588</v>
      </c>
      <c r="F3883" t="str">
        <f t="shared" si="258"/>
        <v>0000</v>
      </c>
    </row>
    <row r="3884" spans="1:6">
      <c r="C3884" t="str">
        <f t="shared" si="257"/>
        <v>4</v>
      </c>
      <c r="D3884">
        <v>27</v>
      </c>
      <c r="E3884" t="str">
        <f>"676"</f>
        <v>676</v>
      </c>
      <c r="F3884" t="str">
        <f t="shared" si="258"/>
        <v>0000</v>
      </c>
    </row>
    <row r="3885" spans="1:6">
      <c r="C3885" t="str">
        <f t="shared" si="257"/>
        <v>4</v>
      </c>
      <c r="D3885">
        <v>27</v>
      </c>
      <c r="E3885" t="str">
        <f>"99999"</f>
        <v>99999</v>
      </c>
      <c r="F3885" t="str">
        <f t="shared" si="258"/>
        <v>0000</v>
      </c>
    </row>
    <row r="3886" spans="1:6">
      <c r="C3886" t="str">
        <f t="shared" si="257"/>
        <v>4</v>
      </c>
      <c r="D3886">
        <v>27</v>
      </c>
      <c r="E3886" t="str">
        <f>"975"</f>
        <v>975</v>
      </c>
      <c r="F3886" t="str">
        <f t="shared" si="258"/>
        <v>0000</v>
      </c>
    </row>
    <row r="3887" spans="1:6">
      <c r="C3887" t="str">
        <f t="shared" si="257"/>
        <v>4</v>
      </c>
      <c r="D3887">
        <v>27</v>
      </c>
      <c r="E3887" t="str">
        <f>"678"</f>
        <v>678</v>
      </c>
      <c r="F3887" t="str">
        <f t="shared" si="258"/>
        <v>0000</v>
      </c>
    </row>
    <row r="3888" spans="1:6">
      <c r="C3888" t="str">
        <f t="shared" si="257"/>
        <v>4</v>
      </c>
      <c r="D3888">
        <v>27</v>
      </c>
      <c r="E3888" t="str">
        <f>"677"</f>
        <v>677</v>
      </c>
      <c r="F3888" t="str">
        <f t="shared" si="258"/>
        <v>0000</v>
      </c>
    </row>
    <row r="3889" spans="1:6">
      <c r="C3889" t="str">
        <f t="shared" si="257"/>
        <v>4</v>
      </c>
      <c r="D3889">
        <v>27</v>
      </c>
      <c r="E3889" t="str">
        <f>"589"</f>
        <v>589</v>
      </c>
      <c r="F3889" t="str">
        <f t="shared" si="258"/>
        <v>0000</v>
      </c>
    </row>
    <row r="3890" spans="1:6">
      <c r="C3890" t="str">
        <f t="shared" si="257"/>
        <v>4</v>
      </c>
      <c r="D3890">
        <v>27</v>
      </c>
      <c r="E3890" t="str">
        <f>"587"</f>
        <v>587</v>
      </c>
      <c r="F3890" t="str">
        <f t="shared" si="258"/>
        <v>0000</v>
      </c>
    </row>
    <row r="3891" spans="1:6">
      <c r="C3891" t="str">
        <f t="shared" si="257"/>
        <v>4</v>
      </c>
      <c r="D3891">
        <v>27</v>
      </c>
      <c r="E3891" t="str">
        <f>"1422"</f>
        <v>1422</v>
      </c>
      <c r="F3891" t="str">
        <f t="shared" si="258"/>
        <v>0000</v>
      </c>
    </row>
    <row r="3892" spans="1:6">
      <c r="A3892" t="str">
        <f>"E1235-527"</f>
        <v>E1235-527</v>
      </c>
      <c r="B3892" t="str">
        <f>"VIA FELICE MARITANO  95-"</f>
        <v>VIA FELICE MARITANO  95-</v>
      </c>
      <c r="C3892" t="str">
        <f t="shared" si="257"/>
        <v>4</v>
      </c>
      <c r="D3892">
        <v>27</v>
      </c>
      <c r="E3892" t="str">
        <f>"124"</f>
        <v>124</v>
      </c>
      <c r="F3892" t="str">
        <f t="shared" si="258"/>
        <v>0000</v>
      </c>
    </row>
    <row r="3893" spans="1:6">
      <c r="C3893" t="str">
        <f t="shared" si="257"/>
        <v>4</v>
      </c>
      <c r="D3893">
        <v>27</v>
      </c>
      <c r="E3893" t="str">
        <f>"99999"</f>
        <v>99999</v>
      </c>
      <c r="F3893" t="str">
        <f t="shared" si="258"/>
        <v>0000</v>
      </c>
    </row>
    <row r="3894" spans="1:6">
      <c r="C3894" t="str">
        <f t="shared" si="257"/>
        <v>4</v>
      </c>
      <c r="D3894">
        <v>27</v>
      </c>
      <c r="E3894" t="str">
        <f>"975"</f>
        <v>975</v>
      </c>
      <c r="F3894" t="str">
        <f t="shared" si="258"/>
        <v>0000</v>
      </c>
    </row>
    <row r="3895" spans="1:6">
      <c r="C3895" t="str">
        <f t="shared" si="257"/>
        <v>4</v>
      </c>
      <c r="D3895">
        <v>27</v>
      </c>
      <c r="E3895" t="str">
        <f>"678"</f>
        <v>678</v>
      </c>
      <c r="F3895" t="str">
        <f t="shared" si="258"/>
        <v>0000</v>
      </c>
    </row>
    <row r="3896" spans="1:6">
      <c r="C3896" t="str">
        <f t="shared" si="257"/>
        <v>4</v>
      </c>
      <c r="D3896">
        <v>27</v>
      </c>
      <c r="E3896" t="str">
        <f>"677"</f>
        <v>677</v>
      </c>
      <c r="F3896" t="str">
        <f t="shared" si="258"/>
        <v>0000</v>
      </c>
    </row>
    <row r="3897" spans="1:6">
      <c r="C3897" t="str">
        <f t="shared" si="257"/>
        <v>4</v>
      </c>
      <c r="D3897">
        <v>27</v>
      </c>
      <c r="E3897" t="str">
        <f>"676"</f>
        <v>676</v>
      </c>
      <c r="F3897" t="str">
        <f t="shared" si="258"/>
        <v>0000</v>
      </c>
    </row>
    <row r="3898" spans="1:6">
      <c r="C3898" t="str">
        <f t="shared" si="257"/>
        <v>4</v>
      </c>
      <c r="D3898">
        <v>27</v>
      </c>
      <c r="E3898" t="str">
        <f>"589"</f>
        <v>589</v>
      </c>
      <c r="F3898" t="str">
        <f t="shared" si="258"/>
        <v>0000</v>
      </c>
    </row>
    <row r="3899" spans="1:6">
      <c r="C3899" t="str">
        <f t="shared" ref="C3899:C3962" si="259">"4"</f>
        <v>4</v>
      </c>
      <c r="D3899">
        <v>27</v>
      </c>
      <c r="E3899" t="str">
        <f>"588"</f>
        <v>588</v>
      </c>
      <c r="F3899" t="str">
        <f t="shared" ref="F3899:F3962" si="260">"0000"</f>
        <v>0000</v>
      </c>
    </row>
    <row r="3900" spans="1:6">
      <c r="C3900" t="str">
        <f t="shared" si="259"/>
        <v>4</v>
      </c>
      <c r="D3900">
        <v>27</v>
      </c>
      <c r="E3900" t="str">
        <f>"587"</f>
        <v>587</v>
      </c>
      <c r="F3900" t="str">
        <f t="shared" si="260"/>
        <v>0000</v>
      </c>
    </row>
    <row r="3901" spans="1:6">
      <c r="C3901" t="str">
        <f t="shared" si="259"/>
        <v>4</v>
      </c>
      <c r="D3901">
        <v>27</v>
      </c>
      <c r="E3901" t="str">
        <f>"1855"</f>
        <v>1855</v>
      </c>
      <c r="F3901" t="str">
        <f t="shared" si="260"/>
        <v>0000</v>
      </c>
    </row>
    <row r="3902" spans="1:6">
      <c r="C3902" t="str">
        <f t="shared" si="259"/>
        <v>4</v>
      </c>
      <c r="D3902">
        <v>27</v>
      </c>
      <c r="E3902" t="str">
        <f>"1241"</f>
        <v>1241</v>
      </c>
      <c r="F3902" t="str">
        <f t="shared" si="260"/>
        <v>0000</v>
      </c>
    </row>
    <row r="3903" spans="1:6">
      <c r="C3903" t="str">
        <f t="shared" si="259"/>
        <v>4</v>
      </c>
      <c r="D3903">
        <v>27</v>
      </c>
      <c r="E3903" t="str">
        <f>"1422"</f>
        <v>1422</v>
      </c>
      <c r="F3903" t="str">
        <f t="shared" si="260"/>
        <v>0000</v>
      </c>
    </row>
    <row r="3904" spans="1:6">
      <c r="C3904" t="str">
        <f t="shared" si="259"/>
        <v>4</v>
      </c>
      <c r="D3904">
        <v>27</v>
      </c>
      <c r="E3904" t="str">
        <f>"1421"</f>
        <v>1421</v>
      </c>
      <c r="F3904" t="str">
        <f t="shared" si="260"/>
        <v>0000</v>
      </c>
    </row>
    <row r="3905" spans="1:6">
      <c r="A3905" t="str">
        <f>"E1235-528"</f>
        <v>E1235-528</v>
      </c>
      <c r="B3905" t="str">
        <f>"VIA FELICE MARITANO  95-"</f>
        <v>VIA FELICE MARITANO  95-</v>
      </c>
      <c r="C3905" t="str">
        <f t="shared" si="259"/>
        <v>4</v>
      </c>
      <c r="D3905">
        <v>27</v>
      </c>
      <c r="E3905" t="str">
        <f>"124"</f>
        <v>124</v>
      </c>
      <c r="F3905" t="str">
        <f t="shared" si="260"/>
        <v>0000</v>
      </c>
    </row>
    <row r="3906" spans="1:6">
      <c r="C3906" t="str">
        <f t="shared" si="259"/>
        <v>4</v>
      </c>
      <c r="D3906">
        <v>27</v>
      </c>
      <c r="E3906" t="str">
        <f>"1241"</f>
        <v>1241</v>
      </c>
      <c r="F3906" t="str">
        <f t="shared" si="260"/>
        <v>0000</v>
      </c>
    </row>
    <row r="3907" spans="1:6">
      <c r="C3907" t="str">
        <f t="shared" si="259"/>
        <v>4</v>
      </c>
      <c r="D3907">
        <v>27</v>
      </c>
      <c r="E3907" t="str">
        <f>"1422"</f>
        <v>1422</v>
      </c>
      <c r="F3907" t="str">
        <f t="shared" si="260"/>
        <v>0000</v>
      </c>
    </row>
    <row r="3908" spans="1:6">
      <c r="C3908" t="str">
        <f t="shared" si="259"/>
        <v>4</v>
      </c>
      <c r="D3908">
        <v>27</v>
      </c>
      <c r="E3908" t="str">
        <f>"587"</f>
        <v>587</v>
      </c>
      <c r="F3908" t="str">
        <f t="shared" si="260"/>
        <v>0000</v>
      </c>
    </row>
    <row r="3909" spans="1:6">
      <c r="C3909" t="str">
        <f t="shared" si="259"/>
        <v>4</v>
      </c>
      <c r="D3909">
        <v>27</v>
      </c>
      <c r="E3909" t="str">
        <f>"589"</f>
        <v>589</v>
      </c>
      <c r="F3909" t="str">
        <f t="shared" si="260"/>
        <v>0000</v>
      </c>
    </row>
    <row r="3910" spans="1:6">
      <c r="C3910" t="str">
        <f t="shared" si="259"/>
        <v>4</v>
      </c>
      <c r="D3910">
        <v>27</v>
      </c>
      <c r="E3910" t="str">
        <f>"99999"</f>
        <v>99999</v>
      </c>
      <c r="F3910" t="str">
        <f t="shared" si="260"/>
        <v>0000</v>
      </c>
    </row>
    <row r="3911" spans="1:6">
      <c r="C3911" t="str">
        <f t="shared" si="259"/>
        <v>4</v>
      </c>
      <c r="D3911">
        <v>27</v>
      </c>
      <c r="E3911" t="str">
        <f>"975"</f>
        <v>975</v>
      </c>
      <c r="F3911" t="str">
        <f t="shared" si="260"/>
        <v>0000</v>
      </c>
    </row>
    <row r="3912" spans="1:6">
      <c r="C3912" t="str">
        <f t="shared" si="259"/>
        <v>4</v>
      </c>
      <c r="D3912">
        <v>27</v>
      </c>
      <c r="E3912" t="str">
        <f>"678"</f>
        <v>678</v>
      </c>
      <c r="F3912" t="str">
        <f t="shared" si="260"/>
        <v>0000</v>
      </c>
    </row>
    <row r="3913" spans="1:6">
      <c r="C3913" t="str">
        <f t="shared" si="259"/>
        <v>4</v>
      </c>
      <c r="D3913">
        <v>27</v>
      </c>
      <c r="E3913" t="str">
        <f>"677"</f>
        <v>677</v>
      </c>
      <c r="F3913" t="str">
        <f t="shared" si="260"/>
        <v>0000</v>
      </c>
    </row>
    <row r="3914" spans="1:6">
      <c r="C3914" t="str">
        <f t="shared" si="259"/>
        <v>4</v>
      </c>
      <c r="D3914">
        <v>27</v>
      </c>
      <c r="E3914" t="str">
        <f>"676"</f>
        <v>676</v>
      </c>
      <c r="F3914" t="str">
        <f t="shared" si="260"/>
        <v>0000</v>
      </c>
    </row>
    <row r="3915" spans="1:6">
      <c r="C3915" t="str">
        <f t="shared" si="259"/>
        <v>4</v>
      </c>
      <c r="D3915">
        <v>27</v>
      </c>
      <c r="E3915" t="str">
        <f>"588"</f>
        <v>588</v>
      </c>
      <c r="F3915" t="str">
        <f t="shared" si="260"/>
        <v>0000</v>
      </c>
    </row>
    <row r="3916" spans="1:6">
      <c r="C3916" t="str">
        <f t="shared" si="259"/>
        <v>4</v>
      </c>
      <c r="D3916">
        <v>27</v>
      </c>
      <c r="E3916" t="str">
        <f>"1855"</f>
        <v>1855</v>
      </c>
      <c r="F3916" t="str">
        <f t="shared" si="260"/>
        <v>0000</v>
      </c>
    </row>
    <row r="3917" spans="1:6">
      <c r="C3917" t="str">
        <f t="shared" si="259"/>
        <v>4</v>
      </c>
      <c r="D3917">
        <v>27</v>
      </c>
      <c r="E3917" t="str">
        <f>"1421"</f>
        <v>1421</v>
      </c>
      <c r="F3917" t="str">
        <f t="shared" si="260"/>
        <v>0000</v>
      </c>
    </row>
    <row r="3918" spans="1:6">
      <c r="A3918" t="str">
        <f>"E1235-529"</f>
        <v>E1235-529</v>
      </c>
      <c r="B3918" t="str">
        <f>"VIA FELICE MARITANO  95-"</f>
        <v>VIA FELICE MARITANO  95-</v>
      </c>
      <c r="C3918" t="str">
        <f t="shared" si="259"/>
        <v>4</v>
      </c>
      <c r="D3918">
        <v>27</v>
      </c>
      <c r="E3918" t="str">
        <f>"124"</f>
        <v>124</v>
      </c>
      <c r="F3918" t="str">
        <f t="shared" si="260"/>
        <v>0000</v>
      </c>
    </row>
    <row r="3919" spans="1:6">
      <c r="C3919" t="str">
        <f t="shared" si="259"/>
        <v>4</v>
      </c>
      <c r="D3919">
        <v>27</v>
      </c>
      <c r="E3919" t="str">
        <f>"1421"</f>
        <v>1421</v>
      </c>
      <c r="F3919" t="str">
        <f t="shared" si="260"/>
        <v>0000</v>
      </c>
    </row>
    <row r="3920" spans="1:6">
      <c r="C3920" t="str">
        <f t="shared" si="259"/>
        <v>4</v>
      </c>
      <c r="D3920">
        <v>27</v>
      </c>
      <c r="E3920" t="str">
        <f>"1422"</f>
        <v>1422</v>
      </c>
      <c r="F3920" t="str">
        <f t="shared" si="260"/>
        <v>0000</v>
      </c>
    </row>
    <row r="3921" spans="1:6">
      <c r="C3921" t="str">
        <f t="shared" si="259"/>
        <v>4</v>
      </c>
      <c r="D3921">
        <v>27</v>
      </c>
      <c r="E3921" t="str">
        <f>"1241"</f>
        <v>1241</v>
      </c>
      <c r="F3921" t="str">
        <f t="shared" si="260"/>
        <v>0000</v>
      </c>
    </row>
    <row r="3922" spans="1:6">
      <c r="C3922" t="str">
        <f t="shared" si="259"/>
        <v>4</v>
      </c>
      <c r="D3922">
        <v>27</v>
      </c>
      <c r="E3922" t="str">
        <f>"1855"</f>
        <v>1855</v>
      </c>
      <c r="F3922" t="str">
        <f t="shared" si="260"/>
        <v>0000</v>
      </c>
    </row>
    <row r="3923" spans="1:6">
      <c r="C3923" t="str">
        <f t="shared" si="259"/>
        <v>4</v>
      </c>
      <c r="D3923">
        <v>27</v>
      </c>
      <c r="E3923" t="str">
        <f>"588"</f>
        <v>588</v>
      </c>
      <c r="F3923" t="str">
        <f t="shared" si="260"/>
        <v>0000</v>
      </c>
    </row>
    <row r="3924" spans="1:6">
      <c r="C3924" t="str">
        <f t="shared" si="259"/>
        <v>4</v>
      </c>
      <c r="D3924">
        <v>27</v>
      </c>
      <c r="E3924" t="str">
        <f>"676"</f>
        <v>676</v>
      </c>
      <c r="F3924" t="str">
        <f t="shared" si="260"/>
        <v>0000</v>
      </c>
    </row>
    <row r="3925" spans="1:6">
      <c r="C3925" t="str">
        <f t="shared" si="259"/>
        <v>4</v>
      </c>
      <c r="D3925">
        <v>27</v>
      </c>
      <c r="E3925" t="str">
        <f>"678"</f>
        <v>678</v>
      </c>
      <c r="F3925" t="str">
        <f t="shared" si="260"/>
        <v>0000</v>
      </c>
    </row>
    <row r="3926" spans="1:6">
      <c r="C3926" t="str">
        <f t="shared" si="259"/>
        <v>4</v>
      </c>
      <c r="D3926">
        <v>27</v>
      </c>
      <c r="E3926" t="str">
        <f>"99999"</f>
        <v>99999</v>
      </c>
      <c r="F3926" t="str">
        <f t="shared" si="260"/>
        <v>0000</v>
      </c>
    </row>
    <row r="3927" spans="1:6">
      <c r="C3927" t="str">
        <f t="shared" si="259"/>
        <v>4</v>
      </c>
      <c r="D3927">
        <v>27</v>
      </c>
      <c r="E3927" t="str">
        <f>"975"</f>
        <v>975</v>
      </c>
      <c r="F3927" t="str">
        <f t="shared" si="260"/>
        <v>0000</v>
      </c>
    </row>
    <row r="3928" spans="1:6">
      <c r="C3928" t="str">
        <f t="shared" si="259"/>
        <v>4</v>
      </c>
      <c r="D3928">
        <v>27</v>
      </c>
      <c r="E3928" t="str">
        <f>"677"</f>
        <v>677</v>
      </c>
      <c r="F3928" t="str">
        <f t="shared" si="260"/>
        <v>0000</v>
      </c>
    </row>
    <row r="3929" spans="1:6">
      <c r="C3929" t="str">
        <f t="shared" si="259"/>
        <v>4</v>
      </c>
      <c r="D3929">
        <v>27</v>
      </c>
      <c r="E3929" t="str">
        <f>"589"</f>
        <v>589</v>
      </c>
      <c r="F3929" t="str">
        <f t="shared" si="260"/>
        <v>0000</v>
      </c>
    </row>
    <row r="3930" spans="1:6">
      <c r="C3930" t="str">
        <f t="shared" si="259"/>
        <v>4</v>
      </c>
      <c r="D3930">
        <v>27</v>
      </c>
      <c r="E3930" t="str">
        <f>"587"</f>
        <v>587</v>
      </c>
      <c r="F3930" t="str">
        <f t="shared" si="260"/>
        <v>0000</v>
      </c>
    </row>
    <row r="3931" spans="1:6">
      <c r="A3931" t="str">
        <f>"E1235-530"</f>
        <v>E1235-530</v>
      </c>
      <c r="B3931" t="str">
        <f>"VIA FELICE MARITANO  95-"</f>
        <v>VIA FELICE MARITANO  95-</v>
      </c>
      <c r="C3931" t="str">
        <f t="shared" si="259"/>
        <v>4</v>
      </c>
      <c r="D3931">
        <v>27</v>
      </c>
      <c r="E3931" t="str">
        <f>"124"</f>
        <v>124</v>
      </c>
      <c r="F3931" t="str">
        <f t="shared" si="260"/>
        <v>0000</v>
      </c>
    </row>
    <row r="3932" spans="1:6">
      <c r="C3932" t="str">
        <f t="shared" si="259"/>
        <v>4</v>
      </c>
      <c r="D3932">
        <v>27</v>
      </c>
      <c r="E3932" t="str">
        <f>"1422"</f>
        <v>1422</v>
      </c>
      <c r="F3932" t="str">
        <f t="shared" si="260"/>
        <v>0000</v>
      </c>
    </row>
    <row r="3933" spans="1:6">
      <c r="C3933" t="str">
        <f t="shared" si="259"/>
        <v>4</v>
      </c>
      <c r="D3933">
        <v>27</v>
      </c>
      <c r="E3933" t="str">
        <f>"587"</f>
        <v>587</v>
      </c>
      <c r="F3933" t="str">
        <f t="shared" si="260"/>
        <v>0000</v>
      </c>
    </row>
    <row r="3934" spans="1:6">
      <c r="C3934" t="str">
        <f t="shared" si="259"/>
        <v>4</v>
      </c>
      <c r="D3934">
        <v>27</v>
      </c>
      <c r="E3934" t="str">
        <f>"99999"</f>
        <v>99999</v>
      </c>
      <c r="F3934" t="str">
        <f t="shared" si="260"/>
        <v>0000</v>
      </c>
    </row>
    <row r="3935" spans="1:6">
      <c r="C3935" t="str">
        <f t="shared" si="259"/>
        <v>4</v>
      </c>
      <c r="D3935">
        <v>27</v>
      </c>
      <c r="E3935" t="str">
        <f>"975"</f>
        <v>975</v>
      </c>
      <c r="F3935" t="str">
        <f t="shared" si="260"/>
        <v>0000</v>
      </c>
    </row>
    <row r="3936" spans="1:6">
      <c r="C3936" t="str">
        <f t="shared" si="259"/>
        <v>4</v>
      </c>
      <c r="D3936">
        <v>27</v>
      </c>
      <c r="E3936" t="str">
        <f>"678"</f>
        <v>678</v>
      </c>
      <c r="F3936" t="str">
        <f t="shared" si="260"/>
        <v>0000</v>
      </c>
    </row>
    <row r="3937" spans="1:6">
      <c r="C3937" t="str">
        <f t="shared" si="259"/>
        <v>4</v>
      </c>
      <c r="D3937">
        <v>27</v>
      </c>
      <c r="E3937" t="str">
        <f>"677"</f>
        <v>677</v>
      </c>
      <c r="F3937" t="str">
        <f t="shared" si="260"/>
        <v>0000</v>
      </c>
    </row>
    <row r="3938" spans="1:6">
      <c r="C3938" t="str">
        <f t="shared" si="259"/>
        <v>4</v>
      </c>
      <c r="D3938">
        <v>27</v>
      </c>
      <c r="E3938" t="str">
        <f>"676"</f>
        <v>676</v>
      </c>
      <c r="F3938" t="str">
        <f t="shared" si="260"/>
        <v>0000</v>
      </c>
    </row>
    <row r="3939" spans="1:6">
      <c r="C3939" t="str">
        <f t="shared" si="259"/>
        <v>4</v>
      </c>
      <c r="D3939">
        <v>27</v>
      </c>
      <c r="E3939" t="str">
        <f>"589"</f>
        <v>589</v>
      </c>
      <c r="F3939" t="str">
        <f t="shared" si="260"/>
        <v>0000</v>
      </c>
    </row>
    <row r="3940" spans="1:6">
      <c r="C3940" t="str">
        <f t="shared" si="259"/>
        <v>4</v>
      </c>
      <c r="D3940">
        <v>27</v>
      </c>
      <c r="E3940" t="str">
        <f>"588"</f>
        <v>588</v>
      </c>
      <c r="F3940" t="str">
        <f t="shared" si="260"/>
        <v>0000</v>
      </c>
    </row>
    <row r="3941" spans="1:6">
      <c r="C3941" t="str">
        <f t="shared" si="259"/>
        <v>4</v>
      </c>
      <c r="D3941">
        <v>27</v>
      </c>
      <c r="E3941" t="str">
        <f>"1855"</f>
        <v>1855</v>
      </c>
      <c r="F3941" t="str">
        <f t="shared" si="260"/>
        <v>0000</v>
      </c>
    </row>
    <row r="3942" spans="1:6">
      <c r="C3942" t="str">
        <f t="shared" si="259"/>
        <v>4</v>
      </c>
      <c r="D3942">
        <v>27</v>
      </c>
      <c r="E3942" t="str">
        <f>"1421"</f>
        <v>1421</v>
      </c>
      <c r="F3942" t="str">
        <f t="shared" si="260"/>
        <v>0000</v>
      </c>
    </row>
    <row r="3943" spans="1:6">
      <c r="C3943" t="str">
        <f t="shared" si="259"/>
        <v>4</v>
      </c>
      <c r="D3943">
        <v>27</v>
      </c>
      <c r="E3943" t="str">
        <f>"1241"</f>
        <v>1241</v>
      </c>
      <c r="F3943" t="str">
        <f t="shared" si="260"/>
        <v>0000</v>
      </c>
    </row>
    <row r="3944" spans="1:6">
      <c r="A3944" t="str">
        <f>"E1235-531"</f>
        <v>E1235-531</v>
      </c>
      <c r="B3944" t="str">
        <f>"VIA FELICE MARITANO  95-"</f>
        <v>VIA FELICE MARITANO  95-</v>
      </c>
      <c r="C3944" t="str">
        <f t="shared" si="259"/>
        <v>4</v>
      </c>
      <c r="D3944">
        <v>27</v>
      </c>
      <c r="E3944" t="str">
        <f>"124"</f>
        <v>124</v>
      </c>
      <c r="F3944" t="str">
        <f t="shared" si="260"/>
        <v>0000</v>
      </c>
    </row>
    <row r="3945" spans="1:6">
      <c r="C3945" t="str">
        <f t="shared" si="259"/>
        <v>4</v>
      </c>
      <c r="D3945">
        <v>27</v>
      </c>
      <c r="E3945" t="str">
        <f>"1241"</f>
        <v>1241</v>
      </c>
      <c r="F3945" t="str">
        <f t="shared" si="260"/>
        <v>0000</v>
      </c>
    </row>
    <row r="3946" spans="1:6">
      <c r="C3946" t="str">
        <f t="shared" si="259"/>
        <v>4</v>
      </c>
      <c r="D3946">
        <v>27</v>
      </c>
      <c r="E3946" t="str">
        <f>"1421"</f>
        <v>1421</v>
      </c>
      <c r="F3946" t="str">
        <f t="shared" si="260"/>
        <v>0000</v>
      </c>
    </row>
    <row r="3947" spans="1:6">
      <c r="C3947" t="str">
        <f t="shared" si="259"/>
        <v>4</v>
      </c>
      <c r="D3947">
        <v>27</v>
      </c>
      <c r="E3947" t="str">
        <f>"1855"</f>
        <v>1855</v>
      </c>
      <c r="F3947" t="str">
        <f t="shared" si="260"/>
        <v>0000</v>
      </c>
    </row>
    <row r="3948" spans="1:6">
      <c r="C3948" t="str">
        <f t="shared" si="259"/>
        <v>4</v>
      </c>
      <c r="D3948">
        <v>27</v>
      </c>
      <c r="E3948" t="str">
        <f>"588"</f>
        <v>588</v>
      </c>
      <c r="F3948" t="str">
        <f t="shared" si="260"/>
        <v>0000</v>
      </c>
    </row>
    <row r="3949" spans="1:6">
      <c r="C3949" t="str">
        <f t="shared" si="259"/>
        <v>4</v>
      </c>
      <c r="D3949">
        <v>27</v>
      </c>
      <c r="E3949" t="str">
        <f>"676"</f>
        <v>676</v>
      </c>
      <c r="F3949" t="str">
        <f t="shared" si="260"/>
        <v>0000</v>
      </c>
    </row>
    <row r="3950" spans="1:6">
      <c r="C3950" t="str">
        <f t="shared" si="259"/>
        <v>4</v>
      </c>
      <c r="D3950">
        <v>27</v>
      </c>
      <c r="E3950" t="str">
        <f>"99999"</f>
        <v>99999</v>
      </c>
      <c r="F3950" t="str">
        <f t="shared" si="260"/>
        <v>0000</v>
      </c>
    </row>
    <row r="3951" spans="1:6">
      <c r="C3951" t="str">
        <f t="shared" si="259"/>
        <v>4</v>
      </c>
      <c r="D3951">
        <v>27</v>
      </c>
      <c r="E3951" t="str">
        <f>"975"</f>
        <v>975</v>
      </c>
      <c r="F3951" t="str">
        <f t="shared" si="260"/>
        <v>0000</v>
      </c>
    </row>
    <row r="3952" spans="1:6">
      <c r="C3952" t="str">
        <f t="shared" si="259"/>
        <v>4</v>
      </c>
      <c r="D3952">
        <v>27</v>
      </c>
      <c r="E3952" t="str">
        <f>"678"</f>
        <v>678</v>
      </c>
      <c r="F3952" t="str">
        <f t="shared" si="260"/>
        <v>0000</v>
      </c>
    </row>
    <row r="3953" spans="1:6">
      <c r="C3953" t="str">
        <f t="shared" si="259"/>
        <v>4</v>
      </c>
      <c r="D3953">
        <v>27</v>
      </c>
      <c r="E3953" t="str">
        <f>"677"</f>
        <v>677</v>
      </c>
      <c r="F3953" t="str">
        <f t="shared" si="260"/>
        <v>0000</v>
      </c>
    </row>
    <row r="3954" spans="1:6">
      <c r="C3954" t="str">
        <f t="shared" si="259"/>
        <v>4</v>
      </c>
      <c r="D3954">
        <v>27</v>
      </c>
      <c r="E3954" t="str">
        <f>"589"</f>
        <v>589</v>
      </c>
      <c r="F3954" t="str">
        <f t="shared" si="260"/>
        <v>0000</v>
      </c>
    </row>
    <row r="3955" spans="1:6">
      <c r="C3955" t="str">
        <f t="shared" si="259"/>
        <v>4</v>
      </c>
      <c r="D3955">
        <v>27</v>
      </c>
      <c r="E3955" t="str">
        <f>"587"</f>
        <v>587</v>
      </c>
      <c r="F3955" t="str">
        <f t="shared" si="260"/>
        <v>0000</v>
      </c>
    </row>
    <row r="3956" spans="1:6">
      <c r="C3956" t="str">
        <f t="shared" si="259"/>
        <v>4</v>
      </c>
      <c r="D3956">
        <v>27</v>
      </c>
      <c r="E3956" t="str">
        <f>"1422"</f>
        <v>1422</v>
      </c>
      <c r="F3956" t="str">
        <f t="shared" si="260"/>
        <v>0000</v>
      </c>
    </row>
    <row r="3957" spans="1:6">
      <c r="A3957" t="str">
        <f>"E1235-532"</f>
        <v>E1235-532</v>
      </c>
      <c r="B3957" t="str">
        <f>"VIA FELICE MARITANO  95-"</f>
        <v>VIA FELICE MARITANO  95-</v>
      </c>
      <c r="C3957" t="str">
        <f t="shared" si="259"/>
        <v>4</v>
      </c>
      <c r="D3957">
        <v>27</v>
      </c>
      <c r="E3957" t="str">
        <f>"124"</f>
        <v>124</v>
      </c>
      <c r="F3957" t="str">
        <f t="shared" si="260"/>
        <v>0000</v>
      </c>
    </row>
    <row r="3958" spans="1:6">
      <c r="C3958" t="str">
        <f t="shared" si="259"/>
        <v>4</v>
      </c>
      <c r="D3958">
        <v>27</v>
      </c>
      <c r="E3958" t="str">
        <f>"99999"</f>
        <v>99999</v>
      </c>
      <c r="F3958" t="str">
        <f t="shared" si="260"/>
        <v>0000</v>
      </c>
    </row>
    <row r="3959" spans="1:6">
      <c r="C3959" t="str">
        <f t="shared" si="259"/>
        <v>4</v>
      </c>
      <c r="D3959">
        <v>27</v>
      </c>
      <c r="E3959" t="str">
        <f>"975"</f>
        <v>975</v>
      </c>
      <c r="F3959" t="str">
        <f t="shared" si="260"/>
        <v>0000</v>
      </c>
    </row>
    <row r="3960" spans="1:6">
      <c r="C3960" t="str">
        <f t="shared" si="259"/>
        <v>4</v>
      </c>
      <c r="D3960">
        <v>27</v>
      </c>
      <c r="E3960" t="str">
        <f>"678"</f>
        <v>678</v>
      </c>
      <c r="F3960" t="str">
        <f t="shared" si="260"/>
        <v>0000</v>
      </c>
    </row>
    <row r="3961" spans="1:6">
      <c r="C3961" t="str">
        <f t="shared" si="259"/>
        <v>4</v>
      </c>
      <c r="D3961">
        <v>27</v>
      </c>
      <c r="E3961" t="str">
        <f>"677"</f>
        <v>677</v>
      </c>
      <c r="F3961" t="str">
        <f t="shared" si="260"/>
        <v>0000</v>
      </c>
    </row>
    <row r="3962" spans="1:6">
      <c r="C3962" t="str">
        <f t="shared" si="259"/>
        <v>4</v>
      </c>
      <c r="D3962">
        <v>27</v>
      </c>
      <c r="E3962" t="str">
        <f>"676"</f>
        <v>676</v>
      </c>
      <c r="F3962" t="str">
        <f t="shared" si="260"/>
        <v>0000</v>
      </c>
    </row>
    <row r="3963" spans="1:6">
      <c r="C3963" t="str">
        <f t="shared" ref="C3963:C4026" si="261">"4"</f>
        <v>4</v>
      </c>
      <c r="D3963">
        <v>27</v>
      </c>
      <c r="E3963" t="str">
        <f>"589"</f>
        <v>589</v>
      </c>
      <c r="F3963" t="str">
        <f t="shared" ref="F3963:F4026" si="262">"0000"</f>
        <v>0000</v>
      </c>
    </row>
    <row r="3964" spans="1:6">
      <c r="C3964" t="str">
        <f t="shared" si="261"/>
        <v>4</v>
      </c>
      <c r="D3964">
        <v>27</v>
      </c>
      <c r="E3964" t="str">
        <f>"588"</f>
        <v>588</v>
      </c>
      <c r="F3964" t="str">
        <f t="shared" si="262"/>
        <v>0000</v>
      </c>
    </row>
    <row r="3965" spans="1:6">
      <c r="C3965" t="str">
        <f t="shared" si="261"/>
        <v>4</v>
      </c>
      <c r="D3965">
        <v>27</v>
      </c>
      <c r="E3965" t="str">
        <f>"587"</f>
        <v>587</v>
      </c>
      <c r="F3965" t="str">
        <f t="shared" si="262"/>
        <v>0000</v>
      </c>
    </row>
    <row r="3966" spans="1:6">
      <c r="C3966" t="str">
        <f t="shared" si="261"/>
        <v>4</v>
      </c>
      <c r="D3966">
        <v>27</v>
      </c>
      <c r="E3966" t="str">
        <f>"1855"</f>
        <v>1855</v>
      </c>
      <c r="F3966" t="str">
        <f t="shared" si="262"/>
        <v>0000</v>
      </c>
    </row>
    <row r="3967" spans="1:6">
      <c r="C3967" t="str">
        <f t="shared" si="261"/>
        <v>4</v>
      </c>
      <c r="D3967">
        <v>27</v>
      </c>
      <c r="E3967" t="str">
        <f>"1241"</f>
        <v>1241</v>
      </c>
      <c r="F3967" t="str">
        <f t="shared" si="262"/>
        <v>0000</v>
      </c>
    </row>
    <row r="3968" spans="1:6">
      <c r="C3968" t="str">
        <f t="shared" si="261"/>
        <v>4</v>
      </c>
      <c r="D3968">
        <v>27</v>
      </c>
      <c r="E3968" t="str">
        <f>"1422"</f>
        <v>1422</v>
      </c>
      <c r="F3968" t="str">
        <f t="shared" si="262"/>
        <v>0000</v>
      </c>
    </row>
    <row r="3969" spans="1:6">
      <c r="C3969" t="str">
        <f t="shared" si="261"/>
        <v>4</v>
      </c>
      <c r="D3969">
        <v>27</v>
      </c>
      <c r="E3969" t="str">
        <f>"1421"</f>
        <v>1421</v>
      </c>
      <c r="F3969" t="str">
        <f t="shared" si="262"/>
        <v>0000</v>
      </c>
    </row>
    <row r="3970" spans="1:6">
      <c r="A3970" t="str">
        <f>"E1235-533"</f>
        <v>E1235-533</v>
      </c>
      <c r="B3970" t="str">
        <f>"VIA FELICE MARITANO  95-"</f>
        <v>VIA FELICE MARITANO  95-</v>
      </c>
      <c r="C3970" t="str">
        <f t="shared" si="261"/>
        <v>4</v>
      </c>
      <c r="D3970">
        <v>27</v>
      </c>
      <c r="E3970" t="str">
        <f>"124"</f>
        <v>124</v>
      </c>
      <c r="F3970" t="str">
        <f t="shared" si="262"/>
        <v>0000</v>
      </c>
    </row>
    <row r="3971" spans="1:6">
      <c r="C3971" t="str">
        <f t="shared" si="261"/>
        <v>4</v>
      </c>
      <c r="D3971">
        <v>27</v>
      </c>
      <c r="E3971" t="str">
        <f>"1241"</f>
        <v>1241</v>
      </c>
      <c r="F3971" t="str">
        <f t="shared" si="262"/>
        <v>0000</v>
      </c>
    </row>
    <row r="3972" spans="1:6">
      <c r="C3972" t="str">
        <f t="shared" si="261"/>
        <v>4</v>
      </c>
      <c r="D3972">
        <v>27</v>
      </c>
      <c r="E3972" t="str">
        <f>"1422"</f>
        <v>1422</v>
      </c>
      <c r="F3972" t="str">
        <f t="shared" si="262"/>
        <v>0000</v>
      </c>
    </row>
    <row r="3973" spans="1:6">
      <c r="C3973" t="str">
        <f t="shared" si="261"/>
        <v>4</v>
      </c>
      <c r="D3973">
        <v>27</v>
      </c>
      <c r="E3973" t="str">
        <f>"587"</f>
        <v>587</v>
      </c>
      <c r="F3973" t="str">
        <f t="shared" si="262"/>
        <v>0000</v>
      </c>
    </row>
    <row r="3974" spans="1:6">
      <c r="C3974" t="str">
        <f t="shared" si="261"/>
        <v>4</v>
      </c>
      <c r="D3974">
        <v>27</v>
      </c>
      <c r="E3974" t="str">
        <f>"589"</f>
        <v>589</v>
      </c>
      <c r="F3974" t="str">
        <f t="shared" si="262"/>
        <v>0000</v>
      </c>
    </row>
    <row r="3975" spans="1:6">
      <c r="C3975" t="str">
        <f t="shared" si="261"/>
        <v>4</v>
      </c>
      <c r="D3975">
        <v>27</v>
      </c>
      <c r="E3975" t="str">
        <f>"99999"</f>
        <v>99999</v>
      </c>
      <c r="F3975" t="str">
        <f t="shared" si="262"/>
        <v>0000</v>
      </c>
    </row>
    <row r="3976" spans="1:6">
      <c r="C3976" t="str">
        <f t="shared" si="261"/>
        <v>4</v>
      </c>
      <c r="D3976">
        <v>27</v>
      </c>
      <c r="E3976" t="str">
        <f>"975"</f>
        <v>975</v>
      </c>
      <c r="F3976" t="str">
        <f t="shared" si="262"/>
        <v>0000</v>
      </c>
    </row>
    <row r="3977" spans="1:6">
      <c r="C3977" t="str">
        <f t="shared" si="261"/>
        <v>4</v>
      </c>
      <c r="D3977">
        <v>27</v>
      </c>
      <c r="E3977" t="str">
        <f>"678"</f>
        <v>678</v>
      </c>
      <c r="F3977" t="str">
        <f t="shared" si="262"/>
        <v>0000</v>
      </c>
    </row>
    <row r="3978" spans="1:6">
      <c r="C3978" t="str">
        <f t="shared" si="261"/>
        <v>4</v>
      </c>
      <c r="D3978">
        <v>27</v>
      </c>
      <c r="E3978" t="str">
        <f>"677"</f>
        <v>677</v>
      </c>
      <c r="F3978" t="str">
        <f t="shared" si="262"/>
        <v>0000</v>
      </c>
    </row>
    <row r="3979" spans="1:6">
      <c r="C3979" t="str">
        <f t="shared" si="261"/>
        <v>4</v>
      </c>
      <c r="D3979">
        <v>27</v>
      </c>
      <c r="E3979" t="str">
        <f>"676"</f>
        <v>676</v>
      </c>
      <c r="F3979" t="str">
        <f t="shared" si="262"/>
        <v>0000</v>
      </c>
    </row>
    <row r="3980" spans="1:6">
      <c r="C3980" t="str">
        <f t="shared" si="261"/>
        <v>4</v>
      </c>
      <c r="D3980">
        <v>27</v>
      </c>
      <c r="E3980" t="str">
        <f>"588"</f>
        <v>588</v>
      </c>
      <c r="F3980" t="str">
        <f t="shared" si="262"/>
        <v>0000</v>
      </c>
    </row>
    <row r="3981" spans="1:6">
      <c r="C3981" t="str">
        <f t="shared" si="261"/>
        <v>4</v>
      </c>
      <c r="D3981">
        <v>27</v>
      </c>
      <c r="E3981" t="str">
        <f>"1855"</f>
        <v>1855</v>
      </c>
      <c r="F3981" t="str">
        <f t="shared" si="262"/>
        <v>0000</v>
      </c>
    </row>
    <row r="3982" spans="1:6">
      <c r="C3982" t="str">
        <f t="shared" si="261"/>
        <v>4</v>
      </c>
      <c r="D3982">
        <v>27</v>
      </c>
      <c r="E3982" t="str">
        <f>"1421"</f>
        <v>1421</v>
      </c>
      <c r="F3982" t="str">
        <f t="shared" si="262"/>
        <v>0000</v>
      </c>
    </row>
    <row r="3983" spans="1:6">
      <c r="A3983" t="str">
        <f>"E1235-534"</f>
        <v>E1235-534</v>
      </c>
      <c r="B3983" t="str">
        <f>"VIA FELICE MARITANO  95-"</f>
        <v>VIA FELICE MARITANO  95-</v>
      </c>
      <c r="C3983" t="str">
        <f t="shared" si="261"/>
        <v>4</v>
      </c>
      <c r="D3983">
        <v>27</v>
      </c>
      <c r="E3983" t="str">
        <f>"124"</f>
        <v>124</v>
      </c>
      <c r="F3983" t="str">
        <f t="shared" si="262"/>
        <v>0000</v>
      </c>
    </row>
    <row r="3984" spans="1:6">
      <c r="C3984" t="str">
        <f t="shared" si="261"/>
        <v>4</v>
      </c>
      <c r="D3984">
        <v>27</v>
      </c>
      <c r="E3984" t="str">
        <f>"1421"</f>
        <v>1421</v>
      </c>
      <c r="F3984" t="str">
        <f t="shared" si="262"/>
        <v>0000</v>
      </c>
    </row>
    <row r="3985" spans="1:6">
      <c r="C3985" t="str">
        <f t="shared" si="261"/>
        <v>4</v>
      </c>
      <c r="D3985">
        <v>27</v>
      </c>
      <c r="E3985" t="str">
        <f>"1422"</f>
        <v>1422</v>
      </c>
      <c r="F3985" t="str">
        <f t="shared" si="262"/>
        <v>0000</v>
      </c>
    </row>
    <row r="3986" spans="1:6">
      <c r="C3986" t="str">
        <f t="shared" si="261"/>
        <v>4</v>
      </c>
      <c r="D3986">
        <v>27</v>
      </c>
      <c r="E3986" t="str">
        <f>"1241"</f>
        <v>1241</v>
      </c>
      <c r="F3986" t="str">
        <f t="shared" si="262"/>
        <v>0000</v>
      </c>
    </row>
    <row r="3987" spans="1:6">
      <c r="C3987" t="str">
        <f t="shared" si="261"/>
        <v>4</v>
      </c>
      <c r="D3987">
        <v>27</v>
      </c>
      <c r="E3987" t="str">
        <f>"1855"</f>
        <v>1855</v>
      </c>
      <c r="F3987" t="str">
        <f t="shared" si="262"/>
        <v>0000</v>
      </c>
    </row>
    <row r="3988" spans="1:6">
      <c r="C3988" t="str">
        <f t="shared" si="261"/>
        <v>4</v>
      </c>
      <c r="D3988">
        <v>27</v>
      </c>
      <c r="E3988" t="str">
        <f>"588"</f>
        <v>588</v>
      </c>
      <c r="F3988" t="str">
        <f t="shared" si="262"/>
        <v>0000</v>
      </c>
    </row>
    <row r="3989" spans="1:6">
      <c r="C3989" t="str">
        <f t="shared" si="261"/>
        <v>4</v>
      </c>
      <c r="D3989">
        <v>27</v>
      </c>
      <c r="E3989" t="str">
        <f>"676"</f>
        <v>676</v>
      </c>
      <c r="F3989" t="str">
        <f t="shared" si="262"/>
        <v>0000</v>
      </c>
    </row>
    <row r="3990" spans="1:6">
      <c r="C3990" t="str">
        <f t="shared" si="261"/>
        <v>4</v>
      </c>
      <c r="D3990">
        <v>27</v>
      </c>
      <c r="E3990" t="str">
        <f>"678"</f>
        <v>678</v>
      </c>
      <c r="F3990" t="str">
        <f t="shared" si="262"/>
        <v>0000</v>
      </c>
    </row>
    <row r="3991" spans="1:6">
      <c r="C3991" t="str">
        <f t="shared" si="261"/>
        <v>4</v>
      </c>
      <c r="D3991">
        <v>27</v>
      </c>
      <c r="E3991" t="str">
        <f>"99999"</f>
        <v>99999</v>
      </c>
      <c r="F3991" t="str">
        <f t="shared" si="262"/>
        <v>0000</v>
      </c>
    </row>
    <row r="3992" spans="1:6">
      <c r="C3992" t="str">
        <f t="shared" si="261"/>
        <v>4</v>
      </c>
      <c r="D3992">
        <v>27</v>
      </c>
      <c r="E3992" t="str">
        <f>"975"</f>
        <v>975</v>
      </c>
      <c r="F3992" t="str">
        <f t="shared" si="262"/>
        <v>0000</v>
      </c>
    </row>
    <row r="3993" spans="1:6">
      <c r="C3993" t="str">
        <f t="shared" si="261"/>
        <v>4</v>
      </c>
      <c r="D3993">
        <v>27</v>
      </c>
      <c r="E3993" t="str">
        <f>"677"</f>
        <v>677</v>
      </c>
      <c r="F3993" t="str">
        <f t="shared" si="262"/>
        <v>0000</v>
      </c>
    </row>
    <row r="3994" spans="1:6">
      <c r="C3994" t="str">
        <f t="shared" si="261"/>
        <v>4</v>
      </c>
      <c r="D3994">
        <v>27</v>
      </c>
      <c r="E3994" t="str">
        <f>"589"</f>
        <v>589</v>
      </c>
      <c r="F3994" t="str">
        <f t="shared" si="262"/>
        <v>0000</v>
      </c>
    </row>
    <row r="3995" spans="1:6">
      <c r="C3995" t="str">
        <f t="shared" si="261"/>
        <v>4</v>
      </c>
      <c r="D3995">
        <v>27</v>
      </c>
      <c r="E3995" t="str">
        <f>"587"</f>
        <v>587</v>
      </c>
      <c r="F3995" t="str">
        <f t="shared" si="262"/>
        <v>0000</v>
      </c>
    </row>
    <row r="3996" spans="1:6">
      <c r="A3996" t="str">
        <f>"E1235-535"</f>
        <v>E1235-535</v>
      </c>
      <c r="B3996" t="str">
        <f>"VIA FELICE MARITANO  95-"</f>
        <v>VIA FELICE MARITANO  95-</v>
      </c>
      <c r="C3996" t="str">
        <f t="shared" si="261"/>
        <v>4</v>
      </c>
      <c r="D3996">
        <v>27</v>
      </c>
      <c r="E3996" t="str">
        <f>"124"</f>
        <v>124</v>
      </c>
      <c r="F3996" t="str">
        <f t="shared" si="262"/>
        <v>0000</v>
      </c>
    </row>
    <row r="3997" spans="1:6">
      <c r="C3997" t="str">
        <f t="shared" si="261"/>
        <v>4</v>
      </c>
      <c r="D3997">
        <v>27</v>
      </c>
      <c r="E3997" t="str">
        <f>"1422"</f>
        <v>1422</v>
      </c>
      <c r="F3997" t="str">
        <f t="shared" si="262"/>
        <v>0000</v>
      </c>
    </row>
    <row r="3998" spans="1:6">
      <c r="C3998" t="str">
        <f t="shared" si="261"/>
        <v>4</v>
      </c>
      <c r="D3998">
        <v>27</v>
      </c>
      <c r="E3998" t="str">
        <f>"587"</f>
        <v>587</v>
      </c>
      <c r="F3998" t="str">
        <f t="shared" si="262"/>
        <v>0000</v>
      </c>
    </row>
    <row r="3999" spans="1:6">
      <c r="C3999" t="str">
        <f t="shared" si="261"/>
        <v>4</v>
      </c>
      <c r="D3999">
        <v>27</v>
      </c>
      <c r="E3999" t="str">
        <f>"99999"</f>
        <v>99999</v>
      </c>
      <c r="F3999" t="str">
        <f t="shared" si="262"/>
        <v>0000</v>
      </c>
    </row>
    <row r="4000" spans="1:6">
      <c r="C4000" t="str">
        <f t="shared" si="261"/>
        <v>4</v>
      </c>
      <c r="D4000">
        <v>27</v>
      </c>
      <c r="E4000" t="str">
        <f>"975"</f>
        <v>975</v>
      </c>
      <c r="F4000" t="str">
        <f t="shared" si="262"/>
        <v>0000</v>
      </c>
    </row>
    <row r="4001" spans="1:6">
      <c r="C4001" t="str">
        <f t="shared" si="261"/>
        <v>4</v>
      </c>
      <c r="D4001">
        <v>27</v>
      </c>
      <c r="E4001" t="str">
        <f>"678"</f>
        <v>678</v>
      </c>
      <c r="F4001" t="str">
        <f t="shared" si="262"/>
        <v>0000</v>
      </c>
    </row>
    <row r="4002" spans="1:6">
      <c r="C4002" t="str">
        <f t="shared" si="261"/>
        <v>4</v>
      </c>
      <c r="D4002">
        <v>27</v>
      </c>
      <c r="E4002" t="str">
        <f>"677"</f>
        <v>677</v>
      </c>
      <c r="F4002" t="str">
        <f t="shared" si="262"/>
        <v>0000</v>
      </c>
    </row>
    <row r="4003" spans="1:6">
      <c r="C4003" t="str">
        <f t="shared" si="261"/>
        <v>4</v>
      </c>
      <c r="D4003">
        <v>27</v>
      </c>
      <c r="E4003" t="str">
        <f>"676"</f>
        <v>676</v>
      </c>
      <c r="F4003" t="str">
        <f t="shared" si="262"/>
        <v>0000</v>
      </c>
    </row>
    <row r="4004" spans="1:6">
      <c r="C4004" t="str">
        <f t="shared" si="261"/>
        <v>4</v>
      </c>
      <c r="D4004">
        <v>27</v>
      </c>
      <c r="E4004" t="str">
        <f>"589"</f>
        <v>589</v>
      </c>
      <c r="F4004" t="str">
        <f t="shared" si="262"/>
        <v>0000</v>
      </c>
    </row>
    <row r="4005" spans="1:6">
      <c r="C4005" t="str">
        <f t="shared" si="261"/>
        <v>4</v>
      </c>
      <c r="D4005">
        <v>27</v>
      </c>
      <c r="E4005" t="str">
        <f>"588"</f>
        <v>588</v>
      </c>
      <c r="F4005" t="str">
        <f t="shared" si="262"/>
        <v>0000</v>
      </c>
    </row>
    <row r="4006" spans="1:6">
      <c r="C4006" t="str">
        <f t="shared" si="261"/>
        <v>4</v>
      </c>
      <c r="D4006">
        <v>27</v>
      </c>
      <c r="E4006" t="str">
        <f>"1855"</f>
        <v>1855</v>
      </c>
      <c r="F4006" t="str">
        <f t="shared" si="262"/>
        <v>0000</v>
      </c>
    </row>
    <row r="4007" spans="1:6">
      <c r="C4007" t="str">
        <f t="shared" si="261"/>
        <v>4</v>
      </c>
      <c r="D4007">
        <v>27</v>
      </c>
      <c r="E4007" t="str">
        <f>"1421"</f>
        <v>1421</v>
      </c>
      <c r="F4007" t="str">
        <f t="shared" si="262"/>
        <v>0000</v>
      </c>
    </row>
    <row r="4008" spans="1:6">
      <c r="C4008" t="str">
        <f t="shared" si="261"/>
        <v>4</v>
      </c>
      <c r="D4008">
        <v>27</v>
      </c>
      <c r="E4008" t="str">
        <f>"1241"</f>
        <v>1241</v>
      </c>
      <c r="F4008" t="str">
        <f t="shared" si="262"/>
        <v>0000</v>
      </c>
    </row>
    <row r="4009" spans="1:6">
      <c r="A4009" t="str">
        <f>"E1235-536"</f>
        <v>E1235-536</v>
      </c>
      <c r="B4009" t="str">
        <f>"VIA FELICE MARITANO  95-"</f>
        <v>VIA FELICE MARITANO  95-</v>
      </c>
      <c r="C4009" t="str">
        <f t="shared" si="261"/>
        <v>4</v>
      </c>
      <c r="D4009">
        <v>27</v>
      </c>
      <c r="E4009" t="str">
        <f>"124"</f>
        <v>124</v>
      </c>
      <c r="F4009" t="str">
        <f t="shared" si="262"/>
        <v>0000</v>
      </c>
    </row>
    <row r="4010" spans="1:6">
      <c r="C4010" t="str">
        <f t="shared" si="261"/>
        <v>4</v>
      </c>
      <c r="D4010">
        <v>27</v>
      </c>
      <c r="E4010" t="str">
        <f>"1241"</f>
        <v>1241</v>
      </c>
      <c r="F4010" t="str">
        <f t="shared" si="262"/>
        <v>0000</v>
      </c>
    </row>
    <row r="4011" spans="1:6">
      <c r="C4011" t="str">
        <f t="shared" si="261"/>
        <v>4</v>
      </c>
      <c r="D4011">
        <v>27</v>
      </c>
      <c r="E4011" t="str">
        <f>"1421"</f>
        <v>1421</v>
      </c>
      <c r="F4011" t="str">
        <f t="shared" si="262"/>
        <v>0000</v>
      </c>
    </row>
    <row r="4012" spans="1:6">
      <c r="C4012" t="str">
        <f t="shared" si="261"/>
        <v>4</v>
      </c>
      <c r="D4012">
        <v>27</v>
      </c>
      <c r="E4012" t="str">
        <f>"1855"</f>
        <v>1855</v>
      </c>
      <c r="F4012" t="str">
        <f t="shared" si="262"/>
        <v>0000</v>
      </c>
    </row>
    <row r="4013" spans="1:6">
      <c r="C4013" t="str">
        <f t="shared" si="261"/>
        <v>4</v>
      </c>
      <c r="D4013">
        <v>27</v>
      </c>
      <c r="E4013" t="str">
        <f>"588"</f>
        <v>588</v>
      </c>
      <c r="F4013" t="str">
        <f t="shared" si="262"/>
        <v>0000</v>
      </c>
    </row>
    <row r="4014" spans="1:6">
      <c r="C4014" t="str">
        <f t="shared" si="261"/>
        <v>4</v>
      </c>
      <c r="D4014">
        <v>27</v>
      </c>
      <c r="E4014" t="str">
        <f>"676"</f>
        <v>676</v>
      </c>
      <c r="F4014" t="str">
        <f t="shared" si="262"/>
        <v>0000</v>
      </c>
    </row>
    <row r="4015" spans="1:6">
      <c r="C4015" t="str">
        <f t="shared" si="261"/>
        <v>4</v>
      </c>
      <c r="D4015">
        <v>27</v>
      </c>
      <c r="E4015" t="str">
        <f>"99999"</f>
        <v>99999</v>
      </c>
      <c r="F4015" t="str">
        <f t="shared" si="262"/>
        <v>0000</v>
      </c>
    </row>
    <row r="4016" spans="1:6">
      <c r="C4016" t="str">
        <f t="shared" si="261"/>
        <v>4</v>
      </c>
      <c r="D4016">
        <v>27</v>
      </c>
      <c r="E4016" t="str">
        <f>"975"</f>
        <v>975</v>
      </c>
      <c r="F4016" t="str">
        <f t="shared" si="262"/>
        <v>0000</v>
      </c>
    </row>
    <row r="4017" spans="1:6">
      <c r="C4017" t="str">
        <f t="shared" si="261"/>
        <v>4</v>
      </c>
      <c r="D4017">
        <v>27</v>
      </c>
      <c r="E4017" t="str">
        <f>"678"</f>
        <v>678</v>
      </c>
      <c r="F4017" t="str">
        <f t="shared" si="262"/>
        <v>0000</v>
      </c>
    </row>
    <row r="4018" spans="1:6">
      <c r="C4018" t="str">
        <f t="shared" si="261"/>
        <v>4</v>
      </c>
      <c r="D4018">
        <v>27</v>
      </c>
      <c r="E4018" t="str">
        <f>"677"</f>
        <v>677</v>
      </c>
      <c r="F4018" t="str">
        <f t="shared" si="262"/>
        <v>0000</v>
      </c>
    </row>
    <row r="4019" spans="1:6">
      <c r="C4019" t="str">
        <f t="shared" si="261"/>
        <v>4</v>
      </c>
      <c r="D4019">
        <v>27</v>
      </c>
      <c r="E4019" t="str">
        <f>"589"</f>
        <v>589</v>
      </c>
      <c r="F4019" t="str">
        <f t="shared" si="262"/>
        <v>0000</v>
      </c>
    </row>
    <row r="4020" spans="1:6">
      <c r="C4020" t="str">
        <f t="shared" si="261"/>
        <v>4</v>
      </c>
      <c r="D4020">
        <v>27</v>
      </c>
      <c r="E4020" t="str">
        <f>"587"</f>
        <v>587</v>
      </c>
      <c r="F4020" t="str">
        <f t="shared" si="262"/>
        <v>0000</v>
      </c>
    </row>
    <row r="4021" spans="1:6">
      <c r="C4021" t="str">
        <f t="shared" si="261"/>
        <v>4</v>
      </c>
      <c r="D4021">
        <v>27</v>
      </c>
      <c r="E4021" t="str">
        <f>"1422"</f>
        <v>1422</v>
      </c>
      <c r="F4021" t="str">
        <f t="shared" si="262"/>
        <v>0000</v>
      </c>
    </row>
    <row r="4022" spans="1:6">
      <c r="A4022" t="str">
        <f>"E1235-537"</f>
        <v>E1235-537</v>
      </c>
      <c r="B4022" t="str">
        <f>"VIA FELICE MARITANO  95-"</f>
        <v>VIA FELICE MARITANO  95-</v>
      </c>
      <c r="C4022" t="str">
        <f t="shared" si="261"/>
        <v>4</v>
      </c>
      <c r="D4022">
        <v>27</v>
      </c>
      <c r="E4022" t="str">
        <f>"124"</f>
        <v>124</v>
      </c>
      <c r="F4022" t="str">
        <f t="shared" si="262"/>
        <v>0000</v>
      </c>
    </row>
    <row r="4023" spans="1:6">
      <c r="C4023" t="str">
        <f t="shared" si="261"/>
        <v>4</v>
      </c>
      <c r="D4023">
        <v>27</v>
      </c>
      <c r="E4023" t="str">
        <f>"99999"</f>
        <v>99999</v>
      </c>
      <c r="F4023" t="str">
        <f t="shared" si="262"/>
        <v>0000</v>
      </c>
    </row>
    <row r="4024" spans="1:6">
      <c r="C4024" t="str">
        <f t="shared" si="261"/>
        <v>4</v>
      </c>
      <c r="D4024">
        <v>27</v>
      </c>
      <c r="E4024" t="str">
        <f>"975"</f>
        <v>975</v>
      </c>
      <c r="F4024" t="str">
        <f t="shared" si="262"/>
        <v>0000</v>
      </c>
    </row>
    <row r="4025" spans="1:6">
      <c r="C4025" t="str">
        <f t="shared" si="261"/>
        <v>4</v>
      </c>
      <c r="D4025">
        <v>27</v>
      </c>
      <c r="E4025" t="str">
        <f>"678"</f>
        <v>678</v>
      </c>
      <c r="F4025" t="str">
        <f t="shared" si="262"/>
        <v>0000</v>
      </c>
    </row>
    <row r="4026" spans="1:6">
      <c r="C4026" t="str">
        <f t="shared" si="261"/>
        <v>4</v>
      </c>
      <c r="D4026">
        <v>27</v>
      </c>
      <c r="E4026" t="str">
        <f>"677"</f>
        <v>677</v>
      </c>
      <c r="F4026" t="str">
        <f t="shared" si="262"/>
        <v>0000</v>
      </c>
    </row>
    <row r="4027" spans="1:6">
      <c r="C4027" t="str">
        <f t="shared" ref="C4027:C4090" si="263">"4"</f>
        <v>4</v>
      </c>
      <c r="D4027">
        <v>27</v>
      </c>
      <c r="E4027" t="str">
        <f>"676"</f>
        <v>676</v>
      </c>
      <c r="F4027" t="str">
        <f t="shared" ref="F4027:F4090" si="264">"0000"</f>
        <v>0000</v>
      </c>
    </row>
    <row r="4028" spans="1:6">
      <c r="C4028" t="str">
        <f t="shared" si="263"/>
        <v>4</v>
      </c>
      <c r="D4028">
        <v>27</v>
      </c>
      <c r="E4028" t="str">
        <f>"589"</f>
        <v>589</v>
      </c>
      <c r="F4028" t="str">
        <f t="shared" si="264"/>
        <v>0000</v>
      </c>
    </row>
    <row r="4029" spans="1:6">
      <c r="C4029" t="str">
        <f t="shared" si="263"/>
        <v>4</v>
      </c>
      <c r="D4029">
        <v>27</v>
      </c>
      <c r="E4029" t="str">
        <f>"588"</f>
        <v>588</v>
      </c>
      <c r="F4029" t="str">
        <f t="shared" si="264"/>
        <v>0000</v>
      </c>
    </row>
    <row r="4030" spans="1:6">
      <c r="C4030" t="str">
        <f t="shared" si="263"/>
        <v>4</v>
      </c>
      <c r="D4030">
        <v>27</v>
      </c>
      <c r="E4030" t="str">
        <f>"587"</f>
        <v>587</v>
      </c>
      <c r="F4030" t="str">
        <f t="shared" si="264"/>
        <v>0000</v>
      </c>
    </row>
    <row r="4031" spans="1:6">
      <c r="C4031" t="str">
        <f t="shared" si="263"/>
        <v>4</v>
      </c>
      <c r="D4031">
        <v>27</v>
      </c>
      <c r="E4031" t="str">
        <f>"1855"</f>
        <v>1855</v>
      </c>
      <c r="F4031" t="str">
        <f t="shared" si="264"/>
        <v>0000</v>
      </c>
    </row>
    <row r="4032" spans="1:6">
      <c r="C4032" t="str">
        <f t="shared" si="263"/>
        <v>4</v>
      </c>
      <c r="D4032">
        <v>27</v>
      </c>
      <c r="E4032" t="str">
        <f>"1241"</f>
        <v>1241</v>
      </c>
      <c r="F4032" t="str">
        <f t="shared" si="264"/>
        <v>0000</v>
      </c>
    </row>
    <row r="4033" spans="1:6">
      <c r="C4033" t="str">
        <f t="shared" si="263"/>
        <v>4</v>
      </c>
      <c r="D4033">
        <v>27</v>
      </c>
      <c r="E4033" t="str">
        <f>"1422"</f>
        <v>1422</v>
      </c>
      <c r="F4033" t="str">
        <f t="shared" si="264"/>
        <v>0000</v>
      </c>
    </row>
    <row r="4034" spans="1:6">
      <c r="C4034" t="str">
        <f t="shared" si="263"/>
        <v>4</v>
      </c>
      <c r="D4034">
        <v>27</v>
      </c>
      <c r="E4034" t="str">
        <f>"1421"</f>
        <v>1421</v>
      </c>
      <c r="F4034" t="str">
        <f t="shared" si="264"/>
        <v>0000</v>
      </c>
    </row>
    <row r="4035" spans="1:6">
      <c r="A4035" t="str">
        <f>"E1235-538"</f>
        <v>E1235-538</v>
      </c>
      <c r="B4035" t="str">
        <f>"VIA FELICE MARITANO  95-"</f>
        <v>VIA FELICE MARITANO  95-</v>
      </c>
      <c r="C4035" t="str">
        <f t="shared" si="263"/>
        <v>4</v>
      </c>
      <c r="D4035">
        <v>27</v>
      </c>
      <c r="E4035" t="str">
        <f>"124"</f>
        <v>124</v>
      </c>
      <c r="F4035" t="str">
        <f t="shared" si="264"/>
        <v>0000</v>
      </c>
    </row>
    <row r="4036" spans="1:6">
      <c r="C4036" t="str">
        <f t="shared" si="263"/>
        <v>4</v>
      </c>
      <c r="D4036">
        <v>27</v>
      </c>
      <c r="E4036" t="str">
        <f>"1241"</f>
        <v>1241</v>
      </c>
      <c r="F4036" t="str">
        <f t="shared" si="264"/>
        <v>0000</v>
      </c>
    </row>
    <row r="4037" spans="1:6">
      <c r="C4037" t="str">
        <f t="shared" si="263"/>
        <v>4</v>
      </c>
      <c r="D4037">
        <v>27</v>
      </c>
      <c r="E4037" t="str">
        <f>"1422"</f>
        <v>1422</v>
      </c>
      <c r="F4037" t="str">
        <f t="shared" si="264"/>
        <v>0000</v>
      </c>
    </row>
    <row r="4038" spans="1:6">
      <c r="C4038" t="str">
        <f t="shared" si="263"/>
        <v>4</v>
      </c>
      <c r="D4038">
        <v>27</v>
      </c>
      <c r="E4038" t="str">
        <f>"587"</f>
        <v>587</v>
      </c>
      <c r="F4038" t="str">
        <f t="shared" si="264"/>
        <v>0000</v>
      </c>
    </row>
    <row r="4039" spans="1:6">
      <c r="C4039" t="str">
        <f t="shared" si="263"/>
        <v>4</v>
      </c>
      <c r="D4039">
        <v>27</v>
      </c>
      <c r="E4039" t="str">
        <f>"589"</f>
        <v>589</v>
      </c>
      <c r="F4039" t="str">
        <f t="shared" si="264"/>
        <v>0000</v>
      </c>
    </row>
    <row r="4040" spans="1:6">
      <c r="C4040" t="str">
        <f t="shared" si="263"/>
        <v>4</v>
      </c>
      <c r="D4040">
        <v>27</v>
      </c>
      <c r="E4040" t="str">
        <f>"99999"</f>
        <v>99999</v>
      </c>
      <c r="F4040" t="str">
        <f t="shared" si="264"/>
        <v>0000</v>
      </c>
    </row>
    <row r="4041" spans="1:6">
      <c r="C4041" t="str">
        <f t="shared" si="263"/>
        <v>4</v>
      </c>
      <c r="D4041">
        <v>27</v>
      </c>
      <c r="E4041" t="str">
        <f>"975"</f>
        <v>975</v>
      </c>
      <c r="F4041" t="str">
        <f t="shared" si="264"/>
        <v>0000</v>
      </c>
    </row>
    <row r="4042" spans="1:6">
      <c r="C4042" t="str">
        <f t="shared" si="263"/>
        <v>4</v>
      </c>
      <c r="D4042">
        <v>27</v>
      </c>
      <c r="E4042" t="str">
        <f>"678"</f>
        <v>678</v>
      </c>
      <c r="F4042" t="str">
        <f t="shared" si="264"/>
        <v>0000</v>
      </c>
    </row>
    <row r="4043" spans="1:6">
      <c r="C4043" t="str">
        <f t="shared" si="263"/>
        <v>4</v>
      </c>
      <c r="D4043">
        <v>27</v>
      </c>
      <c r="E4043" t="str">
        <f>"677"</f>
        <v>677</v>
      </c>
      <c r="F4043" t="str">
        <f t="shared" si="264"/>
        <v>0000</v>
      </c>
    </row>
    <row r="4044" spans="1:6">
      <c r="C4044" t="str">
        <f t="shared" si="263"/>
        <v>4</v>
      </c>
      <c r="D4044">
        <v>27</v>
      </c>
      <c r="E4044" t="str">
        <f>"676"</f>
        <v>676</v>
      </c>
      <c r="F4044" t="str">
        <f t="shared" si="264"/>
        <v>0000</v>
      </c>
    </row>
    <row r="4045" spans="1:6">
      <c r="C4045" t="str">
        <f t="shared" si="263"/>
        <v>4</v>
      </c>
      <c r="D4045">
        <v>27</v>
      </c>
      <c r="E4045" t="str">
        <f>"588"</f>
        <v>588</v>
      </c>
      <c r="F4045" t="str">
        <f t="shared" si="264"/>
        <v>0000</v>
      </c>
    </row>
    <row r="4046" spans="1:6">
      <c r="C4046" t="str">
        <f t="shared" si="263"/>
        <v>4</v>
      </c>
      <c r="D4046">
        <v>27</v>
      </c>
      <c r="E4046" t="str">
        <f>"1855"</f>
        <v>1855</v>
      </c>
      <c r="F4046" t="str">
        <f t="shared" si="264"/>
        <v>0000</v>
      </c>
    </row>
    <row r="4047" spans="1:6">
      <c r="C4047" t="str">
        <f t="shared" si="263"/>
        <v>4</v>
      </c>
      <c r="D4047">
        <v>27</v>
      </c>
      <c r="E4047" t="str">
        <f>"1421"</f>
        <v>1421</v>
      </c>
      <c r="F4047" t="str">
        <f t="shared" si="264"/>
        <v>0000</v>
      </c>
    </row>
    <row r="4048" spans="1:6">
      <c r="A4048" t="str">
        <f>"E1235-539"</f>
        <v>E1235-539</v>
      </c>
      <c r="B4048" t="str">
        <f>"VIA FELICE MARITANO  95-"</f>
        <v>VIA FELICE MARITANO  95-</v>
      </c>
      <c r="C4048" t="str">
        <f t="shared" si="263"/>
        <v>4</v>
      </c>
      <c r="D4048">
        <v>27</v>
      </c>
      <c r="E4048" t="str">
        <f>"124"</f>
        <v>124</v>
      </c>
      <c r="F4048" t="str">
        <f t="shared" si="264"/>
        <v>0000</v>
      </c>
    </row>
    <row r="4049" spans="1:6">
      <c r="C4049" t="str">
        <f t="shared" si="263"/>
        <v>4</v>
      </c>
      <c r="D4049">
        <v>27</v>
      </c>
      <c r="E4049" t="str">
        <f>"1421"</f>
        <v>1421</v>
      </c>
      <c r="F4049" t="str">
        <f t="shared" si="264"/>
        <v>0000</v>
      </c>
    </row>
    <row r="4050" spans="1:6">
      <c r="C4050" t="str">
        <f t="shared" si="263"/>
        <v>4</v>
      </c>
      <c r="D4050">
        <v>27</v>
      </c>
      <c r="E4050" t="str">
        <f>"1422"</f>
        <v>1422</v>
      </c>
      <c r="F4050" t="str">
        <f t="shared" si="264"/>
        <v>0000</v>
      </c>
    </row>
    <row r="4051" spans="1:6">
      <c r="C4051" t="str">
        <f t="shared" si="263"/>
        <v>4</v>
      </c>
      <c r="D4051">
        <v>27</v>
      </c>
      <c r="E4051" t="str">
        <f>"1241"</f>
        <v>1241</v>
      </c>
      <c r="F4051" t="str">
        <f t="shared" si="264"/>
        <v>0000</v>
      </c>
    </row>
    <row r="4052" spans="1:6">
      <c r="C4052" t="str">
        <f t="shared" si="263"/>
        <v>4</v>
      </c>
      <c r="D4052">
        <v>27</v>
      </c>
      <c r="E4052" t="str">
        <f>"1855"</f>
        <v>1855</v>
      </c>
      <c r="F4052" t="str">
        <f t="shared" si="264"/>
        <v>0000</v>
      </c>
    </row>
    <row r="4053" spans="1:6">
      <c r="C4053" t="str">
        <f t="shared" si="263"/>
        <v>4</v>
      </c>
      <c r="D4053">
        <v>27</v>
      </c>
      <c r="E4053" t="str">
        <f>"588"</f>
        <v>588</v>
      </c>
      <c r="F4053" t="str">
        <f t="shared" si="264"/>
        <v>0000</v>
      </c>
    </row>
    <row r="4054" spans="1:6">
      <c r="C4054" t="str">
        <f t="shared" si="263"/>
        <v>4</v>
      </c>
      <c r="D4054">
        <v>27</v>
      </c>
      <c r="E4054" t="str">
        <f>"676"</f>
        <v>676</v>
      </c>
      <c r="F4054" t="str">
        <f t="shared" si="264"/>
        <v>0000</v>
      </c>
    </row>
    <row r="4055" spans="1:6">
      <c r="C4055" t="str">
        <f t="shared" si="263"/>
        <v>4</v>
      </c>
      <c r="D4055">
        <v>27</v>
      </c>
      <c r="E4055" t="str">
        <f>"678"</f>
        <v>678</v>
      </c>
      <c r="F4055" t="str">
        <f t="shared" si="264"/>
        <v>0000</v>
      </c>
    </row>
    <row r="4056" spans="1:6">
      <c r="C4056" t="str">
        <f t="shared" si="263"/>
        <v>4</v>
      </c>
      <c r="D4056">
        <v>27</v>
      </c>
      <c r="E4056" t="str">
        <f>"99999"</f>
        <v>99999</v>
      </c>
      <c r="F4056" t="str">
        <f t="shared" si="264"/>
        <v>0000</v>
      </c>
    </row>
    <row r="4057" spans="1:6">
      <c r="C4057" t="str">
        <f t="shared" si="263"/>
        <v>4</v>
      </c>
      <c r="D4057">
        <v>27</v>
      </c>
      <c r="E4057" t="str">
        <f>"975"</f>
        <v>975</v>
      </c>
      <c r="F4057" t="str">
        <f t="shared" si="264"/>
        <v>0000</v>
      </c>
    </row>
    <row r="4058" spans="1:6">
      <c r="C4058" t="str">
        <f t="shared" si="263"/>
        <v>4</v>
      </c>
      <c r="D4058">
        <v>27</v>
      </c>
      <c r="E4058" t="str">
        <f>"677"</f>
        <v>677</v>
      </c>
      <c r="F4058" t="str">
        <f t="shared" si="264"/>
        <v>0000</v>
      </c>
    </row>
    <row r="4059" spans="1:6">
      <c r="C4059" t="str">
        <f t="shared" si="263"/>
        <v>4</v>
      </c>
      <c r="D4059">
        <v>27</v>
      </c>
      <c r="E4059" t="str">
        <f>"589"</f>
        <v>589</v>
      </c>
      <c r="F4059" t="str">
        <f t="shared" si="264"/>
        <v>0000</v>
      </c>
    </row>
    <row r="4060" spans="1:6">
      <c r="C4060" t="str">
        <f t="shared" si="263"/>
        <v>4</v>
      </c>
      <c r="D4060">
        <v>27</v>
      </c>
      <c r="E4060" t="str">
        <f>"587"</f>
        <v>587</v>
      </c>
      <c r="F4060" t="str">
        <f t="shared" si="264"/>
        <v>0000</v>
      </c>
    </row>
    <row r="4061" spans="1:6">
      <c r="A4061" t="str">
        <f>"E1235-540"</f>
        <v>E1235-540</v>
      </c>
      <c r="B4061" t="str">
        <f>"VIA FELICE MARITANO  95-"</f>
        <v>VIA FELICE MARITANO  95-</v>
      </c>
      <c r="C4061" t="str">
        <f t="shared" si="263"/>
        <v>4</v>
      </c>
      <c r="D4061">
        <v>27</v>
      </c>
      <c r="E4061" t="str">
        <f>"124"</f>
        <v>124</v>
      </c>
      <c r="F4061" t="str">
        <f t="shared" si="264"/>
        <v>0000</v>
      </c>
    </row>
    <row r="4062" spans="1:6">
      <c r="C4062" t="str">
        <f t="shared" si="263"/>
        <v>4</v>
      </c>
      <c r="D4062">
        <v>27</v>
      </c>
      <c r="E4062" t="str">
        <f>"1422"</f>
        <v>1422</v>
      </c>
      <c r="F4062" t="str">
        <f t="shared" si="264"/>
        <v>0000</v>
      </c>
    </row>
    <row r="4063" spans="1:6">
      <c r="C4063" t="str">
        <f t="shared" si="263"/>
        <v>4</v>
      </c>
      <c r="D4063">
        <v>27</v>
      </c>
      <c r="E4063" t="str">
        <f>"587"</f>
        <v>587</v>
      </c>
      <c r="F4063" t="str">
        <f t="shared" si="264"/>
        <v>0000</v>
      </c>
    </row>
    <row r="4064" spans="1:6">
      <c r="C4064" t="str">
        <f t="shared" si="263"/>
        <v>4</v>
      </c>
      <c r="D4064">
        <v>27</v>
      </c>
      <c r="E4064" t="str">
        <f>"99999"</f>
        <v>99999</v>
      </c>
      <c r="F4064" t="str">
        <f t="shared" si="264"/>
        <v>0000</v>
      </c>
    </row>
    <row r="4065" spans="1:6">
      <c r="C4065" t="str">
        <f t="shared" si="263"/>
        <v>4</v>
      </c>
      <c r="D4065">
        <v>27</v>
      </c>
      <c r="E4065" t="str">
        <f>"975"</f>
        <v>975</v>
      </c>
      <c r="F4065" t="str">
        <f t="shared" si="264"/>
        <v>0000</v>
      </c>
    </row>
    <row r="4066" spans="1:6">
      <c r="C4066" t="str">
        <f t="shared" si="263"/>
        <v>4</v>
      </c>
      <c r="D4066">
        <v>27</v>
      </c>
      <c r="E4066" t="str">
        <f>"678"</f>
        <v>678</v>
      </c>
      <c r="F4066" t="str">
        <f t="shared" si="264"/>
        <v>0000</v>
      </c>
    </row>
    <row r="4067" spans="1:6">
      <c r="C4067" t="str">
        <f t="shared" si="263"/>
        <v>4</v>
      </c>
      <c r="D4067">
        <v>27</v>
      </c>
      <c r="E4067" t="str">
        <f>"677"</f>
        <v>677</v>
      </c>
      <c r="F4067" t="str">
        <f t="shared" si="264"/>
        <v>0000</v>
      </c>
    </row>
    <row r="4068" spans="1:6">
      <c r="C4068" t="str">
        <f t="shared" si="263"/>
        <v>4</v>
      </c>
      <c r="D4068">
        <v>27</v>
      </c>
      <c r="E4068" t="str">
        <f>"676"</f>
        <v>676</v>
      </c>
      <c r="F4068" t="str">
        <f t="shared" si="264"/>
        <v>0000</v>
      </c>
    </row>
    <row r="4069" spans="1:6">
      <c r="C4069" t="str">
        <f t="shared" si="263"/>
        <v>4</v>
      </c>
      <c r="D4069">
        <v>27</v>
      </c>
      <c r="E4069" t="str">
        <f>"589"</f>
        <v>589</v>
      </c>
      <c r="F4069" t="str">
        <f t="shared" si="264"/>
        <v>0000</v>
      </c>
    </row>
    <row r="4070" spans="1:6">
      <c r="C4070" t="str">
        <f t="shared" si="263"/>
        <v>4</v>
      </c>
      <c r="D4070">
        <v>27</v>
      </c>
      <c r="E4070" t="str">
        <f>"588"</f>
        <v>588</v>
      </c>
      <c r="F4070" t="str">
        <f t="shared" si="264"/>
        <v>0000</v>
      </c>
    </row>
    <row r="4071" spans="1:6">
      <c r="C4071" t="str">
        <f t="shared" si="263"/>
        <v>4</v>
      </c>
      <c r="D4071">
        <v>27</v>
      </c>
      <c r="E4071" t="str">
        <f>"1855"</f>
        <v>1855</v>
      </c>
      <c r="F4071" t="str">
        <f t="shared" si="264"/>
        <v>0000</v>
      </c>
    </row>
    <row r="4072" spans="1:6">
      <c r="C4072" t="str">
        <f t="shared" si="263"/>
        <v>4</v>
      </c>
      <c r="D4072">
        <v>27</v>
      </c>
      <c r="E4072" t="str">
        <f>"1421"</f>
        <v>1421</v>
      </c>
      <c r="F4072" t="str">
        <f t="shared" si="264"/>
        <v>0000</v>
      </c>
    </row>
    <row r="4073" spans="1:6">
      <c r="C4073" t="str">
        <f t="shared" si="263"/>
        <v>4</v>
      </c>
      <c r="D4073">
        <v>27</v>
      </c>
      <c r="E4073" t="str">
        <f>"1241"</f>
        <v>1241</v>
      </c>
      <c r="F4073" t="str">
        <f t="shared" si="264"/>
        <v>0000</v>
      </c>
    </row>
    <row r="4074" spans="1:6">
      <c r="A4074" t="str">
        <f>"E1235-541"</f>
        <v>E1235-541</v>
      </c>
      <c r="B4074" t="str">
        <f>"VIA FELICE MARITANO  95-"</f>
        <v>VIA FELICE MARITANO  95-</v>
      </c>
      <c r="C4074" t="str">
        <f t="shared" si="263"/>
        <v>4</v>
      </c>
      <c r="D4074">
        <v>27</v>
      </c>
      <c r="E4074" t="str">
        <f>"124"</f>
        <v>124</v>
      </c>
      <c r="F4074" t="str">
        <f t="shared" si="264"/>
        <v>0000</v>
      </c>
    </row>
    <row r="4075" spans="1:6">
      <c r="C4075" t="str">
        <f t="shared" si="263"/>
        <v>4</v>
      </c>
      <c r="D4075">
        <v>27</v>
      </c>
      <c r="E4075" t="str">
        <f>"1241"</f>
        <v>1241</v>
      </c>
      <c r="F4075" t="str">
        <f t="shared" si="264"/>
        <v>0000</v>
      </c>
    </row>
    <row r="4076" spans="1:6">
      <c r="C4076" t="str">
        <f t="shared" si="263"/>
        <v>4</v>
      </c>
      <c r="D4076">
        <v>27</v>
      </c>
      <c r="E4076" t="str">
        <f>"1421"</f>
        <v>1421</v>
      </c>
      <c r="F4076" t="str">
        <f t="shared" si="264"/>
        <v>0000</v>
      </c>
    </row>
    <row r="4077" spans="1:6">
      <c r="C4077" t="str">
        <f t="shared" si="263"/>
        <v>4</v>
      </c>
      <c r="D4077">
        <v>27</v>
      </c>
      <c r="E4077" t="str">
        <f>"1855"</f>
        <v>1855</v>
      </c>
      <c r="F4077" t="str">
        <f t="shared" si="264"/>
        <v>0000</v>
      </c>
    </row>
    <row r="4078" spans="1:6">
      <c r="C4078" t="str">
        <f t="shared" si="263"/>
        <v>4</v>
      </c>
      <c r="D4078">
        <v>27</v>
      </c>
      <c r="E4078" t="str">
        <f>"588"</f>
        <v>588</v>
      </c>
      <c r="F4078" t="str">
        <f t="shared" si="264"/>
        <v>0000</v>
      </c>
    </row>
    <row r="4079" spans="1:6">
      <c r="C4079" t="str">
        <f t="shared" si="263"/>
        <v>4</v>
      </c>
      <c r="D4079">
        <v>27</v>
      </c>
      <c r="E4079" t="str">
        <f>"676"</f>
        <v>676</v>
      </c>
      <c r="F4079" t="str">
        <f t="shared" si="264"/>
        <v>0000</v>
      </c>
    </row>
    <row r="4080" spans="1:6">
      <c r="C4080" t="str">
        <f t="shared" si="263"/>
        <v>4</v>
      </c>
      <c r="D4080">
        <v>27</v>
      </c>
      <c r="E4080" t="str">
        <f>"99999"</f>
        <v>99999</v>
      </c>
      <c r="F4080" t="str">
        <f t="shared" si="264"/>
        <v>0000</v>
      </c>
    </row>
    <row r="4081" spans="1:6">
      <c r="C4081" t="str">
        <f t="shared" si="263"/>
        <v>4</v>
      </c>
      <c r="D4081">
        <v>27</v>
      </c>
      <c r="E4081" t="str">
        <f>"975"</f>
        <v>975</v>
      </c>
      <c r="F4081" t="str">
        <f t="shared" si="264"/>
        <v>0000</v>
      </c>
    </row>
    <row r="4082" spans="1:6">
      <c r="C4082" t="str">
        <f t="shared" si="263"/>
        <v>4</v>
      </c>
      <c r="D4082">
        <v>27</v>
      </c>
      <c r="E4082" t="str">
        <f>"678"</f>
        <v>678</v>
      </c>
      <c r="F4082" t="str">
        <f t="shared" si="264"/>
        <v>0000</v>
      </c>
    </row>
    <row r="4083" spans="1:6">
      <c r="C4083" t="str">
        <f t="shared" si="263"/>
        <v>4</v>
      </c>
      <c r="D4083">
        <v>27</v>
      </c>
      <c r="E4083" t="str">
        <f>"677"</f>
        <v>677</v>
      </c>
      <c r="F4083" t="str">
        <f t="shared" si="264"/>
        <v>0000</v>
      </c>
    </row>
    <row r="4084" spans="1:6">
      <c r="C4084" t="str">
        <f t="shared" si="263"/>
        <v>4</v>
      </c>
      <c r="D4084">
        <v>27</v>
      </c>
      <c r="E4084" t="str">
        <f>"589"</f>
        <v>589</v>
      </c>
      <c r="F4084" t="str">
        <f t="shared" si="264"/>
        <v>0000</v>
      </c>
    </row>
    <row r="4085" spans="1:6">
      <c r="C4085" t="str">
        <f t="shared" si="263"/>
        <v>4</v>
      </c>
      <c r="D4085">
        <v>27</v>
      </c>
      <c r="E4085" t="str">
        <f>"587"</f>
        <v>587</v>
      </c>
      <c r="F4085" t="str">
        <f t="shared" si="264"/>
        <v>0000</v>
      </c>
    </row>
    <row r="4086" spans="1:6">
      <c r="C4086" t="str">
        <f t="shared" si="263"/>
        <v>4</v>
      </c>
      <c r="D4086">
        <v>27</v>
      </c>
      <c r="E4086" t="str">
        <f>"1422"</f>
        <v>1422</v>
      </c>
      <c r="F4086" t="str">
        <f t="shared" si="264"/>
        <v>0000</v>
      </c>
    </row>
    <row r="4087" spans="1:6">
      <c r="A4087" t="str">
        <f>"E1235-542"</f>
        <v>E1235-542</v>
      </c>
      <c r="B4087" t="str">
        <f>"VIA FELICE MARITANO  95-"</f>
        <v>VIA FELICE MARITANO  95-</v>
      </c>
      <c r="C4087" t="str">
        <f t="shared" si="263"/>
        <v>4</v>
      </c>
      <c r="D4087">
        <v>27</v>
      </c>
      <c r="E4087" t="str">
        <f>"124"</f>
        <v>124</v>
      </c>
      <c r="F4087" t="str">
        <f t="shared" si="264"/>
        <v>0000</v>
      </c>
    </row>
    <row r="4088" spans="1:6">
      <c r="C4088" t="str">
        <f t="shared" si="263"/>
        <v>4</v>
      </c>
      <c r="D4088">
        <v>27</v>
      </c>
      <c r="E4088" t="str">
        <f>"99999"</f>
        <v>99999</v>
      </c>
      <c r="F4088" t="str">
        <f t="shared" si="264"/>
        <v>0000</v>
      </c>
    </row>
    <row r="4089" spans="1:6">
      <c r="C4089" t="str">
        <f t="shared" si="263"/>
        <v>4</v>
      </c>
      <c r="D4089">
        <v>27</v>
      </c>
      <c r="E4089" t="str">
        <f>"975"</f>
        <v>975</v>
      </c>
      <c r="F4089" t="str">
        <f t="shared" si="264"/>
        <v>0000</v>
      </c>
    </row>
    <row r="4090" spans="1:6">
      <c r="C4090" t="str">
        <f t="shared" si="263"/>
        <v>4</v>
      </c>
      <c r="D4090">
        <v>27</v>
      </c>
      <c r="E4090" t="str">
        <f>"678"</f>
        <v>678</v>
      </c>
      <c r="F4090" t="str">
        <f t="shared" si="264"/>
        <v>0000</v>
      </c>
    </row>
    <row r="4091" spans="1:6">
      <c r="C4091" t="str">
        <f t="shared" ref="C4091:C4154" si="265">"4"</f>
        <v>4</v>
      </c>
      <c r="D4091">
        <v>27</v>
      </c>
      <c r="E4091" t="str">
        <f>"677"</f>
        <v>677</v>
      </c>
      <c r="F4091" t="str">
        <f t="shared" ref="F4091:F4154" si="266">"0000"</f>
        <v>0000</v>
      </c>
    </row>
    <row r="4092" spans="1:6">
      <c r="C4092" t="str">
        <f t="shared" si="265"/>
        <v>4</v>
      </c>
      <c r="D4092">
        <v>27</v>
      </c>
      <c r="E4092" t="str">
        <f>"676"</f>
        <v>676</v>
      </c>
      <c r="F4092" t="str">
        <f t="shared" si="266"/>
        <v>0000</v>
      </c>
    </row>
    <row r="4093" spans="1:6">
      <c r="C4093" t="str">
        <f t="shared" si="265"/>
        <v>4</v>
      </c>
      <c r="D4093">
        <v>27</v>
      </c>
      <c r="E4093" t="str">
        <f>"589"</f>
        <v>589</v>
      </c>
      <c r="F4093" t="str">
        <f t="shared" si="266"/>
        <v>0000</v>
      </c>
    </row>
    <row r="4094" spans="1:6">
      <c r="C4094" t="str">
        <f t="shared" si="265"/>
        <v>4</v>
      </c>
      <c r="D4094">
        <v>27</v>
      </c>
      <c r="E4094" t="str">
        <f>"588"</f>
        <v>588</v>
      </c>
      <c r="F4094" t="str">
        <f t="shared" si="266"/>
        <v>0000</v>
      </c>
    </row>
    <row r="4095" spans="1:6">
      <c r="C4095" t="str">
        <f t="shared" si="265"/>
        <v>4</v>
      </c>
      <c r="D4095">
        <v>27</v>
      </c>
      <c r="E4095" t="str">
        <f>"587"</f>
        <v>587</v>
      </c>
      <c r="F4095" t="str">
        <f t="shared" si="266"/>
        <v>0000</v>
      </c>
    </row>
    <row r="4096" spans="1:6">
      <c r="C4096" t="str">
        <f t="shared" si="265"/>
        <v>4</v>
      </c>
      <c r="D4096">
        <v>27</v>
      </c>
      <c r="E4096" t="str">
        <f>"1855"</f>
        <v>1855</v>
      </c>
      <c r="F4096" t="str">
        <f t="shared" si="266"/>
        <v>0000</v>
      </c>
    </row>
    <row r="4097" spans="1:6">
      <c r="C4097" t="str">
        <f t="shared" si="265"/>
        <v>4</v>
      </c>
      <c r="D4097">
        <v>27</v>
      </c>
      <c r="E4097" t="str">
        <f>"1241"</f>
        <v>1241</v>
      </c>
      <c r="F4097" t="str">
        <f t="shared" si="266"/>
        <v>0000</v>
      </c>
    </row>
    <row r="4098" spans="1:6">
      <c r="C4098" t="str">
        <f t="shared" si="265"/>
        <v>4</v>
      </c>
      <c r="D4098">
        <v>27</v>
      </c>
      <c r="E4098" t="str">
        <f>"1422"</f>
        <v>1422</v>
      </c>
      <c r="F4098" t="str">
        <f t="shared" si="266"/>
        <v>0000</v>
      </c>
    </row>
    <row r="4099" spans="1:6">
      <c r="C4099" t="str">
        <f t="shared" si="265"/>
        <v>4</v>
      </c>
      <c r="D4099">
        <v>27</v>
      </c>
      <c r="E4099" t="str">
        <f>"1421"</f>
        <v>1421</v>
      </c>
      <c r="F4099" t="str">
        <f t="shared" si="266"/>
        <v>0000</v>
      </c>
    </row>
    <row r="4100" spans="1:6">
      <c r="A4100" t="str">
        <f>"E1235-543"</f>
        <v>E1235-543</v>
      </c>
      <c r="B4100" t="str">
        <f>"VIA FELICE MARITANO  95-"</f>
        <v>VIA FELICE MARITANO  95-</v>
      </c>
      <c r="C4100" t="str">
        <f t="shared" si="265"/>
        <v>4</v>
      </c>
      <c r="D4100">
        <v>27</v>
      </c>
      <c r="E4100" t="str">
        <f>"124"</f>
        <v>124</v>
      </c>
      <c r="F4100" t="str">
        <f t="shared" si="266"/>
        <v>0000</v>
      </c>
    </row>
    <row r="4101" spans="1:6">
      <c r="C4101" t="str">
        <f t="shared" si="265"/>
        <v>4</v>
      </c>
      <c r="D4101">
        <v>27</v>
      </c>
      <c r="E4101" t="str">
        <f>"1241"</f>
        <v>1241</v>
      </c>
      <c r="F4101" t="str">
        <f t="shared" si="266"/>
        <v>0000</v>
      </c>
    </row>
    <row r="4102" spans="1:6">
      <c r="C4102" t="str">
        <f t="shared" si="265"/>
        <v>4</v>
      </c>
      <c r="D4102">
        <v>27</v>
      </c>
      <c r="E4102" t="str">
        <f>"1422"</f>
        <v>1422</v>
      </c>
      <c r="F4102" t="str">
        <f t="shared" si="266"/>
        <v>0000</v>
      </c>
    </row>
    <row r="4103" spans="1:6">
      <c r="C4103" t="str">
        <f t="shared" si="265"/>
        <v>4</v>
      </c>
      <c r="D4103">
        <v>27</v>
      </c>
      <c r="E4103" t="str">
        <f>"587"</f>
        <v>587</v>
      </c>
      <c r="F4103" t="str">
        <f t="shared" si="266"/>
        <v>0000</v>
      </c>
    </row>
    <row r="4104" spans="1:6">
      <c r="C4104" t="str">
        <f t="shared" si="265"/>
        <v>4</v>
      </c>
      <c r="D4104">
        <v>27</v>
      </c>
      <c r="E4104" t="str">
        <f>"589"</f>
        <v>589</v>
      </c>
      <c r="F4104" t="str">
        <f t="shared" si="266"/>
        <v>0000</v>
      </c>
    </row>
    <row r="4105" spans="1:6">
      <c r="C4105" t="str">
        <f t="shared" si="265"/>
        <v>4</v>
      </c>
      <c r="D4105">
        <v>27</v>
      </c>
      <c r="E4105" t="str">
        <f>"99999"</f>
        <v>99999</v>
      </c>
      <c r="F4105" t="str">
        <f t="shared" si="266"/>
        <v>0000</v>
      </c>
    </row>
    <row r="4106" spans="1:6">
      <c r="C4106" t="str">
        <f t="shared" si="265"/>
        <v>4</v>
      </c>
      <c r="D4106">
        <v>27</v>
      </c>
      <c r="E4106" t="str">
        <f>"975"</f>
        <v>975</v>
      </c>
      <c r="F4106" t="str">
        <f t="shared" si="266"/>
        <v>0000</v>
      </c>
    </row>
    <row r="4107" spans="1:6">
      <c r="C4107" t="str">
        <f t="shared" si="265"/>
        <v>4</v>
      </c>
      <c r="D4107">
        <v>27</v>
      </c>
      <c r="E4107" t="str">
        <f>"678"</f>
        <v>678</v>
      </c>
      <c r="F4107" t="str">
        <f t="shared" si="266"/>
        <v>0000</v>
      </c>
    </row>
    <row r="4108" spans="1:6">
      <c r="C4108" t="str">
        <f t="shared" si="265"/>
        <v>4</v>
      </c>
      <c r="D4108">
        <v>27</v>
      </c>
      <c r="E4108" t="str">
        <f>"677"</f>
        <v>677</v>
      </c>
      <c r="F4108" t="str">
        <f t="shared" si="266"/>
        <v>0000</v>
      </c>
    </row>
    <row r="4109" spans="1:6">
      <c r="C4109" t="str">
        <f t="shared" si="265"/>
        <v>4</v>
      </c>
      <c r="D4109">
        <v>27</v>
      </c>
      <c r="E4109" t="str">
        <f>"676"</f>
        <v>676</v>
      </c>
      <c r="F4109" t="str">
        <f t="shared" si="266"/>
        <v>0000</v>
      </c>
    </row>
    <row r="4110" spans="1:6">
      <c r="C4110" t="str">
        <f t="shared" si="265"/>
        <v>4</v>
      </c>
      <c r="D4110">
        <v>27</v>
      </c>
      <c r="E4110" t="str">
        <f>"588"</f>
        <v>588</v>
      </c>
      <c r="F4110" t="str">
        <f t="shared" si="266"/>
        <v>0000</v>
      </c>
    </row>
    <row r="4111" spans="1:6">
      <c r="C4111" t="str">
        <f t="shared" si="265"/>
        <v>4</v>
      </c>
      <c r="D4111">
        <v>27</v>
      </c>
      <c r="E4111" t="str">
        <f>"1855"</f>
        <v>1855</v>
      </c>
      <c r="F4111" t="str">
        <f t="shared" si="266"/>
        <v>0000</v>
      </c>
    </row>
    <row r="4112" spans="1:6">
      <c r="C4112" t="str">
        <f t="shared" si="265"/>
        <v>4</v>
      </c>
      <c r="D4112">
        <v>27</v>
      </c>
      <c r="E4112" t="str">
        <f>"1421"</f>
        <v>1421</v>
      </c>
      <c r="F4112" t="str">
        <f t="shared" si="266"/>
        <v>0000</v>
      </c>
    </row>
    <row r="4113" spans="1:6">
      <c r="A4113" t="str">
        <f>"E1235-544"</f>
        <v>E1235-544</v>
      </c>
      <c r="B4113" t="str">
        <f>"VIA FELICE MARITANO  95-"</f>
        <v>VIA FELICE MARITANO  95-</v>
      </c>
      <c r="C4113" t="str">
        <f t="shared" si="265"/>
        <v>4</v>
      </c>
      <c r="D4113">
        <v>27</v>
      </c>
      <c r="E4113" t="str">
        <f>"124"</f>
        <v>124</v>
      </c>
      <c r="F4113" t="str">
        <f t="shared" si="266"/>
        <v>0000</v>
      </c>
    </row>
    <row r="4114" spans="1:6">
      <c r="C4114" t="str">
        <f t="shared" si="265"/>
        <v>4</v>
      </c>
      <c r="D4114">
        <v>27</v>
      </c>
      <c r="E4114" t="str">
        <f>"1421"</f>
        <v>1421</v>
      </c>
      <c r="F4114" t="str">
        <f t="shared" si="266"/>
        <v>0000</v>
      </c>
    </row>
    <row r="4115" spans="1:6">
      <c r="C4115" t="str">
        <f t="shared" si="265"/>
        <v>4</v>
      </c>
      <c r="D4115">
        <v>27</v>
      </c>
      <c r="E4115" t="str">
        <f>"1422"</f>
        <v>1422</v>
      </c>
      <c r="F4115" t="str">
        <f t="shared" si="266"/>
        <v>0000</v>
      </c>
    </row>
    <row r="4116" spans="1:6">
      <c r="C4116" t="str">
        <f t="shared" si="265"/>
        <v>4</v>
      </c>
      <c r="D4116">
        <v>27</v>
      </c>
      <c r="E4116" t="str">
        <f>"1241"</f>
        <v>1241</v>
      </c>
      <c r="F4116" t="str">
        <f t="shared" si="266"/>
        <v>0000</v>
      </c>
    </row>
    <row r="4117" spans="1:6">
      <c r="C4117" t="str">
        <f t="shared" si="265"/>
        <v>4</v>
      </c>
      <c r="D4117">
        <v>27</v>
      </c>
      <c r="E4117" t="str">
        <f>"1855"</f>
        <v>1855</v>
      </c>
      <c r="F4117" t="str">
        <f t="shared" si="266"/>
        <v>0000</v>
      </c>
    </row>
    <row r="4118" spans="1:6">
      <c r="C4118" t="str">
        <f t="shared" si="265"/>
        <v>4</v>
      </c>
      <c r="D4118">
        <v>27</v>
      </c>
      <c r="E4118" t="str">
        <f>"588"</f>
        <v>588</v>
      </c>
      <c r="F4118" t="str">
        <f t="shared" si="266"/>
        <v>0000</v>
      </c>
    </row>
    <row r="4119" spans="1:6">
      <c r="C4119" t="str">
        <f t="shared" si="265"/>
        <v>4</v>
      </c>
      <c r="D4119">
        <v>27</v>
      </c>
      <c r="E4119" t="str">
        <f>"676"</f>
        <v>676</v>
      </c>
      <c r="F4119" t="str">
        <f t="shared" si="266"/>
        <v>0000</v>
      </c>
    </row>
    <row r="4120" spans="1:6">
      <c r="C4120" t="str">
        <f t="shared" si="265"/>
        <v>4</v>
      </c>
      <c r="D4120">
        <v>27</v>
      </c>
      <c r="E4120" t="str">
        <f>"678"</f>
        <v>678</v>
      </c>
      <c r="F4120" t="str">
        <f t="shared" si="266"/>
        <v>0000</v>
      </c>
    </row>
    <row r="4121" spans="1:6">
      <c r="C4121" t="str">
        <f t="shared" si="265"/>
        <v>4</v>
      </c>
      <c r="D4121">
        <v>27</v>
      </c>
      <c r="E4121" t="str">
        <f>"99999"</f>
        <v>99999</v>
      </c>
      <c r="F4121" t="str">
        <f t="shared" si="266"/>
        <v>0000</v>
      </c>
    </row>
    <row r="4122" spans="1:6">
      <c r="C4122" t="str">
        <f t="shared" si="265"/>
        <v>4</v>
      </c>
      <c r="D4122">
        <v>27</v>
      </c>
      <c r="E4122" t="str">
        <f>"975"</f>
        <v>975</v>
      </c>
      <c r="F4122" t="str">
        <f t="shared" si="266"/>
        <v>0000</v>
      </c>
    </row>
    <row r="4123" spans="1:6">
      <c r="C4123" t="str">
        <f t="shared" si="265"/>
        <v>4</v>
      </c>
      <c r="D4123">
        <v>27</v>
      </c>
      <c r="E4123" t="str">
        <f>"677"</f>
        <v>677</v>
      </c>
      <c r="F4123" t="str">
        <f t="shared" si="266"/>
        <v>0000</v>
      </c>
    </row>
    <row r="4124" spans="1:6">
      <c r="C4124" t="str">
        <f t="shared" si="265"/>
        <v>4</v>
      </c>
      <c r="D4124">
        <v>27</v>
      </c>
      <c r="E4124" t="str">
        <f>"589"</f>
        <v>589</v>
      </c>
      <c r="F4124" t="str">
        <f t="shared" si="266"/>
        <v>0000</v>
      </c>
    </row>
    <row r="4125" spans="1:6">
      <c r="C4125" t="str">
        <f t="shared" si="265"/>
        <v>4</v>
      </c>
      <c r="D4125">
        <v>27</v>
      </c>
      <c r="E4125" t="str">
        <f>"587"</f>
        <v>587</v>
      </c>
      <c r="F4125" t="str">
        <f t="shared" si="266"/>
        <v>0000</v>
      </c>
    </row>
    <row r="4126" spans="1:6">
      <c r="A4126" t="str">
        <f>"E1235-545"</f>
        <v>E1235-545</v>
      </c>
      <c r="B4126" t="str">
        <f>"VIA FELICE MARITANO  95-"</f>
        <v>VIA FELICE MARITANO  95-</v>
      </c>
      <c r="C4126" t="str">
        <f t="shared" si="265"/>
        <v>4</v>
      </c>
      <c r="D4126">
        <v>27</v>
      </c>
      <c r="E4126" t="str">
        <f>"124"</f>
        <v>124</v>
      </c>
      <c r="F4126" t="str">
        <f t="shared" si="266"/>
        <v>0000</v>
      </c>
    </row>
    <row r="4127" spans="1:6">
      <c r="C4127" t="str">
        <f t="shared" si="265"/>
        <v>4</v>
      </c>
      <c r="D4127">
        <v>27</v>
      </c>
      <c r="E4127" t="str">
        <f>"1422"</f>
        <v>1422</v>
      </c>
      <c r="F4127" t="str">
        <f t="shared" si="266"/>
        <v>0000</v>
      </c>
    </row>
    <row r="4128" spans="1:6">
      <c r="C4128" t="str">
        <f t="shared" si="265"/>
        <v>4</v>
      </c>
      <c r="D4128">
        <v>27</v>
      </c>
      <c r="E4128" t="str">
        <f>"587"</f>
        <v>587</v>
      </c>
      <c r="F4128" t="str">
        <f t="shared" si="266"/>
        <v>0000</v>
      </c>
    </row>
    <row r="4129" spans="1:6">
      <c r="C4129" t="str">
        <f t="shared" si="265"/>
        <v>4</v>
      </c>
      <c r="D4129">
        <v>27</v>
      </c>
      <c r="E4129" t="str">
        <f>"99999"</f>
        <v>99999</v>
      </c>
      <c r="F4129" t="str">
        <f t="shared" si="266"/>
        <v>0000</v>
      </c>
    </row>
    <row r="4130" spans="1:6">
      <c r="C4130" t="str">
        <f t="shared" si="265"/>
        <v>4</v>
      </c>
      <c r="D4130">
        <v>27</v>
      </c>
      <c r="E4130" t="str">
        <f>"975"</f>
        <v>975</v>
      </c>
      <c r="F4130" t="str">
        <f t="shared" si="266"/>
        <v>0000</v>
      </c>
    </row>
    <row r="4131" spans="1:6">
      <c r="C4131" t="str">
        <f t="shared" si="265"/>
        <v>4</v>
      </c>
      <c r="D4131">
        <v>27</v>
      </c>
      <c r="E4131" t="str">
        <f>"678"</f>
        <v>678</v>
      </c>
      <c r="F4131" t="str">
        <f t="shared" si="266"/>
        <v>0000</v>
      </c>
    </row>
    <row r="4132" spans="1:6">
      <c r="C4132" t="str">
        <f t="shared" si="265"/>
        <v>4</v>
      </c>
      <c r="D4132">
        <v>27</v>
      </c>
      <c r="E4132" t="str">
        <f>"677"</f>
        <v>677</v>
      </c>
      <c r="F4132" t="str">
        <f t="shared" si="266"/>
        <v>0000</v>
      </c>
    </row>
    <row r="4133" spans="1:6">
      <c r="C4133" t="str">
        <f t="shared" si="265"/>
        <v>4</v>
      </c>
      <c r="D4133">
        <v>27</v>
      </c>
      <c r="E4133" t="str">
        <f>"676"</f>
        <v>676</v>
      </c>
      <c r="F4133" t="str">
        <f t="shared" si="266"/>
        <v>0000</v>
      </c>
    </row>
    <row r="4134" spans="1:6">
      <c r="C4134" t="str">
        <f t="shared" si="265"/>
        <v>4</v>
      </c>
      <c r="D4134">
        <v>27</v>
      </c>
      <c r="E4134" t="str">
        <f>"589"</f>
        <v>589</v>
      </c>
      <c r="F4134" t="str">
        <f t="shared" si="266"/>
        <v>0000</v>
      </c>
    </row>
    <row r="4135" spans="1:6">
      <c r="C4135" t="str">
        <f t="shared" si="265"/>
        <v>4</v>
      </c>
      <c r="D4135">
        <v>27</v>
      </c>
      <c r="E4135" t="str">
        <f>"588"</f>
        <v>588</v>
      </c>
      <c r="F4135" t="str">
        <f t="shared" si="266"/>
        <v>0000</v>
      </c>
    </row>
    <row r="4136" spans="1:6">
      <c r="C4136" t="str">
        <f t="shared" si="265"/>
        <v>4</v>
      </c>
      <c r="D4136">
        <v>27</v>
      </c>
      <c r="E4136" t="str">
        <f>"1855"</f>
        <v>1855</v>
      </c>
      <c r="F4136" t="str">
        <f t="shared" si="266"/>
        <v>0000</v>
      </c>
    </row>
    <row r="4137" spans="1:6">
      <c r="C4137" t="str">
        <f t="shared" si="265"/>
        <v>4</v>
      </c>
      <c r="D4137">
        <v>27</v>
      </c>
      <c r="E4137" t="str">
        <f>"1421"</f>
        <v>1421</v>
      </c>
      <c r="F4137" t="str">
        <f t="shared" si="266"/>
        <v>0000</v>
      </c>
    </row>
    <row r="4138" spans="1:6">
      <c r="C4138" t="str">
        <f t="shared" si="265"/>
        <v>4</v>
      </c>
      <c r="D4138">
        <v>27</v>
      </c>
      <c r="E4138" t="str">
        <f>"1241"</f>
        <v>1241</v>
      </c>
      <c r="F4138" t="str">
        <f t="shared" si="266"/>
        <v>0000</v>
      </c>
    </row>
    <row r="4139" spans="1:6">
      <c r="A4139" t="str">
        <f>"E1235-546"</f>
        <v>E1235-546</v>
      </c>
      <c r="B4139" t="str">
        <f>"VIA FELICE MARITANO  95-"</f>
        <v>VIA FELICE MARITANO  95-</v>
      </c>
      <c r="C4139" t="str">
        <f t="shared" si="265"/>
        <v>4</v>
      </c>
      <c r="D4139">
        <v>27</v>
      </c>
      <c r="E4139" t="str">
        <f>"124"</f>
        <v>124</v>
      </c>
      <c r="F4139" t="str">
        <f t="shared" si="266"/>
        <v>0000</v>
      </c>
    </row>
    <row r="4140" spans="1:6">
      <c r="C4140" t="str">
        <f t="shared" si="265"/>
        <v>4</v>
      </c>
      <c r="D4140">
        <v>27</v>
      </c>
      <c r="E4140" t="str">
        <f>"1241"</f>
        <v>1241</v>
      </c>
      <c r="F4140" t="str">
        <f t="shared" si="266"/>
        <v>0000</v>
      </c>
    </row>
    <row r="4141" spans="1:6">
      <c r="C4141" t="str">
        <f t="shared" si="265"/>
        <v>4</v>
      </c>
      <c r="D4141">
        <v>27</v>
      </c>
      <c r="E4141" t="str">
        <f>"1421"</f>
        <v>1421</v>
      </c>
      <c r="F4141" t="str">
        <f t="shared" si="266"/>
        <v>0000</v>
      </c>
    </row>
    <row r="4142" spans="1:6">
      <c r="C4142" t="str">
        <f t="shared" si="265"/>
        <v>4</v>
      </c>
      <c r="D4142">
        <v>27</v>
      </c>
      <c r="E4142" t="str">
        <f>"1855"</f>
        <v>1855</v>
      </c>
      <c r="F4142" t="str">
        <f t="shared" si="266"/>
        <v>0000</v>
      </c>
    </row>
    <row r="4143" spans="1:6">
      <c r="C4143" t="str">
        <f t="shared" si="265"/>
        <v>4</v>
      </c>
      <c r="D4143">
        <v>27</v>
      </c>
      <c r="E4143" t="str">
        <f>"588"</f>
        <v>588</v>
      </c>
      <c r="F4143" t="str">
        <f t="shared" si="266"/>
        <v>0000</v>
      </c>
    </row>
    <row r="4144" spans="1:6">
      <c r="C4144" t="str">
        <f t="shared" si="265"/>
        <v>4</v>
      </c>
      <c r="D4144">
        <v>27</v>
      </c>
      <c r="E4144" t="str">
        <f>"676"</f>
        <v>676</v>
      </c>
      <c r="F4144" t="str">
        <f t="shared" si="266"/>
        <v>0000</v>
      </c>
    </row>
    <row r="4145" spans="1:6">
      <c r="C4145" t="str">
        <f t="shared" si="265"/>
        <v>4</v>
      </c>
      <c r="D4145">
        <v>27</v>
      </c>
      <c r="E4145" t="str">
        <f>"99999"</f>
        <v>99999</v>
      </c>
      <c r="F4145" t="str">
        <f t="shared" si="266"/>
        <v>0000</v>
      </c>
    </row>
    <row r="4146" spans="1:6">
      <c r="C4146" t="str">
        <f t="shared" si="265"/>
        <v>4</v>
      </c>
      <c r="D4146">
        <v>27</v>
      </c>
      <c r="E4146" t="str">
        <f>"975"</f>
        <v>975</v>
      </c>
      <c r="F4146" t="str">
        <f t="shared" si="266"/>
        <v>0000</v>
      </c>
    </row>
    <row r="4147" spans="1:6">
      <c r="C4147" t="str">
        <f t="shared" si="265"/>
        <v>4</v>
      </c>
      <c r="D4147">
        <v>27</v>
      </c>
      <c r="E4147" t="str">
        <f>"678"</f>
        <v>678</v>
      </c>
      <c r="F4147" t="str">
        <f t="shared" si="266"/>
        <v>0000</v>
      </c>
    </row>
    <row r="4148" spans="1:6">
      <c r="C4148" t="str">
        <f t="shared" si="265"/>
        <v>4</v>
      </c>
      <c r="D4148">
        <v>27</v>
      </c>
      <c r="E4148" t="str">
        <f>"677"</f>
        <v>677</v>
      </c>
      <c r="F4148" t="str">
        <f t="shared" si="266"/>
        <v>0000</v>
      </c>
    </row>
    <row r="4149" spans="1:6">
      <c r="C4149" t="str">
        <f t="shared" si="265"/>
        <v>4</v>
      </c>
      <c r="D4149">
        <v>27</v>
      </c>
      <c r="E4149" t="str">
        <f>"589"</f>
        <v>589</v>
      </c>
      <c r="F4149" t="str">
        <f t="shared" si="266"/>
        <v>0000</v>
      </c>
    </row>
    <row r="4150" spans="1:6">
      <c r="C4150" t="str">
        <f t="shared" si="265"/>
        <v>4</v>
      </c>
      <c r="D4150">
        <v>27</v>
      </c>
      <c r="E4150" t="str">
        <f>"587"</f>
        <v>587</v>
      </c>
      <c r="F4150" t="str">
        <f t="shared" si="266"/>
        <v>0000</v>
      </c>
    </row>
    <row r="4151" spans="1:6">
      <c r="C4151" t="str">
        <f t="shared" si="265"/>
        <v>4</v>
      </c>
      <c r="D4151">
        <v>27</v>
      </c>
      <c r="E4151" t="str">
        <f>"1422"</f>
        <v>1422</v>
      </c>
      <c r="F4151" t="str">
        <f t="shared" si="266"/>
        <v>0000</v>
      </c>
    </row>
    <row r="4152" spans="1:6">
      <c r="A4152" t="str">
        <f>"E1235-547"</f>
        <v>E1235-547</v>
      </c>
      <c r="B4152" t="str">
        <f>"VIA FELICE MARITANO  95-"</f>
        <v>VIA FELICE MARITANO  95-</v>
      </c>
      <c r="C4152" t="str">
        <f t="shared" si="265"/>
        <v>4</v>
      </c>
      <c r="D4152">
        <v>27</v>
      </c>
      <c r="E4152" t="str">
        <f>"124"</f>
        <v>124</v>
      </c>
      <c r="F4152" t="str">
        <f t="shared" si="266"/>
        <v>0000</v>
      </c>
    </row>
    <row r="4153" spans="1:6">
      <c r="C4153" t="str">
        <f t="shared" si="265"/>
        <v>4</v>
      </c>
      <c r="D4153">
        <v>27</v>
      </c>
      <c r="E4153" t="str">
        <f>"99999"</f>
        <v>99999</v>
      </c>
      <c r="F4153" t="str">
        <f t="shared" si="266"/>
        <v>0000</v>
      </c>
    </row>
    <row r="4154" spans="1:6">
      <c r="C4154" t="str">
        <f t="shared" si="265"/>
        <v>4</v>
      </c>
      <c r="D4154">
        <v>27</v>
      </c>
      <c r="E4154" t="str">
        <f>"975"</f>
        <v>975</v>
      </c>
      <c r="F4154" t="str">
        <f t="shared" si="266"/>
        <v>0000</v>
      </c>
    </row>
    <row r="4155" spans="1:6">
      <c r="C4155" t="str">
        <f t="shared" ref="C4155:C4218" si="267">"4"</f>
        <v>4</v>
      </c>
      <c r="D4155">
        <v>27</v>
      </c>
      <c r="E4155" t="str">
        <f>"678"</f>
        <v>678</v>
      </c>
      <c r="F4155" t="str">
        <f t="shared" ref="F4155:F4218" si="268">"0000"</f>
        <v>0000</v>
      </c>
    </row>
    <row r="4156" spans="1:6">
      <c r="C4156" t="str">
        <f t="shared" si="267"/>
        <v>4</v>
      </c>
      <c r="D4156">
        <v>27</v>
      </c>
      <c r="E4156" t="str">
        <f>"677"</f>
        <v>677</v>
      </c>
      <c r="F4156" t="str">
        <f t="shared" si="268"/>
        <v>0000</v>
      </c>
    </row>
    <row r="4157" spans="1:6">
      <c r="C4157" t="str">
        <f t="shared" si="267"/>
        <v>4</v>
      </c>
      <c r="D4157">
        <v>27</v>
      </c>
      <c r="E4157" t="str">
        <f>"676"</f>
        <v>676</v>
      </c>
      <c r="F4157" t="str">
        <f t="shared" si="268"/>
        <v>0000</v>
      </c>
    </row>
    <row r="4158" spans="1:6">
      <c r="C4158" t="str">
        <f t="shared" si="267"/>
        <v>4</v>
      </c>
      <c r="D4158">
        <v>27</v>
      </c>
      <c r="E4158" t="str">
        <f>"589"</f>
        <v>589</v>
      </c>
      <c r="F4158" t="str">
        <f t="shared" si="268"/>
        <v>0000</v>
      </c>
    </row>
    <row r="4159" spans="1:6">
      <c r="C4159" t="str">
        <f t="shared" si="267"/>
        <v>4</v>
      </c>
      <c r="D4159">
        <v>27</v>
      </c>
      <c r="E4159" t="str">
        <f>"588"</f>
        <v>588</v>
      </c>
      <c r="F4159" t="str">
        <f t="shared" si="268"/>
        <v>0000</v>
      </c>
    </row>
    <row r="4160" spans="1:6">
      <c r="C4160" t="str">
        <f t="shared" si="267"/>
        <v>4</v>
      </c>
      <c r="D4160">
        <v>27</v>
      </c>
      <c r="E4160" t="str">
        <f>"587"</f>
        <v>587</v>
      </c>
      <c r="F4160" t="str">
        <f t="shared" si="268"/>
        <v>0000</v>
      </c>
    </row>
    <row r="4161" spans="1:6">
      <c r="C4161" t="str">
        <f t="shared" si="267"/>
        <v>4</v>
      </c>
      <c r="D4161">
        <v>27</v>
      </c>
      <c r="E4161" t="str">
        <f>"1855"</f>
        <v>1855</v>
      </c>
      <c r="F4161" t="str">
        <f t="shared" si="268"/>
        <v>0000</v>
      </c>
    </row>
    <row r="4162" spans="1:6">
      <c r="C4162" t="str">
        <f t="shared" si="267"/>
        <v>4</v>
      </c>
      <c r="D4162">
        <v>27</v>
      </c>
      <c r="E4162" t="str">
        <f>"1241"</f>
        <v>1241</v>
      </c>
      <c r="F4162" t="str">
        <f t="shared" si="268"/>
        <v>0000</v>
      </c>
    </row>
    <row r="4163" spans="1:6">
      <c r="C4163" t="str">
        <f t="shared" si="267"/>
        <v>4</v>
      </c>
      <c r="D4163">
        <v>27</v>
      </c>
      <c r="E4163" t="str">
        <f>"1422"</f>
        <v>1422</v>
      </c>
      <c r="F4163" t="str">
        <f t="shared" si="268"/>
        <v>0000</v>
      </c>
    </row>
    <row r="4164" spans="1:6">
      <c r="C4164" t="str">
        <f t="shared" si="267"/>
        <v>4</v>
      </c>
      <c r="D4164">
        <v>27</v>
      </c>
      <c r="E4164" t="str">
        <f>"1421"</f>
        <v>1421</v>
      </c>
      <c r="F4164" t="str">
        <f t="shared" si="268"/>
        <v>0000</v>
      </c>
    </row>
    <row r="4165" spans="1:6">
      <c r="A4165" t="str">
        <f>"E1235-548"</f>
        <v>E1235-548</v>
      </c>
      <c r="B4165" t="str">
        <f>"VIA FELICE MARITANO  95-"</f>
        <v>VIA FELICE MARITANO  95-</v>
      </c>
      <c r="C4165" t="str">
        <f t="shared" si="267"/>
        <v>4</v>
      </c>
      <c r="D4165">
        <v>27</v>
      </c>
      <c r="E4165" t="str">
        <f>"124"</f>
        <v>124</v>
      </c>
      <c r="F4165" t="str">
        <f t="shared" si="268"/>
        <v>0000</v>
      </c>
    </row>
    <row r="4166" spans="1:6">
      <c r="C4166" t="str">
        <f t="shared" si="267"/>
        <v>4</v>
      </c>
      <c r="D4166">
        <v>27</v>
      </c>
      <c r="E4166" t="str">
        <f>"1241"</f>
        <v>1241</v>
      </c>
      <c r="F4166" t="str">
        <f t="shared" si="268"/>
        <v>0000</v>
      </c>
    </row>
    <row r="4167" spans="1:6">
      <c r="C4167" t="str">
        <f t="shared" si="267"/>
        <v>4</v>
      </c>
      <c r="D4167">
        <v>27</v>
      </c>
      <c r="E4167" t="str">
        <f>"1422"</f>
        <v>1422</v>
      </c>
      <c r="F4167" t="str">
        <f t="shared" si="268"/>
        <v>0000</v>
      </c>
    </row>
    <row r="4168" spans="1:6">
      <c r="C4168" t="str">
        <f t="shared" si="267"/>
        <v>4</v>
      </c>
      <c r="D4168">
        <v>27</v>
      </c>
      <c r="E4168" t="str">
        <f>"587"</f>
        <v>587</v>
      </c>
      <c r="F4168" t="str">
        <f t="shared" si="268"/>
        <v>0000</v>
      </c>
    </row>
    <row r="4169" spans="1:6">
      <c r="C4169" t="str">
        <f t="shared" si="267"/>
        <v>4</v>
      </c>
      <c r="D4169">
        <v>27</v>
      </c>
      <c r="E4169" t="str">
        <f>"589"</f>
        <v>589</v>
      </c>
      <c r="F4169" t="str">
        <f t="shared" si="268"/>
        <v>0000</v>
      </c>
    </row>
    <row r="4170" spans="1:6">
      <c r="C4170" t="str">
        <f t="shared" si="267"/>
        <v>4</v>
      </c>
      <c r="D4170">
        <v>27</v>
      </c>
      <c r="E4170" t="str">
        <f>"99999"</f>
        <v>99999</v>
      </c>
      <c r="F4170" t="str">
        <f t="shared" si="268"/>
        <v>0000</v>
      </c>
    </row>
    <row r="4171" spans="1:6">
      <c r="C4171" t="str">
        <f t="shared" si="267"/>
        <v>4</v>
      </c>
      <c r="D4171">
        <v>27</v>
      </c>
      <c r="E4171" t="str">
        <f>"975"</f>
        <v>975</v>
      </c>
      <c r="F4171" t="str">
        <f t="shared" si="268"/>
        <v>0000</v>
      </c>
    </row>
    <row r="4172" spans="1:6">
      <c r="C4172" t="str">
        <f t="shared" si="267"/>
        <v>4</v>
      </c>
      <c r="D4172">
        <v>27</v>
      </c>
      <c r="E4172" t="str">
        <f>"678"</f>
        <v>678</v>
      </c>
      <c r="F4172" t="str">
        <f t="shared" si="268"/>
        <v>0000</v>
      </c>
    </row>
    <row r="4173" spans="1:6">
      <c r="C4173" t="str">
        <f t="shared" si="267"/>
        <v>4</v>
      </c>
      <c r="D4173">
        <v>27</v>
      </c>
      <c r="E4173" t="str">
        <f>"677"</f>
        <v>677</v>
      </c>
      <c r="F4173" t="str">
        <f t="shared" si="268"/>
        <v>0000</v>
      </c>
    </row>
    <row r="4174" spans="1:6">
      <c r="C4174" t="str">
        <f t="shared" si="267"/>
        <v>4</v>
      </c>
      <c r="D4174">
        <v>27</v>
      </c>
      <c r="E4174" t="str">
        <f>"676"</f>
        <v>676</v>
      </c>
      <c r="F4174" t="str">
        <f t="shared" si="268"/>
        <v>0000</v>
      </c>
    </row>
    <row r="4175" spans="1:6">
      <c r="C4175" t="str">
        <f t="shared" si="267"/>
        <v>4</v>
      </c>
      <c r="D4175">
        <v>27</v>
      </c>
      <c r="E4175" t="str">
        <f>"588"</f>
        <v>588</v>
      </c>
      <c r="F4175" t="str">
        <f t="shared" si="268"/>
        <v>0000</v>
      </c>
    </row>
    <row r="4176" spans="1:6">
      <c r="C4176" t="str">
        <f t="shared" si="267"/>
        <v>4</v>
      </c>
      <c r="D4176">
        <v>27</v>
      </c>
      <c r="E4176" t="str">
        <f>"1855"</f>
        <v>1855</v>
      </c>
      <c r="F4176" t="str">
        <f t="shared" si="268"/>
        <v>0000</v>
      </c>
    </row>
    <row r="4177" spans="1:6">
      <c r="C4177" t="str">
        <f t="shared" si="267"/>
        <v>4</v>
      </c>
      <c r="D4177">
        <v>27</v>
      </c>
      <c r="E4177" t="str">
        <f>"1421"</f>
        <v>1421</v>
      </c>
      <c r="F4177" t="str">
        <f t="shared" si="268"/>
        <v>0000</v>
      </c>
    </row>
    <row r="4178" spans="1:6">
      <c r="A4178" t="str">
        <f>"E1235-549"</f>
        <v>E1235-549</v>
      </c>
      <c r="B4178" t="str">
        <f>"VIA FELICE MARITANO  95-"</f>
        <v>VIA FELICE MARITANO  95-</v>
      </c>
      <c r="C4178" t="str">
        <f t="shared" si="267"/>
        <v>4</v>
      </c>
      <c r="D4178">
        <v>27</v>
      </c>
      <c r="E4178" t="str">
        <f>"124"</f>
        <v>124</v>
      </c>
      <c r="F4178" t="str">
        <f t="shared" si="268"/>
        <v>0000</v>
      </c>
    </row>
    <row r="4179" spans="1:6">
      <c r="C4179" t="str">
        <f t="shared" si="267"/>
        <v>4</v>
      </c>
      <c r="D4179">
        <v>27</v>
      </c>
      <c r="E4179" t="str">
        <f>"1421"</f>
        <v>1421</v>
      </c>
      <c r="F4179" t="str">
        <f t="shared" si="268"/>
        <v>0000</v>
      </c>
    </row>
    <row r="4180" spans="1:6">
      <c r="C4180" t="str">
        <f t="shared" si="267"/>
        <v>4</v>
      </c>
      <c r="D4180">
        <v>27</v>
      </c>
      <c r="E4180" t="str">
        <f>"1422"</f>
        <v>1422</v>
      </c>
      <c r="F4180" t="str">
        <f t="shared" si="268"/>
        <v>0000</v>
      </c>
    </row>
    <row r="4181" spans="1:6">
      <c r="C4181" t="str">
        <f t="shared" si="267"/>
        <v>4</v>
      </c>
      <c r="D4181">
        <v>27</v>
      </c>
      <c r="E4181" t="str">
        <f>"1241"</f>
        <v>1241</v>
      </c>
      <c r="F4181" t="str">
        <f t="shared" si="268"/>
        <v>0000</v>
      </c>
    </row>
    <row r="4182" spans="1:6">
      <c r="C4182" t="str">
        <f t="shared" si="267"/>
        <v>4</v>
      </c>
      <c r="D4182">
        <v>27</v>
      </c>
      <c r="E4182" t="str">
        <f>"1855"</f>
        <v>1855</v>
      </c>
      <c r="F4182" t="str">
        <f t="shared" si="268"/>
        <v>0000</v>
      </c>
    </row>
    <row r="4183" spans="1:6">
      <c r="C4183" t="str">
        <f t="shared" si="267"/>
        <v>4</v>
      </c>
      <c r="D4183">
        <v>27</v>
      </c>
      <c r="E4183" t="str">
        <f>"588"</f>
        <v>588</v>
      </c>
      <c r="F4183" t="str">
        <f t="shared" si="268"/>
        <v>0000</v>
      </c>
    </row>
    <row r="4184" spans="1:6">
      <c r="C4184" t="str">
        <f t="shared" si="267"/>
        <v>4</v>
      </c>
      <c r="D4184">
        <v>27</v>
      </c>
      <c r="E4184" t="str">
        <f>"676"</f>
        <v>676</v>
      </c>
      <c r="F4184" t="str">
        <f t="shared" si="268"/>
        <v>0000</v>
      </c>
    </row>
    <row r="4185" spans="1:6">
      <c r="C4185" t="str">
        <f t="shared" si="267"/>
        <v>4</v>
      </c>
      <c r="D4185">
        <v>27</v>
      </c>
      <c r="E4185" t="str">
        <f>"678"</f>
        <v>678</v>
      </c>
      <c r="F4185" t="str">
        <f t="shared" si="268"/>
        <v>0000</v>
      </c>
    </row>
    <row r="4186" spans="1:6">
      <c r="C4186" t="str">
        <f t="shared" si="267"/>
        <v>4</v>
      </c>
      <c r="D4186">
        <v>27</v>
      </c>
      <c r="E4186" t="str">
        <f>"99999"</f>
        <v>99999</v>
      </c>
      <c r="F4186" t="str">
        <f t="shared" si="268"/>
        <v>0000</v>
      </c>
    </row>
    <row r="4187" spans="1:6">
      <c r="C4187" t="str">
        <f t="shared" si="267"/>
        <v>4</v>
      </c>
      <c r="D4187">
        <v>27</v>
      </c>
      <c r="E4187" t="str">
        <f>"975"</f>
        <v>975</v>
      </c>
      <c r="F4187" t="str">
        <f t="shared" si="268"/>
        <v>0000</v>
      </c>
    </row>
    <row r="4188" spans="1:6">
      <c r="C4188" t="str">
        <f t="shared" si="267"/>
        <v>4</v>
      </c>
      <c r="D4188">
        <v>27</v>
      </c>
      <c r="E4188" t="str">
        <f>"677"</f>
        <v>677</v>
      </c>
      <c r="F4188" t="str">
        <f t="shared" si="268"/>
        <v>0000</v>
      </c>
    </row>
    <row r="4189" spans="1:6">
      <c r="C4189" t="str">
        <f t="shared" si="267"/>
        <v>4</v>
      </c>
      <c r="D4189">
        <v>27</v>
      </c>
      <c r="E4189" t="str">
        <f>"589"</f>
        <v>589</v>
      </c>
      <c r="F4189" t="str">
        <f t="shared" si="268"/>
        <v>0000</v>
      </c>
    </row>
    <row r="4190" spans="1:6">
      <c r="C4190" t="str">
        <f t="shared" si="267"/>
        <v>4</v>
      </c>
      <c r="D4190">
        <v>27</v>
      </c>
      <c r="E4190" t="str">
        <f>"587"</f>
        <v>587</v>
      </c>
      <c r="F4190" t="str">
        <f t="shared" si="268"/>
        <v>0000</v>
      </c>
    </row>
    <row r="4191" spans="1:6">
      <c r="A4191" t="str">
        <f>"E1235-550"</f>
        <v>E1235-550</v>
      </c>
      <c r="B4191" t="str">
        <f>"VIA FELICE MARITANO  95-"</f>
        <v>VIA FELICE MARITANO  95-</v>
      </c>
      <c r="C4191" t="str">
        <f t="shared" si="267"/>
        <v>4</v>
      </c>
      <c r="D4191">
        <v>27</v>
      </c>
      <c r="E4191" t="str">
        <f>"124"</f>
        <v>124</v>
      </c>
      <c r="F4191" t="str">
        <f t="shared" si="268"/>
        <v>0000</v>
      </c>
    </row>
    <row r="4192" spans="1:6">
      <c r="C4192" t="str">
        <f t="shared" si="267"/>
        <v>4</v>
      </c>
      <c r="D4192">
        <v>27</v>
      </c>
      <c r="E4192" t="str">
        <f>"1422"</f>
        <v>1422</v>
      </c>
      <c r="F4192" t="str">
        <f t="shared" si="268"/>
        <v>0000</v>
      </c>
    </row>
    <row r="4193" spans="1:6">
      <c r="C4193" t="str">
        <f t="shared" si="267"/>
        <v>4</v>
      </c>
      <c r="D4193">
        <v>27</v>
      </c>
      <c r="E4193" t="str">
        <f>"587"</f>
        <v>587</v>
      </c>
      <c r="F4193" t="str">
        <f t="shared" si="268"/>
        <v>0000</v>
      </c>
    </row>
    <row r="4194" spans="1:6">
      <c r="C4194" t="str">
        <f t="shared" si="267"/>
        <v>4</v>
      </c>
      <c r="D4194">
        <v>27</v>
      </c>
      <c r="E4194" t="str">
        <f>"99999"</f>
        <v>99999</v>
      </c>
      <c r="F4194" t="str">
        <f t="shared" si="268"/>
        <v>0000</v>
      </c>
    </row>
    <row r="4195" spans="1:6">
      <c r="C4195" t="str">
        <f t="shared" si="267"/>
        <v>4</v>
      </c>
      <c r="D4195">
        <v>27</v>
      </c>
      <c r="E4195" t="str">
        <f>"975"</f>
        <v>975</v>
      </c>
      <c r="F4195" t="str">
        <f t="shared" si="268"/>
        <v>0000</v>
      </c>
    </row>
    <row r="4196" spans="1:6">
      <c r="C4196" t="str">
        <f t="shared" si="267"/>
        <v>4</v>
      </c>
      <c r="D4196">
        <v>27</v>
      </c>
      <c r="E4196" t="str">
        <f>"678"</f>
        <v>678</v>
      </c>
      <c r="F4196" t="str">
        <f t="shared" si="268"/>
        <v>0000</v>
      </c>
    </row>
    <row r="4197" spans="1:6">
      <c r="C4197" t="str">
        <f t="shared" si="267"/>
        <v>4</v>
      </c>
      <c r="D4197">
        <v>27</v>
      </c>
      <c r="E4197" t="str">
        <f>"677"</f>
        <v>677</v>
      </c>
      <c r="F4197" t="str">
        <f t="shared" si="268"/>
        <v>0000</v>
      </c>
    </row>
    <row r="4198" spans="1:6">
      <c r="C4198" t="str">
        <f t="shared" si="267"/>
        <v>4</v>
      </c>
      <c r="D4198">
        <v>27</v>
      </c>
      <c r="E4198" t="str">
        <f>"676"</f>
        <v>676</v>
      </c>
      <c r="F4198" t="str">
        <f t="shared" si="268"/>
        <v>0000</v>
      </c>
    </row>
    <row r="4199" spans="1:6">
      <c r="C4199" t="str">
        <f t="shared" si="267"/>
        <v>4</v>
      </c>
      <c r="D4199">
        <v>27</v>
      </c>
      <c r="E4199" t="str">
        <f>"589"</f>
        <v>589</v>
      </c>
      <c r="F4199" t="str">
        <f t="shared" si="268"/>
        <v>0000</v>
      </c>
    </row>
    <row r="4200" spans="1:6">
      <c r="C4200" t="str">
        <f t="shared" si="267"/>
        <v>4</v>
      </c>
      <c r="D4200">
        <v>27</v>
      </c>
      <c r="E4200" t="str">
        <f>"588"</f>
        <v>588</v>
      </c>
      <c r="F4200" t="str">
        <f t="shared" si="268"/>
        <v>0000</v>
      </c>
    </row>
    <row r="4201" spans="1:6">
      <c r="C4201" t="str">
        <f t="shared" si="267"/>
        <v>4</v>
      </c>
      <c r="D4201">
        <v>27</v>
      </c>
      <c r="E4201" t="str">
        <f>"1855"</f>
        <v>1855</v>
      </c>
      <c r="F4201" t="str">
        <f t="shared" si="268"/>
        <v>0000</v>
      </c>
    </row>
    <row r="4202" spans="1:6">
      <c r="C4202" t="str">
        <f t="shared" si="267"/>
        <v>4</v>
      </c>
      <c r="D4202">
        <v>27</v>
      </c>
      <c r="E4202" t="str">
        <f>"1421"</f>
        <v>1421</v>
      </c>
      <c r="F4202" t="str">
        <f t="shared" si="268"/>
        <v>0000</v>
      </c>
    </row>
    <row r="4203" spans="1:6">
      <c r="C4203" t="str">
        <f t="shared" si="267"/>
        <v>4</v>
      </c>
      <c r="D4203">
        <v>27</v>
      </c>
      <c r="E4203" t="str">
        <f>"1241"</f>
        <v>1241</v>
      </c>
      <c r="F4203" t="str">
        <f t="shared" si="268"/>
        <v>0000</v>
      </c>
    </row>
    <row r="4204" spans="1:6">
      <c r="A4204" t="str">
        <f>"E1235-551"</f>
        <v>E1235-551</v>
      </c>
      <c r="B4204" t="str">
        <f>"VIA FELICE MARITANO  95-"</f>
        <v>VIA FELICE MARITANO  95-</v>
      </c>
      <c r="C4204" t="str">
        <f t="shared" si="267"/>
        <v>4</v>
      </c>
      <c r="D4204">
        <v>27</v>
      </c>
      <c r="E4204" t="str">
        <f>"124"</f>
        <v>124</v>
      </c>
      <c r="F4204" t="str">
        <f t="shared" si="268"/>
        <v>0000</v>
      </c>
    </row>
    <row r="4205" spans="1:6">
      <c r="C4205" t="str">
        <f t="shared" si="267"/>
        <v>4</v>
      </c>
      <c r="D4205">
        <v>27</v>
      </c>
      <c r="E4205" t="str">
        <f>"1241"</f>
        <v>1241</v>
      </c>
      <c r="F4205" t="str">
        <f t="shared" si="268"/>
        <v>0000</v>
      </c>
    </row>
    <row r="4206" spans="1:6">
      <c r="C4206" t="str">
        <f t="shared" si="267"/>
        <v>4</v>
      </c>
      <c r="D4206">
        <v>27</v>
      </c>
      <c r="E4206" t="str">
        <f>"1421"</f>
        <v>1421</v>
      </c>
      <c r="F4206" t="str">
        <f t="shared" si="268"/>
        <v>0000</v>
      </c>
    </row>
    <row r="4207" spans="1:6">
      <c r="C4207" t="str">
        <f t="shared" si="267"/>
        <v>4</v>
      </c>
      <c r="D4207">
        <v>27</v>
      </c>
      <c r="E4207" t="str">
        <f>"1855"</f>
        <v>1855</v>
      </c>
      <c r="F4207" t="str">
        <f t="shared" si="268"/>
        <v>0000</v>
      </c>
    </row>
    <row r="4208" spans="1:6">
      <c r="C4208" t="str">
        <f t="shared" si="267"/>
        <v>4</v>
      </c>
      <c r="D4208">
        <v>27</v>
      </c>
      <c r="E4208" t="str">
        <f>"588"</f>
        <v>588</v>
      </c>
      <c r="F4208" t="str">
        <f t="shared" si="268"/>
        <v>0000</v>
      </c>
    </row>
    <row r="4209" spans="1:6">
      <c r="C4209" t="str">
        <f t="shared" si="267"/>
        <v>4</v>
      </c>
      <c r="D4209">
        <v>27</v>
      </c>
      <c r="E4209" t="str">
        <f>"676"</f>
        <v>676</v>
      </c>
      <c r="F4209" t="str">
        <f t="shared" si="268"/>
        <v>0000</v>
      </c>
    </row>
    <row r="4210" spans="1:6">
      <c r="C4210" t="str">
        <f t="shared" si="267"/>
        <v>4</v>
      </c>
      <c r="D4210">
        <v>27</v>
      </c>
      <c r="E4210" t="str">
        <f>"99999"</f>
        <v>99999</v>
      </c>
      <c r="F4210" t="str">
        <f t="shared" si="268"/>
        <v>0000</v>
      </c>
    </row>
    <row r="4211" spans="1:6">
      <c r="C4211" t="str">
        <f t="shared" si="267"/>
        <v>4</v>
      </c>
      <c r="D4211">
        <v>27</v>
      </c>
      <c r="E4211" t="str">
        <f>"975"</f>
        <v>975</v>
      </c>
      <c r="F4211" t="str">
        <f t="shared" si="268"/>
        <v>0000</v>
      </c>
    </row>
    <row r="4212" spans="1:6">
      <c r="C4212" t="str">
        <f t="shared" si="267"/>
        <v>4</v>
      </c>
      <c r="D4212">
        <v>27</v>
      </c>
      <c r="E4212" t="str">
        <f>"678"</f>
        <v>678</v>
      </c>
      <c r="F4212" t="str">
        <f t="shared" si="268"/>
        <v>0000</v>
      </c>
    </row>
    <row r="4213" spans="1:6">
      <c r="C4213" t="str">
        <f t="shared" si="267"/>
        <v>4</v>
      </c>
      <c r="D4213">
        <v>27</v>
      </c>
      <c r="E4213" t="str">
        <f>"677"</f>
        <v>677</v>
      </c>
      <c r="F4213" t="str">
        <f t="shared" si="268"/>
        <v>0000</v>
      </c>
    </row>
    <row r="4214" spans="1:6">
      <c r="C4214" t="str">
        <f t="shared" si="267"/>
        <v>4</v>
      </c>
      <c r="D4214">
        <v>27</v>
      </c>
      <c r="E4214" t="str">
        <f>"589"</f>
        <v>589</v>
      </c>
      <c r="F4214" t="str">
        <f t="shared" si="268"/>
        <v>0000</v>
      </c>
    </row>
    <row r="4215" spans="1:6">
      <c r="C4215" t="str">
        <f t="shared" si="267"/>
        <v>4</v>
      </c>
      <c r="D4215">
        <v>27</v>
      </c>
      <c r="E4215" t="str">
        <f>"587"</f>
        <v>587</v>
      </c>
      <c r="F4215" t="str">
        <f t="shared" si="268"/>
        <v>0000</v>
      </c>
    </row>
    <row r="4216" spans="1:6">
      <c r="C4216" t="str">
        <f t="shared" si="267"/>
        <v>4</v>
      </c>
      <c r="D4216">
        <v>27</v>
      </c>
      <c r="E4216" t="str">
        <f>"1422"</f>
        <v>1422</v>
      </c>
      <c r="F4216" t="str">
        <f t="shared" si="268"/>
        <v>0000</v>
      </c>
    </row>
    <row r="4217" spans="1:6">
      <c r="A4217" t="str">
        <f>"E1235-552"</f>
        <v>E1235-552</v>
      </c>
      <c r="B4217" t="str">
        <f>"VIA FELICE MARITANO  95-"</f>
        <v>VIA FELICE MARITANO  95-</v>
      </c>
      <c r="C4217" t="str">
        <f t="shared" si="267"/>
        <v>4</v>
      </c>
      <c r="D4217">
        <v>27</v>
      </c>
      <c r="E4217" t="str">
        <f>"124"</f>
        <v>124</v>
      </c>
      <c r="F4217" t="str">
        <f t="shared" si="268"/>
        <v>0000</v>
      </c>
    </row>
    <row r="4218" spans="1:6">
      <c r="C4218" t="str">
        <f t="shared" si="267"/>
        <v>4</v>
      </c>
      <c r="D4218">
        <v>27</v>
      </c>
      <c r="E4218" t="str">
        <f>"99999"</f>
        <v>99999</v>
      </c>
      <c r="F4218" t="str">
        <f t="shared" si="268"/>
        <v>0000</v>
      </c>
    </row>
    <row r="4219" spans="1:6">
      <c r="C4219" t="str">
        <f t="shared" ref="C4219:C4282" si="269">"4"</f>
        <v>4</v>
      </c>
      <c r="D4219">
        <v>27</v>
      </c>
      <c r="E4219" t="str">
        <f>"975"</f>
        <v>975</v>
      </c>
      <c r="F4219" t="str">
        <f t="shared" ref="F4219:F4282" si="270">"0000"</f>
        <v>0000</v>
      </c>
    </row>
    <row r="4220" spans="1:6">
      <c r="C4220" t="str">
        <f t="shared" si="269"/>
        <v>4</v>
      </c>
      <c r="D4220">
        <v>27</v>
      </c>
      <c r="E4220" t="str">
        <f>"678"</f>
        <v>678</v>
      </c>
      <c r="F4220" t="str">
        <f t="shared" si="270"/>
        <v>0000</v>
      </c>
    </row>
    <row r="4221" spans="1:6">
      <c r="C4221" t="str">
        <f t="shared" si="269"/>
        <v>4</v>
      </c>
      <c r="D4221">
        <v>27</v>
      </c>
      <c r="E4221" t="str">
        <f>"677"</f>
        <v>677</v>
      </c>
      <c r="F4221" t="str">
        <f t="shared" si="270"/>
        <v>0000</v>
      </c>
    </row>
    <row r="4222" spans="1:6">
      <c r="C4222" t="str">
        <f t="shared" si="269"/>
        <v>4</v>
      </c>
      <c r="D4222">
        <v>27</v>
      </c>
      <c r="E4222" t="str">
        <f>"676"</f>
        <v>676</v>
      </c>
      <c r="F4222" t="str">
        <f t="shared" si="270"/>
        <v>0000</v>
      </c>
    </row>
    <row r="4223" spans="1:6">
      <c r="C4223" t="str">
        <f t="shared" si="269"/>
        <v>4</v>
      </c>
      <c r="D4223">
        <v>27</v>
      </c>
      <c r="E4223" t="str">
        <f>"589"</f>
        <v>589</v>
      </c>
      <c r="F4223" t="str">
        <f t="shared" si="270"/>
        <v>0000</v>
      </c>
    </row>
    <row r="4224" spans="1:6">
      <c r="C4224" t="str">
        <f t="shared" si="269"/>
        <v>4</v>
      </c>
      <c r="D4224">
        <v>27</v>
      </c>
      <c r="E4224" t="str">
        <f>"588"</f>
        <v>588</v>
      </c>
      <c r="F4224" t="str">
        <f t="shared" si="270"/>
        <v>0000</v>
      </c>
    </row>
    <row r="4225" spans="1:6">
      <c r="C4225" t="str">
        <f t="shared" si="269"/>
        <v>4</v>
      </c>
      <c r="D4225">
        <v>27</v>
      </c>
      <c r="E4225" t="str">
        <f>"587"</f>
        <v>587</v>
      </c>
      <c r="F4225" t="str">
        <f t="shared" si="270"/>
        <v>0000</v>
      </c>
    </row>
    <row r="4226" spans="1:6">
      <c r="C4226" t="str">
        <f t="shared" si="269"/>
        <v>4</v>
      </c>
      <c r="D4226">
        <v>27</v>
      </c>
      <c r="E4226" t="str">
        <f>"1855"</f>
        <v>1855</v>
      </c>
      <c r="F4226" t="str">
        <f t="shared" si="270"/>
        <v>0000</v>
      </c>
    </row>
    <row r="4227" spans="1:6">
      <c r="C4227" t="str">
        <f t="shared" si="269"/>
        <v>4</v>
      </c>
      <c r="D4227">
        <v>27</v>
      </c>
      <c r="E4227" t="str">
        <f>"1241"</f>
        <v>1241</v>
      </c>
      <c r="F4227" t="str">
        <f t="shared" si="270"/>
        <v>0000</v>
      </c>
    </row>
    <row r="4228" spans="1:6">
      <c r="C4228" t="str">
        <f t="shared" si="269"/>
        <v>4</v>
      </c>
      <c r="D4228">
        <v>27</v>
      </c>
      <c r="E4228" t="str">
        <f>"1422"</f>
        <v>1422</v>
      </c>
      <c r="F4228" t="str">
        <f t="shared" si="270"/>
        <v>0000</v>
      </c>
    </row>
    <row r="4229" spans="1:6">
      <c r="C4229" t="str">
        <f t="shared" si="269"/>
        <v>4</v>
      </c>
      <c r="D4229">
        <v>27</v>
      </c>
      <c r="E4229" t="str">
        <f>"1421"</f>
        <v>1421</v>
      </c>
      <c r="F4229" t="str">
        <f t="shared" si="270"/>
        <v>0000</v>
      </c>
    </row>
    <row r="4230" spans="1:6">
      <c r="A4230" t="str">
        <f>"E1235-553"</f>
        <v>E1235-553</v>
      </c>
      <c r="B4230" t="str">
        <f>"VIA FELICE MARITANO  95-"</f>
        <v>VIA FELICE MARITANO  95-</v>
      </c>
      <c r="C4230" t="str">
        <f t="shared" si="269"/>
        <v>4</v>
      </c>
      <c r="D4230">
        <v>27</v>
      </c>
      <c r="E4230" t="str">
        <f>"124"</f>
        <v>124</v>
      </c>
      <c r="F4230" t="str">
        <f t="shared" si="270"/>
        <v>0000</v>
      </c>
    </row>
    <row r="4231" spans="1:6">
      <c r="C4231" t="str">
        <f t="shared" si="269"/>
        <v>4</v>
      </c>
      <c r="D4231">
        <v>27</v>
      </c>
      <c r="E4231" t="str">
        <f>"1241"</f>
        <v>1241</v>
      </c>
      <c r="F4231" t="str">
        <f t="shared" si="270"/>
        <v>0000</v>
      </c>
    </row>
    <row r="4232" spans="1:6">
      <c r="C4232" t="str">
        <f t="shared" si="269"/>
        <v>4</v>
      </c>
      <c r="D4232">
        <v>27</v>
      </c>
      <c r="E4232" t="str">
        <f>"1422"</f>
        <v>1422</v>
      </c>
      <c r="F4232" t="str">
        <f t="shared" si="270"/>
        <v>0000</v>
      </c>
    </row>
    <row r="4233" spans="1:6">
      <c r="C4233" t="str">
        <f t="shared" si="269"/>
        <v>4</v>
      </c>
      <c r="D4233">
        <v>27</v>
      </c>
      <c r="E4233" t="str">
        <f>"587"</f>
        <v>587</v>
      </c>
      <c r="F4233" t="str">
        <f t="shared" si="270"/>
        <v>0000</v>
      </c>
    </row>
    <row r="4234" spans="1:6">
      <c r="C4234" t="str">
        <f t="shared" si="269"/>
        <v>4</v>
      </c>
      <c r="D4234">
        <v>27</v>
      </c>
      <c r="E4234" t="str">
        <f>"589"</f>
        <v>589</v>
      </c>
      <c r="F4234" t="str">
        <f t="shared" si="270"/>
        <v>0000</v>
      </c>
    </row>
    <row r="4235" spans="1:6">
      <c r="C4235" t="str">
        <f t="shared" si="269"/>
        <v>4</v>
      </c>
      <c r="D4235">
        <v>27</v>
      </c>
      <c r="E4235" t="str">
        <f>"99999"</f>
        <v>99999</v>
      </c>
      <c r="F4235" t="str">
        <f t="shared" si="270"/>
        <v>0000</v>
      </c>
    </row>
    <row r="4236" spans="1:6">
      <c r="C4236" t="str">
        <f t="shared" si="269"/>
        <v>4</v>
      </c>
      <c r="D4236">
        <v>27</v>
      </c>
      <c r="E4236" t="str">
        <f>"975"</f>
        <v>975</v>
      </c>
      <c r="F4236" t="str">
        <f t="shared" si="270"/>
        <v>0000</v>
      </c>
    </row>
    <row r="4237" spans="1:6">
      <c r="C4237" t="str">
        <f t="shared" si="269"/>
        <v>4</v>
      </c>
      <c r="D4237">
        <v>27</v>
      </c>
      <c r="E4237" t="str">
        <f>"678"</f>
        <v>678</v>
      </c>
      <c r="F4237" t="str">
        <f t="shared" si="270"/>
        <v>0000</v>
      </c>
    </row>
    <row r="4238" spans="1:6">
      <c r="C4238" t="str">
        <f t="shared" si="269"/>
        <v>4</v>
      </c>
      <c r="D4238">
        <v>27</v>
      </c>
      <c r="E4238" t="str">
        <f>"677"</f>
        <v>677</v>
      </c>
      <c r="F4238" t="str">
        <f t="shared" si="270"/>
        <v>0000</v>
      </c>
    </row>
    <row r="4239" spans="1:6">
      <c r="C4239" t="str">
        <f t="shared" si="269"/>
        <v>4</v>
      </c>
      <c r="D4239">
        <v>27</v>
      </c>
      <c r="E4239" t="str">
        <f>"676"</f>
        <v>676</v>
      </c>
      <c r="F4239" t="str">
        <f t="shared" si="270"/>
        <v>0000</v>
      </c>
    </row>
    <row r="4240" spans="1:6">
      <c r="C4240" t="str">
        <f t="shared" si="269"/>
        <v>4</v>
      </c>
      <c r="D4240">
        <v>27</v>
      </c>
      <c r="E4240" t="str">
        <f>"588"</f>
        <v>588</v>
      </c>
      <c r="F4240" t="str">
        <f t="shared" si="270"/>
        <v>0000</v>
      </c>
    </row>
    <row r="4241" spans="1:6">
      <c r="C4241" t="str">
        <f t="shared" si="269"/>
        <v>4</v>
      </c>
      <c r="D4241">
        <v>27</v>
      </c>
      <c r="E4241" t="str">
        <f>"1855"</f>
        <v>1855</v>
      </c>
      <c r="F4241" t="str">
        <f t="shared" si="270"/>
        <v>0000</v>
      </c>
    </row>
    <row r="4242" spans="1:6">
      <c r="C4242" t="str">
        <f t="shared" si="269"/>
        <v>4</v>
      </c>
      <c r="D4242">
        <v>27</v>
      </c>
      <c r="E4242" t="str">
        <f>"1421"</f>
        <v>1421</v>
      </c>
      <c r="F4242" t="str">
        <f t="shared" si="270"/>
        <v>0000</v>
      </c>
    </row>
    <row r="4243" spans="1:6">
      <c r="A4243" t="str">
        <f>"E1235-554"</f>
        <v>E1235-554</v>
      </c>
      <c r="B4243" t="str">
        <f>"VIA FELICE MARITANO  95-"</f>
        <v>VIA FELICE MARITANO  95-</v>
      </c>
      <c r="C4243" t="str">
        <f t="shared" si="269"/>
        <v>4</v>
      </c>
      <c r="D4243">
        <v>27</v>
      </c>
      <c r="E4243" t="str">
        <f>"124"</f>
        <v>124</v>
      </c>
      <c r="F4243" t="str">
        <f t="shared" si="270"/>
        <v>0000</v>
      </c>
    </row>
    <row r="4244" spans="1:6">
      <c r="C4244" t="str">
        <f t="shared" si="269"/>
        <v>4</v>
      </c>
      <c r="D4244">
        <v>27</v>
      </c>
      <c r="E4244" t="str">
        <f>"1421"</f>
        <v>1421</v>
      </c>
      <c r="F4244" t="str">
        <f t="shared" si="270"/>
        <v>0000</v>
      </c>
    </row>
    <row r="4245" spans="1:6">
      <c r="C4245" t="str">
        <f t="shared" si="269"/>
        <v>4</v>
      </c>
      <c r="D4245">
        <v>27</v>
      </c>
      <c r="E4245" t="str">
        <f>"1422"</f>
        <v>1422</v>
      </c>
      <c r="F4245" t="str">
        <f t="shared" si="270"/>
        <v>0000</v>
      </c>
    </row>
    <row r="4246" spans="1:6">
      <c r="C4246" t="str">
        <f t="shared" si="269"/>
        <v>4</v>
      </c>
      <c r="D4246">
        <v>27</v>
      </c>
      <c r="E4246" t="str">
        <f>"1241"</f>
        <v>1241</v>
      </c>
      <c r="F4246" t="str">
        <f t="shared" si="270"/>
        <v>0000</v>
      </c>
    </row>
    <row r="4247" spans="1:6">
      <c r="C4247" t="str">
        <f t="shared" si="269"/>
        <v>4</v>
      </c>
      <c r="D4247">
        <v>27</v>
      </c>
      <c r="E4247" t="str">
        <f>"1855"</f>
        <v>1855</v>
      </c>
      <c r="F4247" t="str">
        <f t="shared" si="270"/>
        <v>0000</v>
      </c>
    </row>
    <row r="4248" spans="1:6">
      <c r="C4248" t="str">
        <f t="shared" si="269"/>
        <v>4</v>
      </c>
      <c r="D4248">
        <v>27</v>
      </c>
      <c r="E4248" t="str">
        <f>"588"</f>
        <v>588</v>
      </c>
      <c r="F4248" t="str">
        <f t="shared" si="270"/>
        <v>0000</v>
      </c>
    </row>
    <row r="4249" spans="1:6">
      <c r="C4249" t="str">
        <f t="shared" si="269"/>
        <v>4</v>
      </c>
      <c r="D4249">
        <v>27</v>
      </c>
      <c r="E4249" t="str">
        <f>"676"</f>
        <v>676</v>
      </c>
      <c r="F4249" t="str">
        <f t="shared" si="270"/>
        <v>0000</v>
      </c>
    </row>
    <row r="4250" spans="1:6">
      <c r="C4250" t="str">
        <f t="shared" si="269"/>
        <v>4</v>
      </c>
      <c r="D4250">
        <v>27</v>
      </c>
      <c r="E4250" t="str">
        <f>"678"</f>
        <v>678</v>
      </c>
      <c r="F4250" t="str">
        <f t="shared" si="270"/>
        <v>0000</v>
      </c>
    </row>
    <row r="4251" spans="1:6">
      <c r="C4251" t="str">
        <f t="shared" si="269"/>
        <v>4</v>
      </c>
      <c r="D4251">
        <v>27</v>
      </c>
      <c r="E4251" t="str">
        <f>"99999"</f>
        <v>99999</v>
      </c>
      <c r="F4251" t="str">
        <f t="shared" si="270"/>
        <v>0000</v>
      </c>
    </row>
    <row r="4252" spans="1:6">
      <c r="C4252" t="str">
        <f t="shared" si="269"/>
        <v>4</v>
      </c>
      <c r="D4252">
        <v>27</v>
      </c>
      <c r="E4252" t="str">
        <f>"975"</f>
        <v>975</v>
      </c>
      <c r="F4252" t="str">
        <f t="shared" si="270"/>
        <v>0000</v>
      </c>
    </row>
    <row r="4253" spans="1:6">
      <c r="C4253" t="str">
        <f t="shared" si="269"/>
        <v>4</v>
      </c>
      <c r="D4253">
        <v>27</v>
      </c>
      <c r="E4253" t="str">
        <f>"677"</f>
        <v>677</v>
      </c>
      <c r="F4253" t="str">
        <f t="shared" si="270"/>
        <v>0000</v>
      </c>
    </row>
    <row r="4254" spans="1:6">
      <c r="C4254" t="str">
        <f t="shared" si="269"/>
        <v>4</v>
      </c>
      <c r="D4254">
        <v>27</v>
      </c>
      <c r="E4254" t="str">
        <f>"589"</f>
        <v>589</v>
      </c>
      <c r="F4254" t="str">
        <f t="shared" si="270"/>
        <v>0000</v>
      </c>
    </row>
    <row r="4255" spans="1:6">
      <c r="C4255" t="str">
        <f t="shared" si="269"/>
        <v>4</v>
      </c>
      <c r="D4255">
        <v>27</v>
      </c>
      <c r="E4255" t="str">
        <f>"587"</f>
        <v>587</v>
      </c>
      <c r="F4255" t="str">
        <f t="shared" si="270"/>
        <v>0000</v>
      </c>
    </row>
    <row r="4256" spans="1:6">
      <c r="A4256" t="str">
        <f>"E1235-555"</f>
        <v>E1235-555</v>
      </c>
      <c r="B4256" t="str">
        <f>"VIA FELICE MARITANO  95-"</f>
        <v>VIA FELICE MARITANO  95-</v>
      </c>
      <c r="C4256" t="str">
        <f t="shared" si="269"/>
        <v>4</v>
      </c>
      <c r="D4256">
        <v>27</v>
      </c>
      <c r="E4256" t="str">
        <f>"124"</f>
        <v>124</v>
      </c>
      <c r="F4256" t="str">
        <f t="shared" si="270"/>
        <v>0000</v>
      </c>
    </row>
    <row r="4257" spans="1:6">
      <c r="C4257" t="str">
        <f t="shared" si="269"/>
        <v>4</v>
      </c>
      <c r="D4257">
        <v>27</v>
      </c>
      <c r="E4257" t="str">
        <f>"1422"</f>
        <v>1422</v>
      </c>
      <c r="F4257" t="str">
        <f t="shared" si="270"/>
        <v>0000</v>
      </c>
    </row>
    <row r="4258" spans="1:6">
      <c r="C4258" t="str">
        <f t="shared" si="269"/>
        <v>4</v>
      </c>
      <c r="D4258">
        <v>27</v>
      </c>
      <c r="E4258" t="str">
        <f>"587"</f>
        <v>587</v>
      </c>
      <c r="F4258" t="str">
        <f t="shared" si="270"/>
        <v>0000</v>
      </c>
    </row>
    <row r="4259" spans="1:6">
      <c r="C4259" t="str">
        <f t="shared" si="269"/>
        <v>4</v>
      </c>
      <c r="D4259">
        <v>27</v>
      </c>
      <c r="E4259" t="str">
        <f>"99999"</f>
        <v>99999</v>
      </c>
      <c r="F4259" t="str">
        <f t="shared" si="270"/>
        <v>0000</v>
      </c>
    </row>
    <row r="4260" spans="1:6">
      <c r="C4260" t="str">
        <f t="shared" si="269"/>
        <v>4</v>
      </c>
      <c r="D4260">
        <v>27</v>
      </c>
      <c r="E4260" t="str">
        <f>"975"</f>
        <v>975</v>
      </c>
      <c r="F4260" t="str">
        <f t="shared" si="270"/>
        <v>0000</v>
      </c>
    </row>
    <row r="4261" spans="1:6">
      <c r="C4261" t="str">
        <f t="shared" si="269"/>
        <v>4</v>
      </c>
      <c r="D4261">
        <v>27</v>
      </c>
      <c r="E4261" t="str">
        <f>"678"</f>
        <v>678</v>
      </c>
      <c r="F4261" t="str">
        <f t="shared" si="270"/>
        <v>0000</v>
      </c>
    </row>
    <row r="4262" spans="1:6">
      <c r="C4262" t="str">
        <f t="shared" si="269"/>
        <v>4</v>
      </c>
      <c r="D4262">
        <v>27</v>
      </c>
      <c r="E4262" t="str">
        <f>"677"</f>
        <v>677</v>
      </c>
      <c r="F4262" t="str">
        <f t="shared" si="270"/>
        <v>0000</v>
      </c>
    </row>
    <row r="4263" spans="1:6">
      <c r="C4263" t="str">
        <f t="shared" si="269"/>
        <v>4</v>
      </c>
      <c r="D4263">
        <v>27</v>
      </c>
      <c r="E4263" t="str">
        <f>"676"</f>
        <v>676</v>
      </c>
      <c r="F4263" t="str">
        <f t="shared" si="270"/>
        <v>0000</v>
      </c>
    </row>
    <row r="4264" spans="1:6">
      <c r="C4264" t="str">
        <f t="shared" si="269"/>
        <v>4</v>
      </c>
      <c r="D4264">
        <v>27</v>
      </c>
      <c r="E4264" t="str">
        <f>"589"</f>
        <v>589</v>
      </c>
      <c r="F4264" t="str">
        <f t="shared" si="270"/>
        <v>0000</v>
      </c>
    </row>
    <row r="4265" spans="1:6">
      <c r="C4265" t="str">
        <f t="shared" si="269"/>
        <v>4</v>
      </c>
      <c r="D4265">
        <v>27</v>
      </c>
      <c r="E4265" t="str">
        <f>"588"</f>
        <v>588</v>
      </c>
      <c r="F4265" t="str">
        <f t="shared" si="270"/>
        <v>0000</v>
      </c>
    </row>
    <row r="4266" spans="1:6">
      <c r="C4266" t="str">
        <f t="shared" si="269"/>
        <v>4</v>
      </c>
      <c r="D4266">
        <v>27</v>
      </c>
      <c r="E4266" t="str">
        <f>"1855"</f>
        <v>1855</v>
      </c>
      <c r="F4266" t="str">
        <f t="shared" si="270"/>
        <v>0000</v>
      </c>
    </row>
    <row r="4267" spans="1:6">
      <c r="C4267" t="str">
        <f t="shared" si="269"/>
        <v>4</v>
      </c>
      <c r="D4267">
        <v>27</v>
      </c>
      <c r="E4267" t="str">
        <f>"1421"</f>
        <v>1421</v>
      </c>
      <c r="F4267" t="str">
        <f t="shared" si="270"/>
        <v>0000</v>
      </c>
    </row>
    <row r="4268" spans="1:6">
      <c r="C4268" t="str">
        <f t="shared" si="269"/>
        <v>4</v>
      </c>
      <c r="D4268">
        <v>27</v>
      </c>
      <c r="E4268" t="str">
        <f>"1241"</f>
        <v>1241</v>
      </c>
      <c r="F4268" t="str">
        <f t="shared" si="270"/>
        <v>0000</v>
      </c>
    </row>
    <row r="4269" spans="1:6">
      <c r="A4269" t="str">
        <f>"E1235-556"</f>
        <v>E1235-556</v>
      </c>
      <c r="B4269" t="str">
        <f>"VIA FELICE MARITANO  95-"</f>
        <v>VIA FELICE MARITANO  95-</v>
      </c>
      <c r="C4269" t="str">
        <f t="shared" si="269"/>
        <v>4</v>
      </c>
      <c r="D4269">
        <v>27</v>
      </c>
      <c r="E4269" t="str">
        <f>"124"</f>
        <v>124</v>
      </c>
      <c r="F4269" t="str">
        <f t="shared" si="270"/>
        <v>0000</v>
      </c>
    </row>
    <row r="4270" spans="1:6">
      <c r="C4270" t="str">
        <f t="shared" si="269"/>
        <v>4</v>
      </c>
      <c r="D4270">
        <v>27</v>
      </c>
      <c r="E4270" t="str">
        <f>"1241"</f>
        <v>1241</v>
      </c>
      <c r="F4270" t="str">
        <f t="shared" si="270"/>
        <v>0000</v>
      </c>
    </row>
    <row r="4271" spans="1:6">
      <c r="C4271" t="str">
        <f t="shared" si="269"/>
        <v>4</v>
      </c>
      <c r="D4271">
        <v>27</v>
      </c>
      <c r="E4271" t="str">
        <f>"1421"</f>
        <v>1421</v>
      </c>
      <c r="F4271" t="str">
        <f t="shared" si="270"/>
        <v>0000</v>
      </c>
    </row>
    <row r="4272" spans="1:6">
      <c r="C4272" t="str">
        <f t="shared" si="269"/>
        <v>4</v>
      </c>
      <c r="D4272">
        <v>27</v>
      </c>
      <c r="E4272" t="str">
        <f>"1855"</f>
        <v>1855</v>
      </c>
      <c r="F4272" t="str">
        <f t="shared" si="270"/>
        <v>0000</v>
      </c>
    </row>
    <row r="4273" spans="1:6">
      <c r="C4273" t="str">
        <f t="shared" si="269"/>
        <v>4</v>
      </c>
      <c r="D4273">
        <v>27</v>
      </c>
      <c r="E4273" t="str">
        <f>"588"</f>
        <v>588</v>
      </c>
      <c r="F4273" t="str">
        <f t="shared" si="270"/>
        <v>0000</v>
      </c>
    </row>
    <row r="4274" spans="1:6">
      <c r="C4274" t="str">
        <f t="shared" si="269"/>
        <v>4</v>
      </c>
      <c r="D4274">
        <v>27</v>
      </c>
      <c r="E4274" t="str">
        <f>"676"</f>
        <v>676</v>
      </c>
      <c r="F4274" t="str">
        <f t="shared" si="270"/>
        <v>0000</v>
      </c>
    </row>
    <row r="4275" spans="1:6">
      <c r="C4275" t="str">
        <f t="shared" si="269"/>
        <v>4</v>
      </c>
      <c r="D4275">
        <v>27</v>
      </c>
      <c r="E4275" t="str">
        <f>"99999"</f>
        <v>99999</v>
      </c>
      <c r="F4275" t="str">
        <f t="shared" si="270"/>
        <v>0000</v>
      </c>
    </row>
    <row r="4276" spans="1:6">
      <c r="C4276" t="str">
        <f t="shared" si="269"/>
        <v>4</v>
      </c>
      <c r="D4276">
        <v>27</v>
      </c>
      <c r="E4276" t="str">
        <f>"975"</f>
        <v>975</v>
      </c>
      <c r="F4276" t="str">
        <f t="shared" si="270"/>
        <v>0000</v>
      </c>
    </row>
    <row r="4277" spans="1:6">
      <c r="C4277" t="str">
        <f t="shared" si="269"/>
        <v>4</v>
      </c>
      <c r="D4277">
        <v>27</v>
      </c>
      <c r="E4277" t="str">
        <f>"678"</f>
        <v>678</v>
      </c>
      <c r="F4277" t="str">
        <f t="shared" si="270"/>
        <v>0000</v>
      </c>
    </row>
    <row r="4278" spans="1:6">
      <c r="C4278" t="str">
        <f t="shared" si="269"/>
        <v>4</v>
      </c>
      <c r="D4278">
        <v>27</v>
      </c>
      <c r="E4278" t="str">
        <f>"677"</f>
        <v>677</v>
      </c>
      <c r="F4278" t="str">
        <f t="shared" si="270"/>
        <v>0000</v>
      </c>
    </row>
    <row r="4279" spans="1:6">
      <c r="C4279" t="str">
        <f t="shared" si="269"/>
        <v>4</v>
      </c>
      <c r="D4279">
        <v>27</v>
      </c>
      <c r="E4279" t="str">
        <f>"589"</f>
        <v>589</v>
      </c>
      <c r="F4279" t="str">
        <f t="shared" si="270"/>
        <v>0000</v>
      </c>
    </row>
    <row r="4280" spans="1:6">
      <c r="C4280" t="str">
        <f t="shared" si="269"/>
        <v>4</v>
      </c>
      <c r="D4280">
        <v>27</v>
      </c>
      <c r="E4280" t="str">
        <f>"587"</f>
        <v>587</v>
      </c>
      <c r="F4280" t="str">
        <f t="shared" si="270"/>
        <v>0000</v>
      </c>
    </row>
    <row r="4281" spans="1:6">
      <c r="C4281" t="str">
        <f t="shared" si="269"/>
        <v>4</v>
      </c>
      <c r="D4281">
        <v>27</v>
      </c>
      <c r="E4281" t="str">
        <f>"1422"</f>
        <v>1422</v>
      </c>
      <c r="F4281" t="str">
        <f t="shared" si="270"/>
        <v>0000</v>
      </c>
    </row>
    <row r="4282" spans="1:6">
      <c r="A4282" t="str">
        <f>"E1235-557"</f>
        <v>E1235-557</v>
      </c>
      <c r="B4282" t="str">
        <f>"VIA FELICE MARITANO  95-"</f>
        <v>VIA FELICE MARITANO  95-</v>
      </c>
      <c r="C4282" t="str">
        <f t="shared" si="269"/>
        <v>4</v>
      </c>
      <c r="D4282">
        <v>27</v>
      </c>
      <c r="E4282" t="str">
        <f>"124"</f>
        <v>124</v>
      </c>
      <c r="F4282" t="str">
        <f t="shared" si="270"/>
        <v>0000</v>
      </c>
    </row>
    <row r="4283" spans="1:6">
      <c r="C4283" t="str">
        <f t="shared" ref="C4283:C4346" si="271">"4"</f>
        <v>4</v>
      </c>
      <c r="D4283">
        <v>27</v>
      </c>
      <c r="E4283" t="str">
        <f>"99999"</f>
        <v>99999</v>
      </c>
      <c r="F4283" t="str">
        <f t="shared" ref="F4283:F4346" si="272">"0000"</f>
        <v>0000</v>
      </c>
    </row>
    <row r="4284" spans="1:6">
      <c r="C4284" t="str">
        <f t="shared" si="271"/>
        <v>4</v>
      </c>
      <c r="D4284">
        <v>27</v>
      </c>
      <c r="E4284" t="str">
        <f>"975"</f>
        <v>975</v>
      </c>
      <c r="F4284" t="str">
        <f t="shared" si="272"/>
        <v>0000</v>
      </c>
    </row>
    <row r="4285" spans="1:6">
      <c r="C4285" t="str">
        <f t="shared" si="271"/>
        <v>4</v>
      </c>
      <c r="D4285">
        <v>27</v>
      </c>
      <c r="E4285" t="str">
        <f>"678"</f>
        <v>678</v>
      </c>
      <c r="F4285" t="str">
        <f t="shared" si="272"/>
        <v>0000</v>
      </c>
    </row>
    <row r="4286" spans="1:6">
      <c r="C4286" t="str">
        <f t="shared" si="271"/>
        <v>4</v>
      </c>
      <c r="D4286">
        <v>27</v>
      </c>
      <c r="E4286" t="str">
        <f>"677"</f>
        <v>677</v>
      </c>
      <c r="F4286" t="str">
        <f t="shared" si="272"/>
        <v>0000</v>
      </c>
    </row>
    <row r="4287" spans="1:6">
      <c r="C4287" t="str">
        <f t="shared" si="271"/>
        <v>4</v>
      </c>
      <c r="D4287">
        <v>27</v>
      </c>
      <c r="E4287" t="str">
        <f>"676"</f>
        <v>676</v>
      </c>
      <c r="F4287" t="str">
        <f t="shared" si="272"/>
        <v>0000</v>
      </c>
    </row>
    <row r="4288" spans="1:6">
      <c r="C4288" t="str">
        <f t="shared" si="271"/>
        <v>4</v>
      </c>
      <c r="D4288">
        <v>27</v>
      </c>
      <c r="E4288" t="str">
        <f>"589"</f>
        <v>589</v>
      </c>
      <c r="F4288" t="str">
        <f t="shared" si="272"/>
        <v>0000</v>
      </c>
    </row>
    <row r="4289" spans="1:6">
      <c r="C4289" t="str">
        <f t="shared" si="271"/>
        <v>4</v>
      </c>
      <c r="D4289">
        <v>27</v>
      </c>
      <c r="E4289" t="str">
        <f>"588"</f>
        <v>588</v>
      </c>
      <c r="F4289" t="str">
        <f t="shared" si="272"/>
        <v>0000</v>
      </c>
    </row>
    <row r="4290" spans="1:6">
      <c r="C4290" t="str">
        <f t="shared" si="271"/>
        <v>4</v>
      </c>
      <c r="D4290">
        <v>27</v>
      </c>
      <c r="E4290" t="str">
        <f>"587"</f>
        <v>587</v>
      </c>
      <c r="F4290" t="str">
        <f t="shared" si="272"/>
        <v>0000</v>
      </c>
    </row>
    <row r="4291" spans="1:6">
      <c r="C4291" t="str">
        <f t="shared" si="271"/>
        <v>4</v>
      </c>
      <c r="D4291">
        <v>27</v>
      </c>
      <c r="E4291" t="str">
        <f>"1855"</f>
        <v>1855</v>
      </c>
      <c r="F4291" t="str">
        <f t="shared" si="272"/>
        <v>0000</v>
      </c>
    </row>
    <row r="4292" spans="1:6">
      <c r="C4292" t="str">
        <f t="shared" si="271"/>
        <v>4</v>
      </c>
      <c r="D4292">
        <v>27</v>
      </c>
      <c r="E4292" t="str">
        <f>"1241"</f>
        <v>1241</v>
      </c>
      <c r="F4292" t="str">
        <f t="shared" si="272"/>
        <v>0000</v>
      </c>
    </row>
    <row r="4293" spans="1:6">
      <c r="C4293" t="str">
        <f t="shared" si="271"/>
        <v>4</v>
      </c>
      <c r="D4293">
        <v>27</v>
      </c>
      <c r="E4293" t="str">
        <f>"1422"</f>
        <v>1422</v>
      </c>
      <c r="F4293" t="str">
        <f t="shared" si="272"/>
        <v>0000</v>
      </c>
    </row>
    <row r="4294" spans="1:6">
      <c r="C4294" t="str">
        <f t="shared" si="271"/>
        <v>4</v>
      </c>
      <c r="D4294">
        <v>27</v>
      </c>
      <c r="E4294" t="str">
        <f>"1421"</f>
        <v>1421</v>
      </c>
      <c r="F4294" t="str">
        <f t="shared" si="272"/>
        <v>0000</v>
      </c>
    </row>
    <row r="4295" spans="1:6">
      <c r="A4295" t="str">
        <f>"E1235-558"</f>
        <v>E1235-558</v>
      </c>
      <c r="B4295" t="str">
        <f>"VIA FELICE MARITANO  95-"</f>
        <v>VIA FELICE MARITANO  95-</v>
      </c>
      <c r="C4295" t="str">
        <f t="shared" si="271"/>
        <v>4</v>
      </c>
      <c r="D4295">
        <v>27</v>
      </c>
      <c r="E4295" t="str">
        <f>"124"</f>
        <v>124</v>
      </c>
      <c r="F4295" t="str">
        <f t="shared" si="272"/>
        <v>0000</v>
      </c>
    </row>
    <row r="4296" spans="1:6">
      <c r="C4296" t="str">
        <f t="shared" si="271"/>
        <v>4</v>
      </c>
      <c r="D4296">
        <v>27</v>
      </c>
      <c r="E4296" t="str">
        <f>"1241"</f>
        <v>1241</v>
      </c>
      <c r="F4296" t="str">
        <f t="shared" si="272"/>
        <v>0000</v>
      </c>
    </row>
    <row r="4297" spans="1:6">
      <c r="C4297" t="str">
        <f t="shared" si="271"/>
        <v>4</v>
      </c>
      <c r="D4297">
        <v>27</v>
      </c>
      <c r="E4297" t="str">
        <f>"1422"</f>
        <v>1422</v>
      </c>
      <c r="F4297" t="str">
        <f t="shared" si="272"/>
        <v>0000</v>
      </c>
    </row>
    <row r="4298" spans="1:6">
      <c r="C4298" t="str">
        <f t="shared" si="271"/>
        <v>4</v>
      </c>
      <c r="D4298">
        <v>27</v>
      </c>
      <c r="E4298" t="str">
        <f>"587"</f>
        <v>587</v>
      </c>
      <c r="F4298" t="str">
        <f t="shared" si="272"/>
        <v>0000</v>
      </c>
    </row>
    <row r="4299" spans="1:6">
      <c r="C4299" t="str">
        <f t="shared" si="271"/>
        <v>4</v>
      </c>
      <c r="D4299">
        <v>27</v>
      </c>
      <c r="E4299" t="str">
        <f>"589"</f>
        <v>589</v>
      </c>
      <c r="F4299" t="str">
        <f t="shared" si="272"/>
        <v>0000</v>
      </c>
    </row>
    <row r="4300" spans="1:6">
      <c r="C4300" t="str">
        <f t="shared" si="271"/>
        <v>4</v>
      </c>
      <c r="D4300">
        <v>27</v>
      </c>
      <c r="E4300" t="str">
        <f>"99999"</f>
        <v>99999</v>
      </c>
      <c r="F4300" t="str">
        <f t="shared" si="272"/>
        <v>0000</v>
      </c>
    </row>
    <row r="4301" spans="1:6">
      <c r="C4301" t="str">
        <f t="shared" si="271"/>
        <v>4</v>
      </c>
      <c r="D4301">
        <v>27</v>
      </c>
      <c r="E4301" t="str">
        <f>"975"</f>
        <v>975</v>
      </c>
      <c r="F4301" t="str">
        <f t="shared" si="272"/>
        <v>0000</v>
      </c>
    </row>
    <row r="4302" spans="1:6">
      <c r="C4302" t="str">
        <f t="shared" si="271"/>
        <v>4</v>
      </c>
      <c r="D4302">
        <v>27</v>
      </c>
      <c r="E4302" t="str">
        <f>"678"</f>
        <v>678</v>
      </c>
      <c r="F4302" t="str">
        <f t="shared" si="272"/>
        <v>0000</v>
      </c>
    </row>
    <row r="4303" spans="1:6">
      <c r="C4303" t="str">
        <f t="shared" si="271"/>
        <v>4</v>
      </c>
      <c r="D4303">
        <v>27</v>
      </c>
      <c r="E4303" t="str">
        <f>"677"</f>
        <v>677</v>
      </c>
      <c r="F4303" t="str">
        <f t="shared" si="272"/>
        <v>0000</v>
      </c>
    </row>
    <row r="4304" spans="1:6">
      <c r="C4304" t="str">
        <f t="shared" si="271"/>
        <v>4</v>
      </c>
      <c r="D4304">
        <v>27</v>
      </c>
      <c r="E4304" t="str">
        <f>"676"</f>
        <v>676</v>
      </c>
      <c r="F4304" t="str">
        <f t="shared" si="272"/>
        <v>0000</v>
      </c>
    </row>
    <row r="4305" spans="1:6">
      <c r="C4305" t="str">
        <f t="shared" si="271"/>
        <v>4</v>
      </c>
      <c r="D4305">
        <v>27</v>
      </c>
      <c r="E4305" t="str">
        <f>"588"</f>
        <v>588</v>
      </c>
      <c r="F4305" t="str">
        <f t="shared" si="272"/>
        <v>0000</v>
      </c>
    </row>
    <row r="4306" spans="1:6">
      <c r="C4306" t="str">
        <f t="shared" si="271"/>
        <v>4</v>
      </c>
      <c r="D4306">
        <v>27</v>
      </c>
      <c r="E4306" t="str">
        <f>"1855"</f>
        <v>1855</v>
      </c>
      <c r="F4306" t="str">
        <f t="shared" si="272"/>
        <v>0000</v>
      </c>
    </row>
    <row r="4307" spans="1:6">
      <c r="C4307" t="str">
        <f t="shared" si="271"/>
        <v>4</v>
      </c>
      <c r="D4307">
        <v>27</v>
      </c>
      <c r="E4307" t="str">
        <f>"1421"</f>
        <v>1421</v>
      </c>
      <c r="F4307" t="str">
        <f t="shared" si="272"/>
        <v>0000</v>
      </c>
    </row>
    <row r="4308" spans="1:6">
      <c r="A4308" t="str">
        <f>"E1235-559"</f>
        <v>E1235-559</v>
      </c>
      <c r="B4308" t="str">
        <f>"VIA FELICE MARITANO  95-"</f>
        <v>VIA FELICE MARITANO  95-</v>
      </c>
      <c r="C4308" t="str">
        <f t="shared" si="271"/>
        <v>4</v>
      </c>
      <c r="D4308">
        <v>27</v>
      </c>
      <c r="E4308" t="str">
        <f>"124"</f>
        <v>124</v>
      </c>
      <c r="F4308" t="str">
        <f t="shared" si="272"/>
        <v>0000</v>
      </c>
    </row>
    <row r="4309" spans="1:6">
      <c r="C4309" t="str">
        <f t="shared" si="271"/>
        <v>4</v>
      </c>
      <c r="D4309">
        <v>27</v>
      </c>
      <c r="E4309" t="str">
        <f>"1421"</f>
        <v>1421</v>
      </c>
      <c r="F4309" t="str">
        <f t="shared" si="272"/>
        <v>0000</v>
      </c>
    </row>
    <row r="4310" spans="1:6">
      <c r="C4310" t="str">
        <f t="shared" si="271"/>
        <v>4</v>
      </c>
      <c r="D4310">
        <v>27</v>
      </c>
      <c r="E4310" t="str">
        <f>"1422"</f>
        <v>1422</v>
      </c>
      <c r="F4310" t="str">
        <f t="shared" si="272"/>
        <v>0000</v>
      </c>
    </row>
    <row r="4311" spans="1:6">
      <c r="C4311" t="str">
        <f t="shared" si="271"/>
        <v>4</v>
      </c>
      <c r="D4311">
        <v>27</v>
      </c>
      <c r="E4311" t="str">
        <f>"1241"</f>
        <v>1241</v>
      </c>
      <c r="F4311" t="str">
        <f t="shared" si="272"/>
        <v>0000</v>
      </c>
    </row>
    <row r="4312" spans="1:6">
      <c r="C4312" t="str">
        <f t="shared" si="271"/>
        <v>4</v>
      </c>
      <c r="D4312">
        <v>27</v>
      </c>
      <c r="E4312" t="str">
        <f>"1855"</f>
        <v>1855</v>
      </c>
      <c r="F4312" t="str">
        <f t="shared" si="272"/>
        <v>0000</v>
      </c>
    </row>
    <row r="4313" spans="1:6">
      <c r="C4313" t="str">
        <f t="shared" si="271"/>
        <v>4</v>
      </c>
      <c r="D4313">
        <v>27</v>
      </c>
      <c r="E4313" t="str">
        <f>"588"</f>
        <v>588</v>
      </c>
      <c r="F4313" t="str">
        <f t="shared" si="272"/>
        <v>0000</v>
      </c>
    </row>
    <row r="4314" spans="1:6">
      <c r="C4314" t="str">
        <f t="shared" si="271"/>
        <v>4</v>
      </c>
      <c r="D4314">
        <v>27</v>
      </c>
      <c r="E4314" t="str">
        <f>"676"</f>
        <v>676</v>
      </c>
      <c r="F4314" t="str">
        <f t="shared" si="272"/>
        <v>0000</v>
      </c>
    </row>
    <row r="4315" spans="1:6">
      <c r="C4315" t="str">
        <f t="shared" si="271"/>
        <v>4</v>
      </c>
      <c r="D4315">
        <v>27</v>
      </c>
      <c r="E4315" t="str">
        <f>"678"</f>
        <v>678</v>
      </c>
      <c r="F4315" t="str">
        <f t="shared" si="272"/>
        <v>0000</v>
      </c>
    </row>
    <row r="4316" spans="1:6">
      <c r="C4316" t="str">
        <f t="shared" si="271"/>
        <v>4</v>
      </c>
      <c r="D4316">
        <v>27</v>
      </c>
      <c r="E4316" t="str">
        <f>"99999"</f>
        <v>99999</v>
      </c>
      <c r="F4316" t="str">
        <f t="shared" si="272"/>
        <v>0000</v>
      </c>
    </row>
    <row r="4317" spans="1:6">
      <c r="C4317" t="str">
        <f t="shared" si="271"/>
        <v>4</v>
      </c>
      <c r="D4317">
        <v>27</v>
      </c>
      <c r="E4317" t="str">
        <f>"975"</f>
        <v>975</v>
      </c>
      <c r="F4317" t="str">
        <f t="shared" si="272"/>
        <v>0000</v>
      </c>
    </row>
    <row r="4318" spans="1:6">
      <c r="C4318" t="str">
        <f t="shared" si="271"/>
        <v>4</v>
      </c>
      <c r="D4318">
        <v>27</v>
      </c>
      <c r="E4318" t="str">
        <f>"677"</f>
        <v>677</v>
      </c>
      <c r="F4318" t="str">
        <f t="shared" si="272"/>
        <v>0000</v>
      </c>
    </row>
    <row r="4319" spans="1:6">
      <c r="C4319" t="str">
        <f t="shared" si="271"/>
        <v>4</v>
      </c>
      <c r="D4319">
        <v>27</v>
      </c>
      <c r="E4319" t="str">
        <f>"589"</f>
        <v>589</v>
      </c>
      <c r="F4319" t="str">
        <f t="shared" si="272"/>
        <v>0000</v>
      </c>
    </row>
    <row r="4320" spans="1:6">
      <c r="C4320" t="str">
        <f t="shared" si="271"/>
        <v>4</v>
      </c>
      <c r="D4320">
        <v>27</v>
      </c>
      <c r="E4320" t="str">
        <f>"587"</f>
        <v>587</v>
      </c>
      <c r="F4320" t="str">
        <f t="shared" si="272"/>
        <v>0000</v>
      </c>
    </row>
    <row r="4321" spans="1:6">
      <c r="A4321" t="str">
        <f>"E1235-560"</f>
        <v>E1235-560</v>
      </c>
      <c r="B4321" t="str">
        <f>"VIA FELICE MARITANO  95-"</f>
        <v>VIA FELICE MARITANO  95-</v>
      </c>
      <c r="C4321" t="str">
        <f t="shared" si="271"/>
        <v>4</v>
      </c>
      <c r="D4321">
        <v>27</v>
      </c>
      <c r="E4321" t="str">
        <f>"124"</f>
        <v>124</v>
      </c>
      <c r="F4321" t="str">
        <f t="shared" si="272"/>
        <v>0000</v>
      </c>
    </row>
    <row r="4322" spans="1:6">
      <c r="C4322" t="str">
        <f t="shared" si="271"/>
        <v>4</v>
      </c>
      <c r="D4322">
        <v>27</v>
      </c>
      <c r="E4322" t="str">
        <f>"1422"</f>
        <v>1422</v>
      </c>
      <c r="F4322" t="str">
        <f t="shared" si="272"/>
        <v>0000</v>
      </c>
    </row>
    <row r="4323" spans="1:6">
      <c r="C4323" t="str">
        <f t="shared" si="271"/>
        <v>4</v>
      </c>
      <c r="D4323">
        <v>27</v>
      </c>
      <c r="E4323" t="str">
        <f>"587"</f>
        <v>587</v>
      </c>
      <c r="F4323" t="str">
        <f t="shared" si="272"/>
        <v>0000</v>
      </c>
    </row>
    <row r="4324" spans="1:6">
      <c r="C4324" t="str">
        <f t="shared" si="271"/>
        <v>4</v>
      </c>
      <c r="D4324">
        <v>27</v>
      </c>
      <c r="E4324" t="str">
        <f>"99999"</f>
        <v>99999</v>
      </c>
      <c r="F4324" t="str">
        <f t="shared" si="272"/>
        <v>0000</v>
      </c>
    </row>
    <row r="4325" spans="1:6">
      <c r="C4325" t="str">
        <f t="shared" si="271"/>
        <v>4</v>
      </c>
      <c r="D4325">
        <v>27</v>
      </c>
      <c r="E4325" t="str">
        <f>"975"</f>
        <v>975</v>
      </c>
      <c r="F4325" t="str">
        <f t="shared" si="272"/>
        <v>0000</v>
      </c>
    </row>
    <row r="4326" spans="1:6">
      <c r="C4326" t="str">
        <f t="shared" si="271"/>
        <v>4</v>
      </c>
      <c r="D4326">
        <v>27</v>
      </c>
      <c r="E4326" t="str">
        <f>"678"</f>
        <v>678</v>
      </c>
      <c r="F4326" t="str">
        <f t="shared" si="272"/>
        <v>0000</v>
      </c>
    </row>
    <row r="4327" spans="1:6">
      <c r="C4327" t="str">
        <f t="shared" si="271"/>
        <v>4</v>
      </c>
      <c r="D4327">
        <v>27</v>
      </c>
      <c r="E4327" t="str">
        <f>"677"</f>
        <v>677</v>
      </c>
      <c r="F4327" t="str">
        <f t="shared" si="272"/>
        <v>0000</v>
      </c>
    </row>
    <row r="4328" spans="1:6">
      <c r="C4328" t="str">
        <f t="shared" si="271"/>
        <v>4</v>
      </c>
      <c r="D4328">
        <v>27</v>
      </c>
      <c r="E4328" t="str">
        <f>"676"</f>
        <v>676</v>
      </c>
      <c r="F4328" t="str">
        <f t="shared" si="272"/>
        <v>0000</v>
      </c>
    </row>
    <row r="4329" spans="1:6">
      <c r="C4329" t="str">
        <f t="shared" si="271"/>
        <v>4</v>
      </c>
      <c r="D4329">
        <v>27</v>
      </c>
      <c r="E4329" t="str">
        <f>"589"</f>
        <v>589</v>
      </c>
      <c r="F4329" t="str">
        <f t="shared" si="272"/>
        <v>0000</v>
      </c>
    </row>
    <row r="4330" spans="1:6">
      <c r="C4330" t="str">
        <f t="shared" si="271"/>
        <v>4</v>
      </c>
      <c r="D4330">
        <v>27</v>
      </c>
      <c r="E4330" t="str">
        <f>"588"</f>
        <v>588</v>
      </c>
      <c r="F4330" t="str">
        <f t="shared" si="272"/>
        <v>0000</v>
      </c>
    </row>
    <row r="4331" spans="1:6">
      <c r="C4331" t="str">
        <f t="shared" si="271"/>
        <v>4</v>
      </c>
      <c r="D4331">
        <v>27</v>
      </c>
      <c r="E4331" t="str">
        <f>"1855"</f>
        <v>1855</v>
      </c>
      <c r="F4331" t="str">
        <f t="shared" si="272"/>
        <v>0000</v>
      </c>
    </row>
    <row r="4332" spans="1:6">
      <c r="C4332" t="str">
        <f t="shared" si="271"/>
        <v>4</v>
      </c>
      <c r="D4332">
        <v>27</v>
      </c>
      <c r="E4332" t="str">
        <f>"1421"</f>
        <v>1421</v>
      </c>
      <c r="F4332" t="str">
        <f t="shared" si="272"/>
        <v>0000</v>
      </c>
    </row>
    <row r="4333" spans="1:6">
      <c r="C4333" t="str">
        <f t="shared" si="271"/>
        <v>4</v>
      </c>
      <c r="D4333">
        <v>27</v>
      </c>
      <c r="E4333" t="str">
        <f>"1241"</f>
        <v>1241</v>
      </c>
      <c r="F4333" t="str">
        <f t="shared" si="272"/>
        <v>0000</v>
      </c>
    </row>
    <row r="4334" spans="1:6">
      <c r="A4334" t="str">
        <f>"E1235-561"</f>
        <v>E1235-561</v>
      </c>
      <c r="B4334" t="str">
        <f>"VIA FELICE MARITANO  95-"</f>
        <v>VIA FELICE MARITANO  95-</v>
      </c>
      <c r="C4334" t="str">
        <f t="shared" si="271"/>
        <v>4</v>
      </c>
      <c r="D4334">
        <v>27</v>
      </c>
      <c r="E4334" t="str">
        <f>"124"</f>
        <v>124</v>
      </c>
      <c r="F4334" t="str">
        <f t="shared" si="272"/>
        <v>0000</v>
      </c>
    </row>
    <row r="4335" spans="1:6">
      <c r="C4335" t="str">
        <f t="shared" si="271"/>
        <v>4</v>
      </c>
      <c r="D4335">
        <v>27</v>
      </c>
      <c r="E4335" t="str">
        <f>"1241"</f>
        <v>1241</v>
      </c>
      <c r="F4335" t="str">
        <f t="shared" si="272"/>
        <v>0000</v>
      </c>
    </row>
    <row r="4336" spans="1:6">
      <c r="C4336" t="str">
        <f t="shared" si="271"/>
        <v>4</v>
      </c>
      <c r="D4336">
        <v>27</v>
      </c>
      <c r="E4336" t="str">
        <f>"1421"</f>
        <v>1421</v>
      </c>
      <c r="F4336" t="str">
        <f t="shared" si="272"/>
        <v>0000</v>
      </c>
    </row>
    <row r="4337" spans="1:6">
      <c r="C4337" t="str">
        <f t="shared" si="271"/>
        <v>4</v>
      </c>
      <c r="D4337">
        <v>27</v>
      </c>
      <c r="E4337" t="str">
        <f>"1855"</f>
        <v>1855</v>
      </c>
      <c r="F4337" t="str">
        <f t="shared" si="272"/>
        <v>0000</v>
      </c>
    </row>
    <row r="4338" spans="1:6">
      <c r="C4338" t="str">
        <f t="shared" si="271"/>
        <v>4</v>
      </c>
      <c r="D4338">
        <v>27</v>
      </c>
      <c r="E4338" t="str">
        <f>"588"</f>
        <v>588</v>
      </c>
      <c r="F4338" t="str">
        <f t="shared" si="272"/>
        <v>0000</v>
      </c>
    </row>
    <row r="4339" spans="1:6">
      <c r="C4339" t="str">
        <f t="shared" si="271"/>
        <v>4</v>
      </c>
      <c r="D4339">
        <v>27</v>
      </c>
      <c r="E4339" t="str">
        <f>"676"</f>
        <v>676</v>
      </c>
      <c r="F4339" t="str">
        <f t="shared" si="272"/>
        <v>0000</v>
      </c>
    </row>
    <row r="4340" spans="1:6">
      <c r="C4340" t="str">
        <f t="shared" si="271"/>
        <v>4</v>
      </c>
      <c r="D4340">
        <v>27</v>
      </c>
      <c r="E4340" t="str">
        <f>"99999"</f>
        <v>99999</v>
      </c>
      <c r="F4340" t="str">
        <f t="shared" si="272"/>
        <v>0000</v>
      </c>
    </row>
    <row r="4341" spans="1:6">
      <c r="C4341" t="str">
        <f t="shared" si="271"/>
        <v>4</v>
      </c>
      <c r="D4341">
        <v>27</v>
      </c>
      <c r="E4341" t="str">
        <f>"975"</f>
        <v>975</v>
      </c>
      <c r="F4341" t="str">
        <f t="shared" si="272"/>
        <v>0000</v>
      </c>
    </row>
    <row r="4342" spans="1:6">
      <c r="C4342" t="str">
        <f t="shared" si="271"/>
        <v>4</v>
      </c>
      <c r="D4342">
        <v>27</v>
      </c>
      <c r="E4342" t="str">
        <f>"678"</f>
        <v>678</v>
      </c>
      <c r="F4342" t="str">
        <f t="shared" si="272"/>
        <v>0000</v>
      </c>
    </row>
    <row r="4343" spans="1:6">
      <c r="C4343" t="str">
        <f t="shared" si="271"/>
        <v>4</v>
      </c>
      <c r="D4343">
        <v>27</v>
      </c>
      <c r="E4343" t="str">
        <f>"677"</f>
        <v>677</v>
      </c>
      <c r="F4343" t="str">
        <f t="shared" si="272"/>
        <v>0000</v>
      </c>
    </row>
    <row r="4344" spans="1:6">
      <c r="C4344" t="str">
        <f t="shared" si="271"/>
        <v>4</v>
      </c>
      <c r="D4344">
        <v>27</v>
      </c>
      <c r="E4344" t="str">
        <f>"589"</f>
        <v>589</v>
      </c>
      <c r="F4344" t="str">
        <f t="shared" si="272"/>
        <v>0000</v>
      </c>
    </row>
    <row r="4345" spans="1:6">
      <c r="C4345" t="str">
        <f t="shared" si="271"/>
        <v>4</v>
      </c>
      <c r="D4345">
        <v>27</v>
      </c>
      <c r="E4345" t="str">
        <f>"587"</f>
        <v>587</v>
      </c>
      <c r="F4345" t="str">
        <f t="shared" si="272"/>
        <v>0000</v>
      </c>
    </row>
    <row r="4346" spans="1:6">
      <c r="C4346" t="str">
        <f t="shared" si="271"/>
        <v>4</v>
      </c>
      <c r="D4346">
        <v>27</v>
      </c>
      <c r="E4346" t="str">
        <f>"1422"</f>
        <v>1422</v>
      </c>
      <c r="F4346" t="str">
        <f t="shared" si="272"/>
        <v>0000</v>
      </c>
    </row>
    <row r="4347" spans="1:6">
      <c r="A4347" t="str">
        <f>"E1235-562"</f>
        <v>E1235-562</v>
      </c>
      <c r="B4347" t="str">
        <f>"VIA FELICE MARITANO  95-"</f>
        <v>VIA FELICE MARITANO  95-</v>
      </c>
      <c r="C4347" t="str">
        <f t="shared" ref="C4347:C4410" si="273">"4"</f>
        <v>4</v>
      </c>
      <c r="D4347">
        <v>27</v>
      </c>
      <c r="E4347" t="str">
        <f>"124"</f>
        <v>124</v>
      </c>
      <c r="F4347" t="str">
        <f t="shared" ref="F4347:F4410" si="274">"0000"</f>
        <v>0000</v>
      </c>
    </row>
    <row r="4348" spans="1:6">
      <c r="C4348" t="str">
        <f t="shared" si="273"/>
        <v>4</v>
      </c>
      <c r="D4348">
        <v>27</v>
      </c>
      <c r="E4348" t="str">
        <f>"99999"</f>
        <v>99999</v>
      </c>
      <c r="F4348" t="str">
        <f t="shared" si="274"/>
        <v>0000</v>
      </c>
    </row>
    <row r="4349" spans="1:6">
      <c r="C4349" t="str">
        <f t="shared" si="273"/>
        <v>4</v>
      </c>
      <c r="D4349">
        <v>27</v>
      </c>
      <c r="E4349" t="str">
        <f>"975"</f>
        <v>975</v>
      </c>
      <c r="F4349" t="str">
        <f t="shared" si="274"/>
        <v>0000</v>
      </c>
    </row>
    <row r="4350" spans="1:6">
      <c r="C4350" t="str">
        <f t="shared" si="273"/>
        <v>4</v>
      </c>
      <c r="D4350">
        <v>27</v>
      </c>
      <c r="E4350" t="str">
        <f>"678"</f>
        <v>678</v>
      </c>
      <c r="F4350" t="str">
        <f t="shared" si="274"/>
        <v>0000</v>
      </c>
    </row>
    <row r="4351" spans="1:6">
      <c r="C4351" t="str">
        <f t="shared" si="273"/>
        <v>4</v>
      </c>
      <c r="D4351">
        <v>27</v>
      </c>
      <c r="E4351" t="str">
        <f>"677"</f>
        <v>677</v>
      </c>
      <c r="F4351" t="str">
        <f t="shared" si="274"/>
        <v>0000</v>
      </c>
    </row>
    <row r="4352" spans="1:6">
      <c r="C4352" t="str">
        <f t="shared" si="273"/>
        <v>4</v>
      </c>
      <c r="D4352">
        <v>27</v>
      </c>
      <c r="E4352" t="str">
        <f>"676"</f>
        <v>676</v>
      </c>
      <c r="F4352" t="str">
        <f t="shared" si="274"/>
        <v>0000</v>
      </c>
    </row>
    <row r="4353" spans="1:6">
      <c r="C4353" t="str">
        <f t="shared" si="273"/>
        <v>4</v>
      </c>
      <c r="D4353">
        <v>27</v>
      </c>
      <c r="E4353" t="str">
        <f>"589"</f>
        <v>589</v>
      </c>
      <c r="F4353" t="str">
        <f t="shared" si="274"/>
        <v>0000</v>
      </c>
    </row>
    <row r="4354" spans="1:6">
      <c r="C4354" t="str">
        <f t="shared" si="273"/>
        <v>4</v>
      </c>
      <c r="D4354">
        <v>27</v>
      </c>
      <c r="E4354" t="str">
        <f>"588"</f>
        <v>588</v>
      </c>
      <c r="F4354" t="str">
        <f t="shared" si="274"/>
        <v>0000</v>
      </c>
    </row>
    <row r="4355" spans="1:6">
      <c r="C4355" t="str">
        <f t="shared" si="273"/>
        <v>4</v>
      </c>
      <c r="D4355">
        <v>27</v>
      </c>
      <c r="E4355" t="str">
        <f>"587"</f>
        <v>587</v>
      </c>
      <c r="F4355" t="str">
        <f t="shared" si="274"/>
        <v>0000</v>
      </c>
    </row>
    <row r="4356" spans="1:6">
      <c r="C4356" t="str">
        <f t="shared" si="273"/>
        <v>4</v>
      </c>
      <c r="D4356">
        <v>27</v>
      </c>
      <c r="E4356" t="str">
        <f>"1855"</f>
        <v>1855</v>
      </c>
      <c r="F4356" t="str">
        <f t="shared" si="274"/>
        <v>0000</v>
      </c>
    </row>
    <row r="4357" spans="1:6">
      <c r="C4357" t="str">
        <f t="shared" si="273"/>
        <v>4</v>
      </c>
      <c r="D4357">
        <v>27</v>
      </c>
      <c r="E4357" t="str">
        <f>"1241"</f>
        <v>1241</v>
      </c>
      <c r="F4357" t="str">
        <f t="shared" si="274"/>
        <v>0000</v>
      </c>
    </row>
    <row r="4358" spans="1:6">
      <c r="C4358" t="str">
        <f t="shared" si="273"/>
        <v>4</v>
      </c>
      <c r="D4358">
        <v>27</v>
      </c>
      <c r="E4358" t="str">
        <f>"1422"</f>
        <v>1422</v>
      </c>
      <c r="F4358" t="str">
        <f t="shared" si="274"/>
        <v>0000</v>
      </c>
    </row>
    <row r="4359" spans="1:6">
      <c r="C4359" t="str">
        <f t="shared" si="273"/>
        <v>4</v>
      </c>
      <c r="D4359">
        <v>27</v>
      </c>
      <c r="E4359" t="str">
        <f>"1421"</f>
        <v>1421</v>
      </c>
      <c r="F4359" t="str">
        <f t="shared" si="274"/>
        <v>0000</v>
      </c>
    </row>
    <row r="4360" spans="1:6">
      <c r="A4360" t="str">
        <f>"E1235-563"</f>
        <v>E1235-563</v>
      </c>
      <c r="B4360" t="str">
        <f>"VIA FELICE MARITANO  95-"</f>
        <v>VIA FELICE MARITANO  95-</v>
      </c>
      <c r="C4360" t="str">
        <f t="shared" si="273"/>
        <v>4</v>
      </c>
      <c r="D4360">
        <v>27</v>
      </c>
      <c r="E4360" t="str">
        <f>"124"</f>
        <v>124</v>
      </c>
      <c r="F4360" t="str">
        <f t="shared" si="274"/>
        <v>0000</v>
      </c>
    </row>
    <row r="4361" spans="1:6">
      <c r="C4361" t="str">
        <f t="shared" si="273"/>
        <v>4</v>
      </c>
      <c r="D4361">
        <v>27</v>
      </c>
      <c r="E4361" t="str">
        <f>"1241"</f>
        <v>1241</v>
      </c>
      <c r="F4361" t="str">
        <f t="shared" si="274"/>
        <v>0000</v>
      </c>
    </row>
    <row r="4362" spans="1:6">
      <c r="C4362" t="str">
        <f t="shared" si="273"/>
        <v>4</v>
      </c>
      <c r="D4362">
        <v>27</v>
      </c>
      <c r="E4362" t="str">
        <f>"1422"</f>
        <v>1422</v>
      </c>
      <c r="F4362" t="str">
        <f t="shared" si="274"/>
        <v>0000</v>
      </c>
    </row>
    <row r="4363" spans="1:6">
      <c r="C4363" t="str">
        <f t="shared" si="273"/>
        <v>4</v>
      </c>
      <c r="D4363">
        <v>27</v>
      </c>
      <c r="E4363" t="str">
        <f>"587"</f>
        <v>587</v>
      </c>
      <c r="F4363" t="str">
        <f t="shared" si="274"/>
        <v>0000</v>
      </c>
    </row>
    <row r="4364" spans="1:6">
      <c r="C4364" t="str">
        <f t="shared" si="273"/>
        <v>4</v>
      </c>
      <c r="D4364">
        <v>27</v>
      </c>
      <c r="E4364" t="str">
        <f>"589"</f>
        <v>589</v>
      </c>
      <c r="F4364" t="str">
        <f t="shared" si="274"/>
        <v>0000</v>
      </c>
    </row>
    <row r="4365" spans="1:6">
      <c r="C4365" t="str">
        <f t="shared" si="273"/>
        <v>4</v>
      </c>
      <c r="D4365">
        <v>27</v>
      </c>
      <c r="E4365" t="str">
        <f>"99999"</f>
        <v>99999</v>
      </c>
      <c r="F4365" t="str">
        <f t="shared" si="274"/>
        <v>0000</v>
      </c>
    </row>
    <row r="4366" spans="1:6">
      <c r="C4366" t="str">
        <f t="shared" si="273"/>
        <v>4</v>
      </c>
      <c r="D4366">
        <v>27</v>
      </c>
      <c r="E4366" t="str">
        <f>"975"</f>
        <v>975</v>
      </c>
      <c r="F4366" t="str">
        <f t="shared" si="274"/>
        <v>0000</v>
      </c>
    </row>
    <row r="4367" spans="1:6">
      <c r="C4367" t="str">
        <f t="shared" si="273"/>
        <v>4</v>
      </c>
      <c r="D4367">
        <v>27</v>
      </c>
      <c r="E4367" t="str">
        <f>"678"</f>
        <v>678</v>
      </c>
      <c r="F4367" t="str">
        <f t="shared" si="274"/>
        <v>0000</v>
      </c>
    </row>
    <row r="4368" spans="1:6">
      <c r="C4368" t="str">
        <f t="shared" si="273"/>
        <v>4</v>
      </c>
      <c r="D4368">
        <v>27</v>
      </c>
      <c r="E4368" t="str">
        <f>"677"</f>
        <v>677</v>
      </c>
      <c r="F4368" t="str">
        <f t="shared" si="274"/>
        <v>0000</v>
      </c>
    </row>
    <row r="4369" spans="1:6">
      <c r="C4369" t="str">
        <f t="shared" si="273"/>
        <v>4</v>
      </c>
      <c r="D4369">
        <v>27</v>
      </c>
      <c r="E4369" t="str">
        <f>"676"</f>
        <v>676</v>
      </c>
      <c r="F4369" t="str">
        <f t="shared" si="274"/>
        <v>0000</v>
      </c>
    </row>
    <row r="4370" spans="1:6">
      <c r="C4370" t="str">
        <f t="shared" si="273"/>
        <v>4</v>
      </c>
      <c r="D4370">
        <v>27</v>
      </c>
      <c r="E4370" t="str">
        <f>"588"</f>
        <v>588</v>
      </c>
      <c r="F4370" t="str">
        <f t="shared" si="274"/>
        <v>0000</v>
      </c>
    </row>
    <row r="4371" spans="1:6">
      <c r="C4371" t="str">
        <f t="shared" si="273"/>
        <v>4</v>
      </c>
      <c r="D4371">
        <v>27</v>
      </c>
      <c r="E4371" t="str">
        <f>"1855"</f>
        <v>1855</v>
      </c>
      <c r="F4371" t="str">
        <f t="shared" si="274"/>
        <v>0000</v>
      </c>
    </row>
    <row r="4372" spans="1:6">
      <c r="C4372" t="str">
        <f t="shared" si="273"/>
        <v>4</v>
      </c>
      <c r="D4372">
        <v>27</v>
      </c>
      <c r="E4372" t="str">
        <f>"1421"</f>
        <v>1421</v>
      </c>
      <c r="F4372" t="str">
        <f t="shared" si="274"/>
        <v>0000</v>
      </c>
    </row>
    <row r="4373" spans="1:6">
      <c r="A4373" t="str">
        <f>"E1235-564"</f>
        <v>E1235-564</v>
      </c>
      <c r="B4373" t="str">
        <f>"VIA FELICE MARITANO  95-"</f>
        <v>VIA FELICE MARITANO  95-</v>
      </c>
      <c r="C4373" t="str">
        <f t="shared" si="273"/>
        <v>4</v>
      </c>
      <c r="D4373">
        <v>27</v>
      </c>
      <c r="E4373" t="str">
        <f>"124"</f>
        <v>124</v>
      </c>
      <c r="F4373" t="str">
        <f t="shared" si="274"/>
        <v>0000</v>
      </c>
    </row>
    <row r="4374" spans="1:6">
      <c r="C4374" t="str">
        <f t="shared" si="273"/>
        <v>4</v>
      </c>
      <c r="D4374">
        <v>27</v>
      </c>
      <c r="E4374" t="str">
        <f>"1421"</f>
        <v>1421</v>
      </c>
      <c r="F4374" t="str">
        <f t="shared" si="274"/>
        <v>0000</v>
      </c>
    </row>
    <row r="4375" spans="1:6">
      <c r="C4375" t="str">
        <f t="shared" si="273"/>
        <v>4</v>
      </c>
      <c r="D4375">
        <v>27</v>
      </c>
      <c r="E4375" t="str">
        <f>"1422"</f>
        <v>1422</v>
      </c>
      <c r="F4375" t="str">
        <f t="shared" si="274"/>
        <v>0000</v>
      </c>
    </row>
    <row r="4376" spans="1:6">
      <c r="C4376" t="str">
        <f t="shared" si="273"/>
        <v>4</v>
      </c>
      <c r="D4376">
        <v>27</v>
      </c>
      <c r="E4376" t="str">
        <f>"1241"</f>
        <v>1241</v>
      </c>
      <c r="F4376" t="str">
        <f t="shared" si="274"/>
        <v>0000</v>
      </c>
    </row>
    <row r="4377" spans="1:6">
      <c r="C4377" t="str">
        <f t="shared" si="273"/>
        <v>4</v>
      </c>
      <c r="D4377">
        <v>27</v>
      </c>
      <c r="E4377" t="str">
        <f>"1855"</f>
        <v>1855</v>
      </c>
      <c r="F4377" t="str">
        <f t="shared" si="274"/>
        <v>0000</v>
      </c>
    </row>
    <row r="4378" spans="1:6">
      <c r="C4378" t="str">
        <f t="shared" si="273"/>
        <v>4</v>
      </c>
      <c r="D4378">
        <v>27</v>
      </c>
      <c r="E4378" t="str">
        <f>"588"</f>
        <v>588</v>
      </c>
      <c r="F4378" t="str">
        <f t="shared" si="274"/>
        <v>0000</v>
      </c>
    </row>
    <row r="4379" spans="1:6">
      <c r="C4379" t="str">
        <f t="shared" si="273"/>
        <v>4</v>
      </c>
      <c r="D4379">
        <v>27</v>
      </c>
      <c r="E4379" t="str">
        <f>"676"</f>
        <v>676</v>
      </c>
      <c r="F4379" t="str">
        <f t="shared" si="274"/>
        <v>0000</v>
      </c>
    </row>
    <row r="4380" spans="1:6">
      <c r="C4380" t="str">
        <f t="shared" si="273"/>
        <v>4</v>
      </c>
      <c r="D4380">
        <v>27</v>
      </c>
      <c r="E4380" t="str">
        <f>"678"</f>
        <v>678</v>
      </c>
      <c r="F4380" t="str">
        <f t="shared" si="274"/>
        <v>0000</v>
      </c>
    </row>
    <row r="4381" spans="1:6">
      <c r="C4381" t="str">
        <f t="shared" si="273"/>
        <v>4</v>
      </c>
      <c r="D4381">
        <v>27</v>
      </c>
      <c r="E4381" t="str">
        <f>"99999"</f>
        <v>99999</v>
      </c>
      <c r="F4381" t="str">
        <f t="shared" si="274"/>
        <v>0000</v>
      </c>
    </row>
    <row r="4382" spans="1:6">
      <c r="C4382" t="str">
        <f t="shared" si="273"/>
        <v>4</v>
      </c>
      <c r="D4382">
        <v>27</v>
      </c>
      <c r="E4382" t="str">
        <f>"975"</f>
        <v>975</v>
      </c>
      <c r="F4382" t="str">
        <f t="shared" si="274"/>
        <v>0000</v>
      </c>
    </row>
    <row r="4383" spans="1:6">
      <c r="C4383" t="str">
        <f t="shared" si="273"/>
        <v>4</v>
      </c>
      <c r="D4383">
        <v>27</v>
      </c>
      <c r="E4383" t="str">
        <f>"677"</f>
        <v>677</v>
      </c>
      <c r="F4383" t="str">
        <f t="shared" si="274"/>
        <v>0000</v>
      </c>
    </row>
    <row r="4384" spans="1:6">
      <c r="C4384" t="str">
        <f t="shared" si="273"/>
        <v>4</v>
      </c>
      <c r="D4384">
        <v>27</v>
      </c>
      <c r="E4384" t="str">
        <f>"589"</f>
        <v>589</v>
      </c>
      <c r="F4384" t="str">
        <f t="shared" si="274"/>
        <v>0000</v>
      </c>
    </row>
    <row r="4385" spans="1:6">
      <c r="C4385" t="str">
        <f t="shared" si="273"/>
        <v>4</v>
      </c>
      <c r="D4385">
        <v>27</v>
      </c>
      <c r="E4385" t="str">
        <f>"587"</f>
        <v>587</v>
      </c>
      <c r="F4385" t="str">
        <f t="shared" si="274"/>
        <v>0000</v>
      </c>
    </row>
    <row r="4386" spans="1:6">
      <c r="A4386" t="str">
        <f>"E1235-565"</f>
        <v>E1235-565</v>
      </c>
      <c r="B4386" t="str">
        <f>"VIA FELICE MARITANO  95-"</f>
        <v>VIA FELICE MARITANO  95-</v>
      </c>
      <c r="C4386" t="str">
        <f t="shared" si="273"/>
        <v>4</v>
      </c>
      <c r="D4386">
        <v>27</v>
      </c>
      <c r="E4386" t="str">
        <f>"124"</f>
        <v>124</v>
      </c>
      <c r="F4386" t="str">
        <f t="shared" si="274"/>
        <v>0000</v>
      </c>
    </row>
    <row r="4387" spans="1:6">
      <c r="C4387" t="str">
        <f t="shared" si="273"/>
        <v>4</v>
      </c>
      <c r="D4387">
        <v>27</v>
      </c>
      <c r="E4387" t="str">
        <f>"1422"</f>
        <v>1422</v>
      </c>
      <c r="F4387" t="str">
        <f t="shared" si="274"/>
        <v>0000</v>
      </c>
    </row>
    <row r="4388" spans="1:6">
      <c r="C4388" t="str">
        <f t="shared" si="273"/>
        <v>4</v>
      </c>
      <c r="D4388">
        <v>27</v>
      </c>
      <c r="E4388" t="str">
        <f>"587"</f>
        <v>587</v>
      </c>
      <c r="F4388" t="str">
        <f t="shared" si="274"/>
        <v>0000</v>
      </c>
    </row>
    <row r="4389" spans="1:6">
      <c r="C4389" t="str">
        <f t="shared" si="273"/>
        <v>4</v>
      </c>
      <c r="D4389">
        <v>27</v>
      </c>
      <c r="E4389" t="str">
        <f>"99999"</f>
        <v>99999</v>
      </c>
      <c r="F4389" t="str">
        <f t="shared" si="274"/>
        <v>0000</v>
      </c>
    </row>
    <row r="4390" spans="1:6">
      <c r="C4390" t="str">
        <f t="shared" si="273"/>
        <v>4</v>
      </c>
      <c r="D4390">
        <v>27</v>
      </c>
      <c r="E4390" t="str">
        <f>"975"</f>
        <v>975</v>
      </c>
      <c r="F4390" t="str">
        <f t="shared" si="274"/>
        <v>0000</v>
      </c>
    </row>
    <row r="4391" spans="1:6">
      <c r="C4391" t="str">
        <f t="shared" si="273"/>
        <v>4</v>
      </c>
      <c r="D4391">
        <v>27</v>
      </c>
      <c r="E4391" t="str">
        <f>"678"</f>
        <v>678</v>
      </c>
      <c r="F4391" t="str">
        <f t="shared" si="274"/>
        <v>0000</v>
      </c>
    </row>
    <row r="4392" spans="1:6">
      <c r="C4392" t="str">
        <f t="shared" si="273"/>
        <v>4</v>
      </c>
      <c r="D4392">
        <v>27</v>
      </c>
      <c r="E4392" t="str">
        <f>"677"</f>
        <v>677</v>
      </c>
      <c r="F4392" t="str">
        <f t="shared" si="274"/>
        <v>0000</v>
      </c>
    </row>
    <row r="4393" spans="1:6">
      <c r="C4393" t="str">
        <f t="shared" si="273"/>
        <v>4</v>
      </c>
      <c r="D4393">
        <v>27</v>
      </c>
      <c r="E4393" t="str">
        <f>"676"</f>
        <v>676</v>
      </c>
      <c r="F4393" t="str">
        <f t="shared" si="274"/>
        <v>0000</v>
      </c>
    </row>
    <row r="4394" spans="1:6">
      <c r="C4394" t="str">
        <f t="shared" si="273"/>
        <v>4</v>
      </c>
      <c r="D4394">
        <v>27</v>
      </c>
      <c r="E4394" t="str">
        <f>"589"</f>
        <v>589</v>
      </c>
      <c r="F4394" t="str">
        <f t="shared" si="274"/>
        <v>0000</v>
      </c>
    </row>
    <row r="4395" spans="1:6">
      <c r="C4395" t="str">
        <f t="shared" si="273"/>
        <v>4</v>
      </c>
      <c r="D4395">
        <v>27</v>
      </c>
      <c r="E4395" t="str">
        <f>"588"</f>
        <v>588</v>
      </c>
      <c r="F4395" t="str">
        <f t="shared" si="274"/>
        <v>0000</v>
      </c>
    </row>
    <row r="4396" spans="1:6">
      <c r="C4396" t="str">
        <f t="shared" si="273"/>
        <v>4</v>
      </c>
      <c r="D4396">
        <v>27</v>
      </c>
      <c r="E4396" t="str">
        <f>"1855"</f>
        <v>1855</v>
      </c>
      <c r="F4396" t="str">
        <f t="shared" si="274"/>
        <v>0000</v>
      </c>
    </row>
    <row r="4397" spans="1:6">
      <c r="C4397" t="str">
        <f t="shared" si="273"/>
        <v>4</v>
      </c>
      <c r="D4397">
        <v>27</v>
      </c>
      <c r="E4397" t="str">
        <f>"1421"</f>
        <v>1421</v>
      </c>
      <c r="F4397" t="str">
        <f t="shared" si="274"/>
        <v>0000</v>
      </c>
    </row>
    <row r="4398" spans="1:6">
      <c r="C4398" t="str">
        <f t="shared" si="273"/>
        <v>4</v>
      </c>
      <c r="D4398">
        <v>27</v>
      </c>
      <c r="E4398" t="str">
        <f>"1241"</f>
        <v>1241</v>
      </c>
      <c r="F4398" t="str">
        <f t="shared" si="274"/>
        <v>0000</v>
      </c>
    </row>
    <row r="4399" spans="1:6">
      <c r="A4399" t="str">
        <f>"E1235-566"</f>
        <v>E1235-566</v>
      </c>
      <c r="B4399" t="str">
        <f>"VIA FELICE MARITANO  95-"</f>
        <v>VIA FELICE MARITANO  95-</v>
      </c>
      <c r="C4399" t="str">
        <f t="shared" si="273"/>
        <v>4</v>
      </c>
      <c r="D4399">
        <v>27</v>
      </c>
      <c r="E4399" t="str">
        <f>"124"</f>
        <v>124</v>
      </c>
      <c r="F4399" t="str">
        <f t="shared" si="274"/>
        <v>0000</v>
      </c>
    </row>
    <row r="4400" spans="1:6">
      <c r="C4400" t="str">
        <f t="shared" si="273"/>
        <v>4</v>
      </c>
      <c r="D4400">
        <v>27</v>
      </c>
      <c r="E4400" t="str">
        <f>"1241"</f>
        <v>1241</v>
      </c>
      <c r="F4400" t="str">
        <f t="shared" si="274"/>
        <v>0000</v>
      </c>
    </row>
    <row r="4401" spans="1:6">
      <c r="C4401" t="str">
        <f t="shared" si="273"/>
        <v>4</v>
      </c>
      <c r="D4401">
        <v>27</v>
      </c>
      <c r="E4401" t="str">
        <f>"1421"</f>
        <v>1421</v>
      </c>
      <c r="F4401" t="str">
        <f t="shared" si="274"/>
        <v>0000</v>
      </c>
    </row>
    <row r="4402" spans="1:6">
      <c r="C4402" t="str">
        <f t="shared" si="273"/>
        <v>4</v>
      </c>
      <c r="D4402">
        <v>27</v>
      </c>
      <c r="E4402" t="str">
        <f>"1855"</f>
        <v>1855</v>
      </c>
      <c r="F4402" t="str">
        <f t="shared" si="274"/>
        <v>0000</v>
      </c>
    </row>
    <row r="4403" spans="1:6">
      <c r="C4403" t="str">
        <f t="shared" si="273"/>
        <v>4</v>
      </c>
      <c r="D4403">
        <v>27</v>
      </c>
      <c r="E4403" t="str">
        <f>"588"</f>
        <v>588</v>
      </c>
      <c r="F4403" t="str">
        <f t="shared" si="274"/>
        <v>0000</v>
      </c>
    </row>
    <row r="4404" spans="1:6">
      <c r="C4404" t="str">
        <f t="shared" si="273"/>
        <v>4</v>
      </c>
      <c r="D4404">
        <v>27</v>
      </c>
      <c r="E4404" t="str">
        <f>"676"</f>
        <v>676</v>
      </c>
      <c r="F4404" t="str">
        <f t="shared" si="274"/>
        <v>0000</v>
      </c>
    </row>
    <row r="4405" spans="1:6">
      <c r="C4405" t="str">
        <f t="shared" si="273"/>
        <v>4</v>
      </c>
      <c r="D4405">
        <v>27</v>
      </c>
      <c r="E4405" t="str">
        <f>"99999"</f>
        <v>99999</v>
      </c>
      <c r="F4405" t="str">
        <f t="shared" si="274"/>
        <v>0000</v>
      </c>
    </row>
    <row r="4406" spans="1:6">
      <c r="C4406" t="str">
        <f t="shared" si="273"/>
        <v>4</v>
      </c>
      <c r="D4406">
        <v>27</v>
      </c>
      <c r="E4406" t="str">
        <f>"975"</f>
        <v>975</v>
      </c>
      <c r="F4406" t="str">
        <f t="shared" si="274"/>
        <v>0000</v>
      </c>
    </row>
    <row r="4407" spans="1:6">
      <c r="C4407" t="str">
        <f t="shared" si="273"/>
        <v>4</v>
      </c>
      <c r="D4407">
        <v>27</v>
      </c>
      <c r="E4407" t="str">
        <f>"678"</f>
        <v>678</v>
      </c>
      <c r="F4407" t="str">
        <f t="shared" si="274"/>
        <v>0000</v>
      </c>
    </row>
    <row r="4408" spans="1:6">
      <c r="C4408" t="str">
        <f t="shared" si="273"/>
        <v>4</v>
      </c>
      <c r="D4408">
        <v>27</v>
      </c>
      <c r="E4408" t="str">
        <f>"677"</f>
        <v>677</v>
      </c>
      <c r="F4408" t="str">
        <f t="shared" si="274"/>
        <v>0000</v>
      </c>
    </row>
    <row r="4409" spans="1:6">
      <c r="C4409" t="str">
        <f t="shared" si="273"/>
        <v>4</v>
      </c>
      <c r="D4409">
        <v>27</v>
      </c>
      <c r="E4409" t="str">
        <f>"589"</f>
        <v>589</v>
      </c>
      <c r="F4409" t="str">
        <f t="shared" si="274"/>
        <v>0000</v>
      </c>
    </row>
    <row r="4410" spans="1:6">
      <c r="C4410" t="str">
        <f t="shared" si="273"/>
        <v>4</v>
      </c>
      <c r="D4410">
        <v>27</v>
      </c>
      <c r="E4410" t="str">
        <f>"587"</f>
        <v>587</v>
      </c>
      <c r="F4410" t="str">
        <f t="shared" si="274"/>
        <v>0000</v>
      </c>
    </row>
    <row r="4411" spans="1:6">
      <c r="C4411" t="str">
        <f t="shared" ref="C4411:C4474" si="275">"4"</f>
        <v>4</v>
      </c>
      <c r="D4411">
        <v>27</v>
      </c>
      <c r="E4411" t="str">
        <f>"1422"</f>
        <v>1422</v>
      </c>
      <c r="F4411" t="str">
        <f t="shared" ref="F4411:F4474" si="276">"0000"</f>
        <v>0000</v>
      </c>
    </row>
    <row r="4412" spans="1:6">
      <c r="A4412" t="str">
        <f>"E1235-567"</f>
        <v>E1235-567</v>
      </c>
      <c r="B4412" t="str">
        <f>"VIA FELICE MARITANO  95-"</f>
        <v>VIA FELICE MARITANO  95-</v>
      </c>
      <c r="C4412" t="str">
        <f t="shared" si="275"/>
        <v>4</v>
      </c>
      <c r="D4412">
        <v>27</v>
      </c>
      <c r="E4412" t="str">
        <f>"124"</f>
        <v>124</v>
      </c>
      <c r="F4412" t="str">
        <f t="shared" si="276"/>
        <v>0000</v>
      </c>
    </row>
    <row r="4413" spans="1:6">
      <c r="C4413" t="str">
        <f t="shared" si="275"/>
        <v>4</v>
      </c>
      <c r="D4413">
        <v>27</v>
      </c>
      <c r="E4413" t="str">
        <f>"99999"</f>
        <v>99999</v>
      </c>
      <c r="F4413" t="str">
        <f t="shared" si="276"/>
        <v>0000</v>
      </c>
    </row>
    <row r="4414" spans="1:6">
      <c r="C4414" t="str">
        <f t="shared" si="275"/>
        <v>4</v>
      </c>
      <c r="D4414">
        <v>27</v>
      </c>
      <c r="E4414" t="str">
        <f>"975"</f>
        <v>975</v>
      </c>
      <c r="F4414" t="str">
        <f t="shared" si="276"/>
        <v>0000</v>
      </c>
    </row>
    <row r="4415" spans="1:6">
      <c r="C4415" t="str">
        <f t="shared" si="275"/>
        <v>4</v>
      </c>
      <c r="D4415">
        <v>27</v>
      </c>
      <c r="E4415" t="str">
        <f>"678"</f>
        <v>678</v>
      </c>
      <c r="F4415" t="str">
        <f t="shared" si="276"/>
        <v>0000</v>
      </c>
    </row>
    <row r="4416" spans="1:6">
      <c r="C4416" t="str">
        <f t="shared" si="275"/>
        <v>4</v>
      </c>
      <c r="D4416">
        <v>27</v>
      </c>
      <c r="E4416" t="str">
        <f>"677"</f>
        <v>677</v>
      </c>
      <c r="F4416" t="str">
        <f t="shared" si="276"/>
        <v>0000</v>
      </c>
    </row>
    <row r="4417" spans="1:6">
      <c r="C4417" t="str">
        <f t="shared" si="275"/>
        <v>4</v>
      </c>
      <c r="D4417">
        <v>27</v>
      </c>
      <c r="E4417" t="str">
        <f>"676"</f>
        <v>676</v>
      </c>
      <c r="F4417" t="str">
        <f t="shared" si="276"/>
        <v>0000</v>
      </c>
    </row>
    <row r="4418" spans="1:6">
      <c r="C4418" t="str">
        <f t="shared" si="275"/>
        <v>4</v>
      </c>
      <c r="D4418">
        <v>27</v>
      </c>
      <c r="E4418" t="str">
        <f>"589"</f>
        <v>589</v>
      </c>
      <c r="F4418" t="str">
        <f t="shared" si="276"/>
        <v>0000</v>
      </c>
    </row>
    <row r="4419" spans="1:6">
      <c r="C4419" t="str">
        <f t="shared" si="275"/>
        <v>4</v>
      </c>
      <c r="D4419">
        <v>27</v>
      </c>
      <c r="E4419" t="str">
        <f>"588"</f>
        <v>588</v>
      </c>
      <c r="F4419" t="str">
        <f t="shared" si="276"/>
        <v>0000</v>
      </c>
    </row>
    <row r="4420" spans="1:6">
      <c r="C4420" t="str">
        <f t="shared" si="275"/>
        <v>4</v>
      </c>
      <c r="D4420">
        <v>27</v>
      </c>
      <c r="E4420" t="str">
        <f>"587"</f>
        <v>587</v>
      </c>
      <c r="F4420" t="str">
        <f t="shared" si="276"/>
        <v>0000</v>
      </c>
    </row>
    <row r="4421" spans="1:6">
      <c r="C4421" t="str">
        <f t="shared" si="275"/>
        <v>4</v>
      </c>
      <c r="D4421">
        <v>27</v>
      </c>
      <c r="E4421" t="str">
        <f>"1855"</f>
        <v>1855</v>
      </c>
      <c r="F4421" t="str">
        <f t="shared" si="276"/>
        <v>0000</v>
      </c>
    </row>
    <row r="4422" spans="1:6">
      <c r="C4422" t="str">
        <f t="shared" si="275"/>
        <v>4</v>
      </c>
      <c r="D4422">
        <v>27</v>
      </c>
      <c r="E4422" t="str">
        <f>"1241"</f>
        <v>1241</v>
      </c>
      <c r="F4422" t="str">
        <f t="shared" si="276"/>
        <v>0000</v>
      </c>
    </row>
    <row r="4423" spans="1:6">
      <c r="C4423" t="str">
        <f t="shared" si="275"/>
        <v>4</v>
      </c>
      <c r="D4423">
        <v>27</v>
      </c>
      <c r="E4423" t="str">
        <f>"1422"</f>
        <v>1422</v>
      </c>
      <c r="F4423" t="str">
        <f t="shared" si="276"/>
        <v>0000</v>
      </c>
    </row>
    <row r="4424" spans="1:6">
      <c r="C4424" t="str">
        <f t="shared" si="275"/>
        <v>4</v>
      </c>
      <c r="D4424">
        <v>27</v>
      </c>
      <c r="E4424" t="str">
        <f>"1421"</f>
        <v>1421</v>
      </c>
      <c r="F4424" t="str">
        <f t="shared" si="276"/>
        <v>0000</v>
      </c>
    </row>
    <row r="4425" spans="1:6">
      <c r="A4425" t="str">
        <f>"E1235-568"</f>
        <v>E1235-568</v>
      </c>
      <c r="B4425" t="str">
        <f>"VIA FELICE MARITANO  95-"</f>
        <v>VIA FELICE MARITANO  95-</v>
      </c>
      <c r="C4425" t="str">
        <f t="shared" si="275"/>
        <v>4</v>
      </c>
      <c r="D4425">
        <v>27</v>
      </c>
      <c r="E4425" t="str">
        <f>"124"</f>
        <v>124</v>
      </c>
      <c r="F4425" t="str">
        <f t="shared" si="276"/>
        <v>0000</v>
      </c>
    </row>
    <row r="4426" spans="1:6">
      <c r="C4426" t="str">
        <f t="shared" si="275"/>
        <v>4</v>
      </c>
      <c r="D4426">
        <v>27</v>
      </c>
      <c r="E4426" t="str">
        <f>"1241"</f>
        <v>1241</v>
      </c>
      <c r="F4426" t="str">
        <f t="shared" si="276"/>
        <v>0000</v>
      </c>
    </row>
    <row r="4427" spans="1:6">
      <c r="C4427" t="str">
        <f t="shared" si="275"/>
        <v>4</v>
      </c>
      <c r="D4427">
        <v>27</v>
      </c>
      <c r="E4427" t="str">
        <f>"1422"</f>
        <v>1422</v>
      </c>
      <c r="F4427" t="str">
        <f t="shared" si="276"/>
        <v>0000</v>
      </c>
    </row>
    <row r="4428" spans="1:6">
      <c r="C4428" t="str">
        <f t="shared" si="275"/>
        <v>4</v>
      </c>
      <c r="D4428">
        <v>27</v>
      </c>
      <c r="E4428" t="str">
        <f>"587"</f>
        <v>587</v>
      </c>
      <c r="F4428" t="str">
        <f t="shared" si="276"/>
        <v>0000</v>
      </c>
    </row>
    <row r="4429" spans="1:6">
      <c r="C4429" t="str">
        <f t="shared" si="275"/>
        <v>4</v>
      </c>
      <c r="D4429">
        <v>27</v>
      </c>
      <c r="E4429" t="str">
        <f>"589"</f>
        <v>589</v>
      </c>
      <c r="F4429" t="str">
        <f t="shared" si="276"/>
        <v>0000</v>
      </c>
    </row>
    <row r="4430" spans="1:6">
      <c r="C4430" t="str">
        <f t="shared" si="275"/>
        <v>4</v>
      </c>
      <c r="D4430">
        <v>27</v>
      </c>
      <c r="E4430" t="str">
        <f>"99999"</f>
        <v>99999</v>
      </c>
      <c r="F4430" t="str">
        <f t="shared" si="276"/>
        <v>0000</v>
      </c>
    </row>
    <row r="4431" spans="1:6">
      <c r="C4431" t="str">
        <f t="shared" si="275"/>
        <v>4</v>
      </c>
      <c r="D4431">
        <v>27</v>
      </c>
      <c r="E4431" t="str">
        <f>"975"</f>
        <v>975</v>
      </c>
      <c r="F4431" t="str">
        <f t="shared" si="276"/>
        <v>0000</v>
      </c>
    </row>
    <row r="4432" spans="1:6">
      <c r="C4432" t="str">
        <f t="shared" si="275"/>
        <v>4</v>
      </c>
      <c r="D4432">
        <v>27</v>
      </c>
      <c r="E4432" t="str">
        <f>"678"</f>
        <v>678</v>
      </c>
      <c r="F4432" t="str">
        <f t="shared" si="276"/>
        <v>0000</v>
      </c>
    </row>
    <row r="4433" spans="1:6">
      <c r="C4433" t="str">
        <f t="shared" si="275"/>
        <v>4</v>
      </c>
      <c r="D4433">
        <v>27</v>
      </c>
      <c r="E4433" t="str">
        <f>"677"</f>
        <v>677</v>
      </c>
      <c r="F4433" t="str">
        <f t="shared" si="276"/>
        <v>0000</v>
      </c>
    </row>
    <row r="4434" spans="1:6">
      <c r="C4434" t="str">
        <f t="shared" si="275"/>
        <v>4</v>
      </c>
      <c r="D4434">
        <v>27</v>
      </c>
      <c r="E4434" t="str">
        <f>"676"</f>
        <v>676</v>
      </c>
      <c r="F4434" t="str">
        <f t="shared" si="276"/>
        <v>0000</v>
      </c>
    </row>
    <row r="4435" spans="1:6">
      <c r="C4435" t="str">
        <f t="shared" si="275"/>
        <v>4</v>
      </c>
      <c r="D4435">
        <v>27</v>
      </c>
      <c r="E4435" t="str">
        <f>"588"</f>
        <v>588</v>
      </c>
      <c r="F4435" t="str">
        <f t="shared" si="276"/>
        <v>0000</v>
      </c>
    </row>
    <row r="4436" spans="1:6">
      <c r="C4436" t="str">
        <f t="shared" si="275"/>
        <v>4</v>
      </c>
      <c r="D4436">
        <v>27</v>
      </c>
      <c r="E4436" t="str">
        <f>"1855"</f>
        <v>1855</v>
      </c>
      <c r="F4436" t="str">
        <f t="shared" si="276"/>
        <v>0000</v>
      </c>
    </row>
    <row r="4437" spans="1:6">
      <c r="C4437" t="str">
        <f t="shared" si="275"/>
        <v>4</v>
      </c>
      <c r="D4437">
        <v>27</v>
      </c>
      <c r="E4437" t="str">
        <f>"1421"</f>
        <v>1421</v>
      </c>
      <c r="F4437" t="str">
        <f t="shared" si="276"/>
        <v>0000</v>
      </c>
    </row>
    <row r="4438" spans="1:6">
      <c r="A4438" t="str">
        <f>"E1235-569"</f>
        <v>E1235-569</v>
      </c>
      <c r="B4438" t="str">
        <f>"VIA FELICE MARITANO  95-"</f>
        <v>VIA FELICE MARITANO  95-</v>
      </c>
      <c r="C4438" t="str">
        <f t="shared" si="275"/>
        <v>4</v>
      </c>
      <c r="D4438">
        <v>27</v>
      </c>
      <c r="E4438" t="str">
        <f>"124"</f>
        <v>124</v>
      </c>
      <c r="F4438" t="str">
        <f t="shared" si="276"/>
        <v>0000</v>
      </c>
    </row>
    <row r="4439" spans="1:6">
      <c r="C4439" t="str">
        <f t="shared" si="275"/>
        <v>4</v>
      </c>
      <c r="D4439">
        <v>27</v>
      </c>
      <c r="E4439" t="str">
        <f>"1421"</f>
        <v>1421</v>
      </c>
      <c r="F4439" t="str">
        <f t="shared" si="276"/>
        <v>0000</v>
      </c>
    </row>
    <row r="4440" spans="1:6">
      <c r="C4440" t="str">
        <f t="shared" si="275"/>
        <v>4</v>
      </c>
      <c r="D4440">
        <v>27</v>
      </c>
      <c r="E4440" t="str">
        <f>"1422"</f>
        <v>1422</v>
      </c>
      <c r="F4440" t="str">
        <f t="shared" si="276"/>
        <v>0000</v>
      </c>
    </row>
    <row r="4441" spans="1:6">
      <c r="C4441" t="str">
        <f t="shared" si="275"/>
        <v>4</v>
      </c>
      <c r="D4441">
        <v>27</v>
      </c>
      <c r="E4441" t="str">
        <f>"1241"</f>
        <v>1241</v>
      </c>
      <c r="F4441" t="str">
        <f t="shared" si="276"/>
        <v>0000</v>
      </c>
    </row>
    <row r="4442" spans="1:6">
      <c r="C4442" t="str">
        <f t="shared" si="275"/>
        <v>4</v>
      </c>
      <c r="D4442">
        <v>27</v>
      </c>
      <c r="E4442" t="str">
        <f>"1855"</f>
        <v>1855</v>
      </c>
      <c r="F4442" t="str">
        <f t="shared" si="276"/>
        <v>0000</v>
      </c>
    </row>
    <row r="4443" spans="1:6">
      <c r="C4443" t="str">
        <f t="shared" si="275"/>
        <v>4</v>
      </c>
      <c r="D4443">
        <v>27</v>
      </c>
      <c r="E4443" t="str">
        <f>"588"</f>
        <v>588</v>
      </c>
      <c r="F4443" t="str">
        <f t="shared" si="276"/>
        <v>0000</v>
      </c>
    </row>
    <row r="4444" spans="1:6">
      <c r="C4444" t="str">
        <f t="shared" si="275"/>
        <v>4</v>
      </c>
      <c r="D4444">
        <v>27</v>
      </c>
      <c r="E4444" t="str">
        <f>"676"</f>
        <v>676</v>
      </c>
      <c r="F4444" t="str">
        <f t="shared" si="276"/>
        <v>0000</v>
      </c>
    </row>
    <row r="4445" spans="1:6">
      <c r="C4445" t="str">
        <f t="shared" si="275"/>
        <v>4</v>
      </c>
      <c r="D4445">
        <v>27</v>
      </c>
      <c r="E4445" t="str">
        <f>"678"</f>
        <v>678</v>
      </c>
      <c r="F4445" t="str">
        <f t="shared" si="276"/>
        <v>0000</v>
      </c>
    </row>
    <row r="4446" spans="1:6">
      <c r="C4446" t="str">
        <f t="shared" si="275"/>
        <v>4</v>
      </c>
      <c r="D4446">
        <v>27</v>
      </c>
      <c r="E4446" t="str">
        <f>"99999"</f>
        <v>99999</v>
      </c>
      <c r="F4446" t="str">
        <f t="shared" si="276"/>
        <v>0000</v>
      </c>
    </row>
    <row r="4447" spans="1:6">
      <c r="C4447" t="str">
        <f t="shared" si="275"/>
        <v>4</v>
      </c>
      <c r="D4447">
        <v>27</v>
      </c>
      <c r="E4447" t="str">
        <f>"975"</f>
        <v>975</v>
      </c>
      <c r="F4447" t="str">
        <f t="shared" si="276"/>
        <v>0000</v>
      </c>
    </row>
    <row r="4448" spans="1:6">
      <c r="C4448" t="str">
        <f t="shared" si="275"/>
        <v>4</v>
      </c>
      <c r="D4448">
        <v>27</v>
      </c>
      <c r="E4448" t="str">
        <f>"677"</f>
        <v>677</v>
      </c>
      <c r="F4448" t="str">
        <f t="shared" si="276"/>
        <v>0000</v>
      </c>
    </row>
    <row r="4449" spans="1:6">
      <c r="C4449" t="str">
        <f t="shared" si="275"/>
        <v>4</v>
      </c>
      <c r="D4449">
        <v>27</v>
      </c>
      <c r="E4449" t="str">
        <f>"589"</f>
        <v>589</v>
      </c>
      <c r="F4449" t="str">
        <f t="shared" si="276"/>
        <v>0000</v>
      </c>
    </row>
    <row r="4450" spans="1:6">
      <c r="C4450" t="str">
        <f t="shared" si="275"/>
        <v>4</v>
      </c>
      <c r="D4450">
        <v>27</v>
      </c>
      <c r="E4450" t="str">
        <f>"587"</f>
        <v>587</v>
      </c>
      <c r="F4450" t="str">
        <f t="shared" si="276"/>
        <v>0000</v>
      </c>
    </row>
    <row r="4451" spans="1:6">
      <c r="A4451" t="str">
        <f>"E1235-570"</f>
        <v>E1235-570</v>
      </c>
      <c r="B4451" t="str">
        <f>"VIA FELICE MARITANO  95-"</f>
        <v>VIA FELICE MARITANO  95-</v>
      </c>
      <c r="C4451" t="str">
        <f t="shared" si="275"/>
        <v>4</v>
      </c>
      <c r="D4451">
        <v>27</v>
      </c>
      <c r="E4451" t="str">
        <f>"124"</f>
        <v>124</v>
      </c>
      <c r="F4451" t="str">
        <f t="shared" si="276"/>
        <v>0000</v>
      </c>
    </row>
    <row r="4452" spans="1:6">
      <c r="C4452" t="str">
        <f t="shared" si="275"/>
        <v>4</v>
      </c>
      <c r="D4452">
        <v>27</v>
      </c>
      <c r="E4452" t="str">
        <f>"1422"</f>
        <v>1422</v>
      </c>
      <c r="F4452" t="str">
        <f t="shared" si="276"/>
        <v>0000</v>
      </c>
    </row>
    <row r="4453" spans="1:6">
      <c r="C4453" t="str">
        <f t="shared" si="275"/>
        <v>4</v>
      </c>
      <c r="D4453">
        <v>27</v>
      </c>
      <c r="E4453" t="str">
        <f>"587"</f>
        <v>587</v>
      </c>
      <c r="F4453" t="str">
        <f t="shared" si="276"/>
        <v>0000</v>
      </c>
    </row>
    <row r="4454" spans="1:6">
      <c r="C4454" t="str">
        <f t="shared" si="275"/>
        <v>4</v>
      </c>
      <c r="D4454">
        <v>27</v>
      </c>
      <c r="E4454" t="str">
        <f>"99999"</f>
        <v>99999</v>
      </c>
      <c r="F4454" t="str">
        <f t="shared" si="276"/>
        <v>0000</v>
      </c>
    </row>
    <row r="4455" spans="1:6">
      <c r="C4455" t="str">
        <f t="shared" si="275"/>
        <v>4</v>
      </c>
      <c r="D4455">
        <v>27</v>
      </c>
      <c r="E4455" t="str">
        <f>"975"</f>
        <v>975</v>
      </c>
      <c r="F4455" t="str">
        <f t="shared" si="276"/>
        <v>0000</v>
      </c>
    </row>
    <row r="4456" spans="1:6">
      <c r="C4456" t="str">
        <f t="shared" si="275"/>
        <v>4</v>
      </c>
      <c r="D4456">
        <v>27</v>
      </c>
      <c r="E4456" t="str">
        <f>"678"</f>
        <v>678</v>
      </c>
      <c r="F4456" t="str">
        <f t="shared" si="276"/>
        <v>0000</v>
      </c>
    </row>
    <row r="4457" spans="1:6">
      <c r="C4457" t="str">
        <f t="shared" si="275"/>
        <v>4</v>
      </c>
      <c r="D4457">
        <v>27</v>
      </c>
      <c r="E4457" t="str">
        <f>"677"</f>
        <v>677</v>
      </c>
      <c r="F4457" t="str">
        <f t="shared" si="276"/>
        <v>0000</v>
      </c>
    </row>
    <row r="4458" spans="1:6">
      <c r="C4458" t="str">
        <f t="shared" si="275"/>
        <v>4</v>
      </c>
      <c r="D4458">
        <v>27</v>
      </c>
      <c r="E4458" t="str">
        <f>"676"</f>
        <v>676</v>
      </c>
      <c r="F4458" t="str">
        <f t="shared" si="276"/>
        <v>0000</v>
      </c>
    </row>
    <row r="4459" spans="1:6">
      <c r="C4459" t="str">
        <f t="shared" si="275"/>
        <v>4</v>
      </c>
      <c r="D4459">
        <v>27</v>
      </c>
      <c r="E4459" t="str">
        <f>"589"</f>
        <v>589</v>
      </c>
      <c r="F4459" t="str">
        <f t="shared" si="276"/>
        <v>0000</v>
      </c>
    </row>
    <row r="4460" spans="1:6">
      <c r="C4460" t="str">
        <f t="shared" si="275"/>
        <v>4</v>
      </c>
      <c r="D4460">
        <v>27</v>
      </c>
      <c r="E4460" t="str">
        <f>"588"</f>
        <v>588</v>
      </c>
      <c r="F4460" t="str">
        <f t="shared" si="276"/>
        <v>0000</v>
      </c>
    </row>
    <row r="4461" spans="1:6">
      <c r="C4461" t="str">
        <f t="shared" si="275"/>
        <v>4</v>
      </c>
      <c r="D4461">
        <v>27</v>
      </c>
      <c r="E4461" t="str">
        <f>"1855"</f>
        <v>1855</v>
      </c>
      <c r="F4461" t="str">
        <f t="shared" si="276"/>
        <v>0000</v>
      </c>
    </row>
    <row r="4462" spans="1:6">
      <c r="C4462" t="str">
        <f t="shared" si="275"/>
        <v>4</v>
      </c>
      <c r="D4462">
        <v>27</v>
      </c>
      <c r="E4462" t="str">
        <f>"1421"</f>
        <v>1421</v>
      </c>
      <c r="F4462" t="str">
        <f t="shared" si="276"/>
        <v>0000</v>
      </c>
    </row>
    <row r="4463" spans="1:6">
      <c r="C4463" t="str">
        <f t="shared" si="275"/>
        <v>4</v>
      </c>
      <c r="D4463">
        <v>27</v>
      </c>
      <c r="E4463" t="str">
        <f>"1241"</f>
        <v>1241</v>
      </c>
      <c r="F4463" t="str">
        <f t="shared" si="276"/>
        <v>0000</v>
      </c>
    </row>
    <row r="4464" spans="1:6">
      <c r="A4464" t="str">
        <f>"E1235-571"</f>
        <v>E1235-571</v>
      </c>
      <c r="B4464" t="str">
        <f>"VIA FELICE MARITANO  95-"</f>
        <v>VIA FELICE MARITANO  95-</v>
      </c>
      <c r="C4464" t="str">
        <f t="shared" si="275"/>
        <v>4</v>
      </c>
      <c r="D4464">
        <v>27</v>
      </c>
      <c r="E4464" t="str">
        <f>"124"</f>
        <v>124</v>
      </c>
      <c r="F4464" t="str">
        <f t="shared" si="276"/>
        <v>0000</v>
      </c>
    </row>
    <row r="4465" spans="1:6">
      <c r="C4465" t="str">
        <f t="shared" si="275"/>
        <v>4</v>
      </c>
      <c r="D4465">
        <v>27</v>
      </c>
      <c r="E4465" t="str">
        <f>"1241"</f>
        <v>1241</v>
      </c>
      <c r="F4465" t="str">
        <f t="shared" si="276"/>
        <v>0000</v>
      </c>
    </row>
    <row r="4466" spans="1:6">
      <c r="C4466" t="str">
        <f t="shared" si="275"/>
        <v>4</v>
      </c>
      <c r="D4466">
        <v>27</v>
      </c>
      <c r="E4466" t="str">
        <f>"1421"</f>
        <v>1421</v>
      </c>
      <c r="F4466" t="str">
        <f t="shared" si="276"/>
        <v>0000</v>
      </c>
    </row>
    <row r="4467" spans="1:6">
      <c r="C4467" t="str">
        <f t="shared" si="275"/>
        <v>4</v>
      </c>
      <c r="D4467">
        <v>27</v>
      </c>
      <c r="E4467" t="str">
        <f>"1855"</f>
        <v>1855</v>
      </c>
      <c r="F4467" t="str">
        <f t="shared" si="276"/>
        <v>0000</v>
      </c>
    </row>
    <row r="4468" spans="1:6">
      <c r="C4468" t="str">
        <f t="shared" si="275"/>
        <v>4</v>
      </c>
      <c r="D4468">
        <v>27</v>
      </c>
      <c r="E4468" t="str">
        <f>"588"</f>
        <v>588</v>
      </c>
      <c r="F4468" t="str">
        <f t="shared" si="276"/>
        <v>0000</v>
      </c>
    </row>
    <row r="4469" spans="1:6">
      <c r="C4469" t="str">
        <f t="shared" si="275"/>
        <v>4</v>
      </c>
      <c r="D4469">
        <v>27</v>
      </c>
      <c r="E4469" t="str">
        <f>"676"</f>
        <v>676</v>
      </c>
      <c r="F4469" t="str">
        <f t="shared" si="276"/>
        <v>0000</v>
      </c>
    </row>
    <row r="4470" spans="1:6">
      <c r="C4470" t="str">
        <f t="shared" si="275"/>
        <v>4</v>
      </c>
      <c r="D4470">
        <v>27</v>
      </c>
      <c r="E4470" t="str">
        <f>"99999"</f>
        <v>99999</v>
      </c>
      <c r="F4470" t="str">
        <f t="shared" si="276"/>
        <v>0000</v>
      </c>
    </row>
    <row r="4471" spans="1:6">
      <c r="C4471" t="str">
        <f t="shared" si="275"/>
        <v>4</v>
      </c>
      <c r="D4471">
        <v>27</v>
      </c>
      <c r="E4471" t="str">
        <f>"975"</f>
        <v>975</v>
      </c>
      <c r="F4471" t="str">
        <f t="shared" si="276"/>
        <v>0000</v>
      </c>
    </row>
    <row r="4472" spans="1:6">
      <c r="C4472" t="str">
        <f t="shared" si="275"/>
        <v>4</v>
      </c>
      <c r="D4472">
        <v>27</v>
      </c>
      <c r="E4472" t="str">
        <f>"678"</f>
        <v>678</v>
      </c>
      <c r="F4472" t="str">
        <f t="shared" si="276"/>
        <v>0000</v>
      </c>
    </row>
    <row r="4473" spans="1:6">
      <c r="C4473" t="str">
        <f t="shared" si="275"/>
        <v>4</v>
      </c>
      <c r="D4473">
        <v>27</v>
      </c>
      <c r="E4473" t="str">
        <f>"677"</f>
        <v>677</v>
      </c>
      <c r="F4473" t="str">
        <f t="shared" si="276"/>
        <v>0000</v>
      </c>
    </row>
    <row r="4474" spans="1:6">
      <c r="C4474" t="str">
        <f t="shared" si="275"/>
        <v>4</v>
      </c>
      <c r="D4474">
        <v>27</v>
      </c>
      <c r="E4474" t="str">
        <f>"589"</f>
        <v>589</v>
      </c>
      <c r="F4474" t="str">
        <f t="shared" si="276"/>
        <v>0000</v>
      </c>
    </row>
    <row r="4475" spans="1:6">
      <c r="C4475" t="str">
        <f t="shared" ref="C4475:C4538" si="277">"4"</f>
        <v>4</v>
      </c>
      <c r="D4475">
        <v>27</v>
      </c>
      <c r="E4475" t="str">
        <f>"587"</f>
        <v>587</v>
      </c>
      <c r="F4475" t="str">
        <f t="shared" ref="F4475:F4538" si="278">"0000"</f>
        <v>0000</v>
      </c>
    </row>
    <row r="4476" spans="1:6">
      <c r="C4476" t="str">
        <f t="shared" si="277"/>
        <v>4</v>
      </c>
      <c r="D4476">
        <v>27</v>
      </c>
      <c r="E4476" t="str">
        <f>"1422"</f>
        <v>1422</v>
      </c>
      <c r="F4476" t="str">
        <f t="shared" si="278"/>
        <v>0000</v>
      </c>
    </row>
    <row r="4477" spans="1:6">
      <c r="A4477" t="str">
        <f>"E1235-572"</f>
        <v>E1235-572</v>
      </c>
      <c r="B4477" t="str">
        <f>"VIA FELICE MARITANO  95-"</f>
        <v>VIA FELICE MARITANO  95-</v>
      </c>
      <c r="C4477" t="str">
        <f t="shared" si="277"/>
        <v>4</v>
      </c>
      <c r="D4477">
        <v>27</v>
      </c>
      <c r="E4477" t="str">
        <f>"124"</f>
        <v>124</v>
      </c>
      <c r="F4477" t="str">
        <f t="shared" si="278"/>
        <v>0000</v>
      </c>
    </row>
    <row r="4478" spans="1:6">
      <c r="C4478" t="str">
        <f t="shared" si="277"/>
        <v>4</v>
      </c>
      <c r="D4478">
        <v>27</v>
      </c>
      <c r="E4478" t="str">
        <f>"99999"</f>
        <v>99999</v>
      </c>
      <c r="F4478" t="str">
        <f t="shared" si="278"/>
        <v>0000</v>
      </c>
    </row>
    <row r="4479" spans="1:6">
      <c r="C4479" t="str">
        <f t="shared" si="277"/>
        <v>4</v>
      </c>
      <c r="D4479">
        <v>27</v>
      </c>
      <c r="E4479" t="str">
        <f>"975"</f>
        <v>975</v>
      </c>
      <c r="F4479" t="str">
        <f t="shared" si="278"/>
        <v>0000</v>
      </c>
    </row>
    <row r="4480" spans="1:6">
      <c r="C4480" t="str">
        <f t="shared" si="277"/>
        <v>4</v>
      </c>
      <c r="D4480">
        <v>27</v>
      </c>
      <c r="E4480" t="str">
        <f>"678"</f>
        <v>678</v>
      </c>
      <c r="F4480" t="str">
        <f t="shared" si="278"/>
        <v>0000</v>
      </c>
    </row>
    <row r="4481" spans="1:6">
      <c r="C4481" t="str">
        <f t="shared" si="277"/>
        <v>4</v>
      </c>
      <c r="D4481">
        <v>27</v>
      </c>
      <c r="E4481" t="str">
        <f>"677"</f>
        <v>677</v>
      </c>
      <c r="F4481" t="str">
        <f t="shared" si="278"/>
        <v>0000</v>
      </c>
    </row>
    <row r="4482" spans="1:6">
      <c r="C4482" t="str">
        <f t="shared" si="277"/>
        <v>4</v>
      </c>
      <c r="D4482">
        <v>27</v>
      </c>
      <c r="E4482" t="str">
        <f>"676"</f>
        <v>676</v>
      </c>
      <c r="F4482" t="str">
        <f t="shared" si="278"/>
        <v>0000</v>
      </c>
    </row>
    <row r="4483" spans="1:6">
      <c r="C4483" t="str">
        <f t="shared" si="277"/>
        <v>4</v>
      </c>
      <c r="D4483">
        <v>27</v>
      </c>
      <c r="E4483" t="str">
        <f>"589"</f>
        <v>589</v>
      </c>
      <c r="F4483" t="str">
        <f t="shared" si="278"/>
        <v>0000</v>
      </c>
    </row>
    <row r="4484" spans="1:6">
      <c r="C4484" t="str">
        <f t="shared" si="277"/>
        <v>4</v>
      </c>
      <c r="D4484">
        <v>27</v>
      </c>
      <c r="E4484" t="str">
        <f>"588"</f>
        <v>588</v>
      </c>
      <c r="F4484" t="str">
        <f t="shared" si="278"/>
        <v>0000</v>
      </c>
    </row>
    <row r="4485" spans="1:6">
      <c r="C4485" t="str">
        <f t="shared" si="277"/>
        <v>4</v>
      </c>
      <c r="D4485">
        <v>27</v>
      </c>
      <c r="E4485" t="str">
        <f>"587"</f>
        <v>587</v>
      </c>
      <c r="F4485" t="str">
        <f t="shared" si="278"/>
        <v>0000</v>
      </c>
    </row>
    <row r="4486" spans="1:6">
      <c r="C4486" t="str">
        <f t="shared" si="277"/>
        <v>4</v>
      </c>
      <c r="D4486">
        <v>27</v>
      </c>
      <c r="E4486" t="str">
        <f>"1855"</f>
        <v>1855</v>
      </c>
      <c r="F4486" t="str">
        <f t="shared" si="278"/>
        <v>0000</v>
      </c>
    </row>
    <row r="4487" spans="1:6">
      <c r="C4487" t="str">
        <f t="shared" si="277"/>
        <v>4</v>
      </c>
      <c r="D4487">
        <v>27</v>
      </c>
      <c r="E4487" t="str">
        <f>"1241"</f>
        <v>1241</v>
      </c>
      <c r="F4487" t="str">
        <f t="shared" si="278"/>
        <v>0000</v>
      </c>
    </row>
    <row r="4488" spans="1:6">
      <c r="C4488" t="str">
        <f t="shared" si="277"/>
        <v>4</v>
      </c>
      <c r="D4488">
        <v>27</v>
      </c>
      <c r="E4488" t="str">
        <f>"1422"</f>
        <v>1422</v>
      </c>
      <c r="F4488" t="str">
        <f t="shared" si="278"/>
        <v>0000</v>
      </c>
    </row>
    <row r="4489" spans="1:6">
      <c r="C4489" t="str">
        <f t="shared" si="277"/>
        <v>4</v>
      </c>
      <c r="D4489">
        <v>27</v>
      </c>
      <c r="E4489" t="str">
        <f>"1421"</f>
        <v>1421</v>
      </c>
      <c r="F4489" t="str">
        <f t="shared" si="278"/>
        <v>0000</v>
      </c>
    </row>
    <row r="4490" spans="1:6">
      <c r="A4490" t="str">
        <f>"E1235-573"</f>
        <v>E1235-573</v>
      </c>
      <c r="B4490" t="str">
        <f>"VIA FELICE MARITANO  95-"</f>
        <v>VIA FELICE MARITANO  95-</v>
      </c>
      <c r="C4490" t="str">
        <f t="shared" si="277"/>
        <v>4</v>
      </c>
      <c r="D4490">
        <v>27</v>
      </c>
      <c r="E4490" t="str">
        <f>"124"</f>
        <v>124</v>
      </c>
      <c r="F4490" t="str">
        <f t="shared" si="278"/>
        <v>0000</v>
      </c>
    </row>
    <row r="4491" spans="1:6">
      <c r="C4491" t="str">
        <f t="shared" si="277"/>
        <v>4</v>
      </c>
      <c r="D4491">
        <v>27</v>
      </c>
      <c r="E4491" t="str">
        <f>"1241"</f>
        <v>1241</v>
      </c>
      <c r="F4491" t="str">
        <f t="shared" si="278"/>
        <v>0000</v>
      </c>
    </row>
    <row r="4492" spans="1:6">
      <c r="C4492" t="str">
        <f t="shared" si="277"/>
        <v>4</v>
      </c>
      <c r="D4492">
        <v>27</v>
      </c>
      <c r="E4492" t="str">
        <f>"1422"</f>
        <v>1422</v>
      </c>
      <c r="F4492" t="str">
        <f t="shared" si="278"/>
        <v>0000</v>
      </c>
    </row>
    <row r="4493" spans="1:6">
      <c r="C4493" t="str">
        <f t="shared" si="277"/>
        <v>4</v>
      </c>
      <c r="D4493">
        <v>27</v>
      </c>
      <c r="E4493" t="str">
        <f>"587"</f>
        <v>587</v>
      </c>
      <c r="F4493" t="str">
        <f t="shared" si="278"/>
        <v>0000</v>
      </c>
    </row>
    <row r="4494" spans="1:6">
      <c r="C4494" t="str">
        <f t="shared" si="277"/>
        <v>4</v>
      </c>
      <c r="D4494">
        <v>27</v>
      </c>
      <c r="E4494" t="str">
        <f>"589"</f>
        <v>589</v>
      </c>
      <c r="F4494" t="str">
        <f t="shared" si="278"/>
        <v>0000</v>
      </c>
    </row>
    <row r="4495" spans="1:6">
      <c r="C4495" t="str">
        <f t="shared" si="277"/>
        <v>4</v>
      </c>
      <c r="D4495">
        <v>27</v>
      </c>
      <c r="E4495" t="str">
        <f>"99999"</f>
        <v>99999</v>
      </c>
      <c r="F4495" t="str">
        <f t="shared" si="278"/>
        <v>0000</v>
      </c>
    </row>
    <row r="4496" spans="1:6">
      <c r="C4496" t="str">
        <f t="shared" si="277"/>
        <v>4</v>
      </c>
      <c r="D4496">
        <v>27</v>
      </c>
      <c r="E4496" t="str">
        <f>"975"</f>
        <v>975</v>
      </c>
      <c r="F4496" t="str">
        <f t="shared" si="278"/>
        <v>0000</v>
      </c>
    </row>
    <row r="4497" spans="1:6">
      <c r="C4497" t="str">
        <f t="shared" si="277"/>
        <v>4</v>
      </c>
      <c r="D4497">
        <v>27</v>
      </c>
      <c r="E4497" t="str">
        <f>"678"</f>
        <v>678</v>
      </c>
      <c r="F4497" t="str">
        <f t="shared" si="278"/>
        <v>0000</v>
      </c>
    </row>
    <row r="4498" spans="1:6">
      <c r="C4498" t="str">
        <f t="shared" si="277"/>
        <v>4</v>
      </c>
      <c r="D4498">
        <v>27</v>
      </c>
      <c r="E4498" t="str">
        <f>"677"</f>
        <v>677</v>
      </c>
      <c r="F4498" t="str">
        <f t="shared" si="278"/>
        <v>0000</v>
      </c>
    </row>
    <row r="4499" spans="1:6">
      <c r="C4499" t="str">
        <f t="shared" si="277"/>
        <v>4</v>
      </c>
      <c r="D4499">
        <v>27</v>
      </c>
      <c r="E4499" t="str">
        <f>"676"</f>
        <v>676</v>
      </c>
      <c r="F4499" t="str">
        <f t="shared" si="278"/>
        <v>0000</v>
      </c>
    </row>
    <row r="4500" spans="1:6">
      <c r="C4500" t="str">
        <f t="shared" si="277"/>
        <v>4</v>
      </c>
      <c r="D4500">
        <v>27</v>
      </c>
      <c r="E4500" t="str">
        <f>"588"</f>
        <v>588</v>
      </c>
      <c r="F4500" t="str">
        <f t="shared" si="278"/>
        <v>0000</v>
      </c>
    </row>
    <row r="4501" spans="1:6">
      <c r="C4501" t="str">
        <f t="shared" si="277"/>
        <v>4</v>
      </c>
      <c r="D4501">
        <v>27</v>
      </c>
      <c r="E4501" t="str">
        <f>"1855"</f>
        <v>1855</v>
      </c>
      <c r="F4501" t="str">
        <f t="shared" si="278"/>
        <v>0000</v>
      </c>
    </row>
    <row r="4502" spans="1:6">
      <c r="C4502" t="str">
        <f t="shared" si="277"/>
        <v>4</v>
      </c>
      <c r="D4502">
        <v>27</v>
      </c>
      <c r="E4502" t="str">
        <f>"1421"</f>
        <v>1421</v>
      </c>
      <c r="F4502" t="str">
        <f t="shared" si="278"/>
        <v>0000</v>
      </c>
    </row>
    <row r="4503" spans="1:6">
      <c r="A4503" t="str">
        <f>"E1235-574"</f>
        <v>E1235-574</v>
      </c>
      <c r="B4503" t="str">
        <f>"VIA FELICE MARITANO  95-"</f>
        <v>VIA FELICE MARITANO  95-</v>
      </c>
      <c r="C4503" t="str">
        <f t="shared" si="277"/>
        <v>4</v>
      </c>
      <c r="D4503">
        <v>27</v>
      </c>
      <c r="E4503" t="str">
        <f>"124"</f>
        <v>124</v>
      </c>
      <c r="F4503" t="str">
        <f t="shared" si="278"/>
        <v>0000</v>
      </c>
    </row>
    <row r="4504" spans="1:6">
      <c r="C4504" t="str">
        <f t="shared" si="277"/>
        <v>4</v>
      </c>
      <c r="D4504">
        <v>27</v>
      </c>
      <c r="E4504" t="str">
        <f>"1421"</f>
        <v>1421</v>
      </c>
      <c r="F4504" t="str">
        <f t="shared" si="278"/>
        <v>0000</v>
      </c>
    </row>
    <row r="4505" spans="1:6">
      <c r="C4505" t="str">
        <f t="shared" si="277"/>
        <v>4</v>
      </c>
      <c r="D4505">
        <v>27</v>
      </c>
      <c r="E4505" t="str">
        <f>"1422"</f>
        <v>1422</v>
      </c>
      <c r="F4505" t="str">
        <f t="shared" si="278"/>
        <v>0000</v>
      </c>
    </row>
    <row r="4506" spans="1:6">
      <c r="C4506" t="str">
        <f t="shared" si="277"/>
        <v>4</v>
      </c>
      <c r="D4506">
        <v>27</v>
      </c>
      <c r="E4506" t="str">
        <f>"1241"</f>
        <v>1241</v>
      </c>
      <c r="F4506" t="str">
        <f t="shared" si="278"/>
        <v>0000</v>
      </c>
    </row>
    <row r="4507" spans="1:6">
      <c r="C4507" t="str">
        <f t="shared" si="277"/>
        <v>4</v>
      </c>
      <c r="D4507">
        <v>27</v>
      </c>
      <c r="E4507" t="str">
        <f>"1855"</f>
        <v>1855</v>
      </c>
      <c r="F4507" t="str">
        <f t="shared" si="278"/>
        <v>0000</v>
      </c>
    </row>
    <row r="4508" spans="1:6">
      <c r="C4508" t="str">
        <f t="shared" si="277"/>
        <v>4</v>
      </c>
      <c r="D4508">
        <v>27</v>
      </c>
      <c r="E4508" t="str">
        <f>"588"</f>
        <v>588</v>
      </c>
      <c r="F4508" t="str">
        <f t="shared" si="278"/>
        <v>0000</v>
      </c>
    </row>
    <row r="4509" spans="1:6">
      <c r="C4509" t="str">
        <f t="shared" si="277"/>
        <v>4</v>
      </c>
      <c r="D4509">
        <v>27</v>
      </c>
      <c r="E4509" t="str">
        <f>"676"</f>
        <v>676</v>
      </c>
      <c r="F4509" t="str">
        <f t="shared" si="278"/>
        <v>0000</v>
      </c>
    </row>
    <row r="4510" spans="1:6">
      <c r="C4510" t="str">
        <f t="shared" si="277"/>
        <v>4</v>
      </c>
      <c r="D4510">
        <v>27</v>
      </c>
      <c r="E4510" t="str">
        <f>"678"</f>
        <v>678</v>
      </c>
      <c r="F4510" t="str">
        <f t="shared" si="278"/>
        <v>0000</v>
      </c>
    </row>
    <row r="4511" spans="1:6">
      <c r="C4511" t="str">
        <f t="shared" si="277"/>
        <v>4</v>
      </c>
      <c r="D4511">
        <v>27</v>
      </c>
      <c r="E4511" t="str">
        <f>"99999"</f>
        <v>99999</v>
      </c>
      <c r="F4511" t="str">
        <f t="shared" si="278"/>
        <v>0000</v>
      </c>
    </row>
    <row r="4512" spans="1:6">
      <c r="C4512" t="str">
        <f t="shared" si="277"/>
        <v>4</v>
      </c>
      <c r="D4512">
        <v>27</v>
      </c>
      <c r="E4512" t="str">
        <f>"975"</f>
        <v>975</v>
      </c>
      <c r="F4512" t="str">
        <f t="shared" si="278"/>
        <v>0000</v>
      </c>
    </row>
    <row r="4513" spans="1:6">
      <c r="C4513" t="str">
        <f t="shared" si="277"/>
        <v>4</v>
      </c>
      <c r="D4513">
        <v>27</v>
      </c>
      <c r="E4513" t="str">
        <f>"677"</f>
        <v>677</v>
      </c>
      <c r="F4513" t="str">
        <f t="shared" si="278"/>
        <v>0000</v>
      </c>
    </row>
    <row r="4514" spans="1:6">
      <c r="C4514" t="str">
        <f t="shared" si="277"/>
        <v>4</v>
      </c>
      <c r="D4514">
        <v>27</v>
      </c>
      <c r="E4514" t="str">
        <f>"589"</f>
        <v>589</v>
      </c>
      <c r="F4514" t="str">
        <f t="shared" si="278"/>
        <v>0000</v>
      </c>
    </row>
    <row r="4515" spans="1:6">
      <c r="C4515" t="str">
        <f t="shared" si="277"/>
        <v>4</v>
      </c>
      <c r="D4515">
        <v>27</v>
      </c>
      <c r="E4515" t="str">
        <f>"587"</f>
        <v>587</v>
      </c>
      <c r="F4515" t="str">
        <f t="shared" si="278"/>
        <v>0000</v>
      </c>
    </row>
    <row r="4516" spans="1:6">
      <c r="A4516" t="str">
        <f>"E1235-575"</f>
        <v>E1235-575</v>
      </c>
      <c r="B4516" t="str">
        <f>"VIA FELICE MARITANO  95-"</f>
        <v>VIA FELICE MARITANO  95-</v>
      </c>
      <c r="C4516" t="str">
        <f t="shared" si="277"/>
        <v>4</v>
      </c>
      <c r="D4516">
        <v>27</v>
      </c>
      <c r="E4516" t="str">
        <f>"124"</f>
        <v>124</v>
      </c>
      <c r="F4516" t="str">
        <f t="shared" si="278"/>
        <v>0000</v>
      </c>
    </row>
    <row r="4517" spans="1:6">
      <c r="C4517" t="str">
        <f t="shared" si="277"/>
        <v>4</v>
      </c>
      <c r="D4517">
        <v>27</v>
      </c>
      <c r="E4517" t="str">
        <f>"1422"</f>
        <v>1422</v>
      </c>
      <c r="F4517" t="str">
        <f t="shared" si="278"/>
        <v>0000</v>
      </c>
    </row>
    <row r="4518" spans="1:6">
      <c r="C4518" t="str">
        <f t="shared" si="277"/>
        <v>4</v>
      </c>
      <c r="D4518">
        <v>27</v>
      </c>
      <c r="E4518" t="str">
        <f>"587"</f>
        <v>587</v>
      </c>
      <c r="F4518" t="str">
        <f t="shared" si="278"/>
        <v>0000</v>
      </c>
    </row>
    <row r="4519" spans="1:6">
      <c r="C4519" t="str">
        <f t="shared" si="277"/>
        <v>4</v>
      </c>
      <c r="D4519">
        <v>27</v>
      </c>
      <c r="E4519" t="str">
        <f>"99999"</f>
        <v>99999</v>
      </c>
      <c r="F4519" t="str">
        <f t="shared" si="278"/>
        <v>0000</v>
      </c>
    </row>
    <row r="4520" spans="1:6">
      <c r="C4520" t="str">
        <f t="shared" si="277"/>
        <v>4</v>
      </c>
      <c r="D4520">
        <v>27</v>
      </c>
      <c r="E4520" t="str">
        <f>"975"</f>
        <v>975</v>
      </c>
      <c r="F4520" t="str">
        <f t="shared" si="278"/>
        <v>0000</v>
      </c>
    </row>
    <row r="4521" spans="1:6">
      <c r="C4521" t="str">
        <f t="shared" si="277"/>
        <v>4</v>
      </c>
      <c r="D4521">
        <v>27</v>
      </c>
      <c r="E4521" t="str">
        <f>"678"</f>
        <v>678</v>
      </c>
      <c r="F4521" t="str">
        <f t="shared" si="278"/>
        <v>0000</v>
      </c>
    </row>
    <row r="4522" spans="1:6">
      <c r="C4522" t="str">
        <f t="shared" si="277"/>
        <v>4</v>
      </c>
      <c r="D4522">
        <v>27</v>
      </c>
      <c r="E4522" t="str">
        <f>"677"</f>
        <v>677</v>
      </c>
      <c r="F4522" t="str">
        <f t="shared" si="278"/>
        <v>0000</v>
      </c>
    </row>
    <row r="4523" spans="1:6">
      <c r="C4523" t="str">
        <f t="shared" si="277"/>
        <v>4</v>
      </c>
      <c r="D4523">
        <v>27</v>
      </c>
      <c r="E4523" t="str">
        <f>"676"</f>
        <v>676</v>
      </c>
      <c r="F4523" t="str">
        <f t="shared" si="278"/>
        <v>0000</v>
      </c>
    </row>
    <row r="4524" spans="1:6">
      <c r="C4524" t="str">
        <f t="shared" si="277"/>
        <v>4</v>
      </c>
      <c r="D4524">
        <v>27</v>
      </c>
      <c r="E4524" t="str">
        <f>"589"</f>
        <v>589</v>
      </c>
      <c r="F4524" t="str">
        <f t="shared" si="278"/>
        <v>0000</v>
      </c>
    </row>
    <row r="4525" spans="1:6">
      <c r="C4525" t="str">
        <f t="shared" si="277"/>
        <v>4</v>
      </c>
      <c r="D4525">
        <v>27</v>
      </c>
      <c r="E4525" t="str">
        <f>"588"</f>
        <v>588</v>
      </c>
      <c r="F4525" t="str">
        <f t="shared" si="278"/>
        <v>0000</v>
      </c>
    </row>
    <row r="4526" spans="1:6">
      <c r="C4526" t="str">
        <f t="shared" si="277"/>
        <v>4</v>
      </c>
      <c r="D4526">
        <v>27</v>
      </c>
      <c r="E4526" t="str">
        <f>"1855"</f>
        <v>1855</v>
      </c>
      <c r="F4526" t="str">
        <f t="shared" si="278"/>
        <v>0000</v>
      </c>
    </row>
    <row r="4527" spans="1:6">
      <c r="C4527" t="str">
        <f t="shared" si="277"/>
        <v>4</v>
      </c>
      <c r="D4527">
        <v>27</v>
      </c>
      <c r="E4527" t="str">
        <f>"1421"</f>
        <v>1421</v>
      </c>
      <c r="F4527" t="str">
        <f t="shared" si="278"/>
        <v>0000</v>
      </c>
    </row>
    <row r="4528" spans="1:6">
      <c r="C4528" t="str">
        <f t="shared" si="277"/>
        <v>4</v>
      </c>
      <c r="D4528">
        <v>27</v>
      </c>
      <c r="E4528" t="str">
        <f>"1241"</f>
        <v>1241</v>
      </c>
      <c r="F4528" t="str">
        <f t="shared" si="278"/>
        <v>0000</v>
      </c>
    </row>
    <row r="4529" spans="1:6">
      <c r="A4529" t="str">
        <f>"E1235-576"</f>
        <v>E1235-576</v>
      </c>
      <c r="B4529" t="str">
        <f>"VIA FELICE MARITANO  95-"</f>
        <v>VIA FELICE MARITANO  95-</v>
      </c>
      <c r="C4529" t="str">
        <f t="shared" si="277"/>
        <v>4</v>
      </c>
      <c r="D4529">
        <v>27</v>
      </c>
      <c r="E4529" t="str">
        <f>"124"</f>
        <v>124</v>
      </c>
      <c r="F4529" t="str">
        <f t="shared" si="278"/>
        <v>0000</v>
      </c>
    </row>
    <row r="4530" spans="1:6">
      <c r="C4530" t="str">
        <f t="shared" si="277"/>
        <v>4</v>
      </c>
      <c r="D4530">
        <v>27</v>
      </c>
      <c r="E4530" t="str">
        <f>"1241"</f>
        <v>1241</v>
      </c>
      <c r="F4530" t="str">
        <f t="shared" si="278"/>
        <v>0000</v>
      </c>
    </row>
    <row r="4531" spans="1:6">
      <c r="C4531" t="str">
        <f t="shared" si="277"/>
        <v>4</v>
      </c>
      <c r="D4531">
        <v>27</v>
      </c>
      <c r="E4531" t="str">
        <f>"1421"</f>
        <v>1421</v>
      </c>
      <c r="F4531" t="str">
        <f t="shared" si="278"/>
        <v>0000</v>
      </c>
    </row>
    <row r="4532" spans="1:6">
      <c r="C4532" t="str">
        <f t="shared" si="277"/>
        <v>4</v>
      </c>
      <c r="D4532">
        <v>27</v>
      </c>
      <c r="E4532" t="str">
        <f>"1855"</f>
        <v>1855</v>
      </c>
      <c r="F4532" t="str">
        <f t="shared" si="278"/>
        <v>0000</v>
      </c>
    </row>
    <row r="4533" spans="1:6">
      <c r="C4533" t="str">
        <f t="shared" si="277"/>
        <v>4</v>
      </c>
      <c r="D4533">
        <v>27</v>
      </c>
      <c r="E4533" t="str">
        <f>"588"</f>
        <v>588</v>
      </c>
      <c r="F4533" t="str">
        <f t="shared" si="278"/>
        <v>0000</v>
      </c>
    </row>
    <row r="4534" spans="1:6">
      <c r="C4534" t="str">
        <f t="shared" si="277"/>
        <v>4</v>
      </c>
      <c r="D4534">
        <v>27</v>
      </c>
      <c r="E4534" t="str">
        <f>"676"</f>
        <v>676</v>
      </c>
      <c r="F4534" t="str">
        <f t="shared" si="278"/>
        <v>0000</v>
      </c>
    </row>
    <row r="4535" spans="1:6">
      <c r="C4535" t="str">
        <f t="shared" si="277"/>
        <v>4</v>
      </c>
      <c r="D4535">
        <v>27</v>
      </c>
      <c r="E4535" t="str">
        <f>"99999"</f>
        <v>99999</v>
      </c>
      <c r="F4535" t="str">
        <f t="shared" si="278"/>
        <v>0000</v>
      </c>
    </row>
    <row r="4536" spans="1:6">
      <c r="C4536" t="str">
        <f t="shared" si="277"/>
        <v>4</v>
      </c>
      <c r="D4536">
        <v>27</v>
      </c>
      <c r="E4536" t="str">
        <f>"975"</f>
        <v>975</v>
      </c>
      <c r="F4536" t="str">
        <f t="shared" si="278"/>
        <v>0000</v>
      </c>
    </row>
    <row r="4537" spans="1:6">
      <c r="C4537" t="str">
        <f t="shared" si="277"/>
        <v>4</v>
      </c>
      <c r="D4537">
        <v>27</v>
      </c>
      <c r="E4537" t="str">
        <f>"678"</f>
        <v>678</v>
      </c>
      <c r="F4537" t="str">
        <f t="shared" si="278"/>
        <v>0000</v>
      </c>
    </row>
    <row r="4538" spans="1:6">
      <c r="C4538" t="str">
        <f t="shared" si="277"/>
        <v>4</v>
      </c>
      <c r="D4538">
        <v>27</v>
      </c>
      <c r="E4538" t="str">
        <f>"677"</f>
        <v>677</v>
      </c>
      <c r="F4538" t="str">
        <f t="shared" si="278"/>
        <v>0000</v>
      </c>
    </row>
    <row r="4539" spans="1:6">
      <c r="C4539" t="str">
        <f t="shared" ref="C4539:C4602" si="279">"4"</f>
        <v>4</v>
      </c>
      <c r="D4539">
        <v>27</v>
      </c>
      <c r="E4539" t="str">
        <f>"589"</f>
        <v>589</v>
      </c>
      <c r="F4539" t="str">
        <f t="shared" ref="F4539:F4602" si="280">"0000"</f>
        <v>0000</v>
      </c>
    </row>
    <row r="4540" spans="1:6">
      <c r="C4540" t="str">
        <f t="shared" si="279"/>
        <v>4</v>
      </c>
      <c r="D4540">
        <v>27</v>
      </c>
      <c r="E4540" t="str">
        <f>"587"</f>
        <v>587</v>
      </c>
      <c r="F4540" t="str">
        <f t="shared" si="280"/>
        <v>0000</v>
      </c>
    </row>
    <row r="4541" spans="1:6">
      <c r="C4541" t="str">
        <f t="shared" si="279"/>
        <v>4</v>
      </c>
      <c r="D4541">
        <v>27</v>
      </c>
      <c r="E4541" t="str">
        <f>"1422"</f>
        <v>1422</v>
      </c>
      <c r="F4541" t="str">
        <f t="shared" si="280"/>
        <v>0000</v>
      </c>
    </row>
    <row r="4542" spans="1:6">
      <c r="A4542" t="str">
        <f>"E1235-577"</f>
        <v>E1235-577</v>
      </c>
      <c r="B4542" t="str">
        <f>"VIA FELICE MARITANO  95-"</f>
        <v>VIA FELICE MARITANO  95-</v>
      </c>
      <c r="C4542" t="str">
        <f t="shared" si="279"/>
        <v>4</v>
      </c>
      <c r="D4542">
        <v>27</v>
      </c>
      <c r="E4542" t="str">
        <f>"124"</f>
        <v>124</v>
      </c>
      <c r="F4542" t="str">
        <f t="shared" si="280"/>
        <v>0000</v>
      </c>
    </row>
    <row r="4543" spans="1:6">
      <c r="C4543" t="str">
        <f t="shared" si="279"/>
        <v>4</v>
      </c>
      <c r="D4543">
        <v>27</v>
      </c>
      <c r="E4543" t="str">
        <f>"99999"</f>
        <v>99999</v>
      </c>
      <c r="F4543" t="str">
        <f t="shared" si="280"/>
        <v>0000</v>
      </c>
    </row>
    <row r="4544" spans="1:6">
      <c r="C4544" t="str">
        <f t="shared" si="279"/>
        <v>4</v>
      </c>
      <c r="D4544">
        <v>27</v>
      </c>
      <c r="E4544" t="str">
        <f>"975"</f>
        <v>975</v>
      </c>
      <c r="F4544" t="str">
        <f t="shared" si="280"/>
        <v>0000</v>
      </c>
    </row>
    <row r="4545" spans="1:6">
      <c r="C4545" t="str">
        <f t="shared" si="279"/>
        <v>4</v>
      </c>
      <c r="D4545">
        <v>27</v>
      </c>
      <c r="E4545" t="str">
        <f>"678"</f>
        <v>678</v>
      </c>
      <c r="F4545" t="str">
        <f t="shared" si="280"/>
        <v>0000</v>
      </c>
    </row>
    <row r="4546" spans="1:6">
      <c r="C4546" t="str">
        <f t="shared" si="279"/>
        <v>4</v>
      </c>
      <c r="D4546">
        <v>27</v>
      </c>
      <c r="E4546" t="str">
        <f>"677"</f>
        <v>677</v>
      </c>
      <c r="F4546" t="str">
        <f t="shared" si="280"/>
        <v>0000</v>
      </c>
    </row>
    <row r="4547" spans="1:6">
      <c r="C4547" t="str">
        <f t="shared" si="279"/>
        <v>4</v>
      </c>
      <c r="D4547">
        <v>27</v>
      </c>
      <c r="E4547" t="str">
        <f>"676"</f>
        <v>676</v>
      </c>
      <c r="F4547" t="str">
        <f t="shared" si="280"/>
        <v>0000</v>
      </c>
    </row>
    <row r="4548" spans="1:6">
      <c r="C4548" t="str">
        <f t="shared" si="279"/>
        <v>4</v>
      </c>
      <c r="D4548">
        <v>27</v>
      </c>
      <c r="E4548" t="str">
        <f>"589"</f>
        <v>589</v>
      </c>
      <c r="F4548" t="str">
        <f t="shared" si="280"/>
        <v>0000</v>
      </c>
    </row>
    <row r="4549" spans="1:6">
      <c r="C4549" t="str">
        <f t="shared" si="279"/>
        <v>4</v>
      </c>
      <c r="D4549">
        <v>27</v>
      </c>
      <c r="E4549" t="str">
        <f>"588"</f>
        <v>588</v>
      </c>
      <c r="F4549" t="str">
        <f t="shared" si="280"/>
        <v>0000</v>
      </c>
    </row>
    <row r="4550" spans="1:6">
      <c r="C4550" t="str">
        <f t="shared" si="279"/>
        <v>4</v>
      </c>
      <c r="D4550">
        <v>27</v>
      </c>
      <c r="E4550" t="str">
        <f>"587"</f>
        <v>587</v>
      </c>
      <c r="F4550" t="str">
        <f t="shared" si="280"/>
        <v>0000</v>
      </c>
    </row>
    <row r="4551" spans="1:6">
      <c r="C4551" t="str">
        <f t="shared" si="279"/>
        <v>4</v>
      </c>
      <c r="D4551">
        <v>27</v>
      </c>
      <c r="E4551" t="str">
        <f>"1855"</f>
        <v>1855</v>
      </c>
      <c r="F4551" t="str">
        <f t="shared" si="280"/>
        <v>0000</v>
      </c>
    </row>
    <row r="4552" spans="1:6">
      <c r="C4552" t="str">
        <f t="shared" si="279"/>
        <v>4</v>
      </c>
      <c r="D4552">
        <v>27</v>
      </c>
      <c r="E4552" t="str">
        <f>"1241"</f>
        <v>1241</v>
      </c>
      <c r="F4552" t="str">
        <f t="shared" si="280"/>
        <v>0000</v>
      </c>
    </row>
    <row r="4553" spans="1:6">
      <c r="C4553" t="str">
        <f t="shared" si="279"/>
        <v>4</v>
      </c>
      <c r="D4553">
        <v>27</v>
      </c>
      <c r="E4553" t="str">
        <f>"1422"</f>
        <v>1422</v>
      </c>
      <c r="F4553" t="str">
        <f t="shared" si="280"/>
        <v>0000</v>
      </c>
    </row>
    <row r="4554" spans="1:6">
      <c r="C4554" t="str">
        <f t="shared" si="279"/>
        <v>4</v>
      </c>
      <c r="D4554">
        <v>27</v>
      </c>
      <c r="E4554" t="str">
        <f>"1421"</f>
        <v>1421</v>
      </c>
      <c r="F4554" t="str">
        <f t="shared" si="280"/>
        <v>0000</v>
      </c>
    </row>
    <row r="4555" spans="1:6">
      <c r="A4555" t="str">
        <f>"E1235-578"</f>
        <v>E1235-578</v>
      </c>
      <c r="B4555" t="str">
        <f>"VIA FELICE MARITANO  95-"</f>
        <v>VIA FELICE MARITANO  95-</v>
      </c>
      <c r="C4555" t="str">
        <f t="shared" si="279"/>
        <v>4</v>
      </c>
      <c r="D4555">
        <v>27</v>
      </c>
      <c r="E4555" t="str">
        <f>"124"</f>
        <v>124</v>
      </c>
      <c r="F4555" t="str">
        <f t="shared" si="280"/>
        <v>0000</v>
      </c>
    </row>
    <row r="4556" spans="1:6">
      <c r="C4556" t="str">
        <f t="shared" si="279"/>
        <v>4</v>
      </c>
      <c r="D4556">
        <v>27</v>
      </c>
      <c r="E4556" t="str">
        <f>"1241"</f>
        <v>1241</v>
      </c>
      <c r="F4556" t="str">
        <f t="shared" si="280"/>
        <v>0000</v>
      </c>
    </row>
    <row r="4557" spans="1:6">
      <c r="C4557" t="str">
        <f t="shared" si="279"/>
        <v>4</v>
      </c>
      <c r="D4557">
        <v>27</v>
      </c>
      <c r="E4557" t="str">
        <f>"1422"</f>
        <v>1422</v>
      </c>
      <c r="F4557" t="str">
        <f t="shared" si="280"/>
        <v>0000</v>
      </c>
    </row>
    <row r="4558" spans="1:6">
      <c r="C4558" t="str">
        <f t="shared" si="279"/>
        <v>4</v>
      </c>
      <c r="D4558">
        <v>27</v>
      </c>
      <c r="E4558" t="str">
        <f>"587"</f>
        <v>587</v>
      </c>
      <c r="F4558" t="str">
        <f t="shared" si="280"/>
        <v>0000</v>
      </c>
    </row>
    <row r="4559" spans="1:6">
      <c r="C4559" t="str">
        <f t="shared" si="279"/>
        <v>4</v>
      </c>
      <c r="D4559">
        <v>27</v>
      </c>
      <c r="E4559" t="str">
        <f>"589"</f>
        <v>589</v>
      </c>
      <c r="F4559" t="str">
        <f t="shared" si="280"/>
        <v>0000</v>
      </c>
    </row>
    <row r="4560" spans="1:6">
      <c r="C4560" t="str">
        <f t="shared" si="279"/>
        <v>4</v>
      </c>
      <c r="D4560">
        <v>27</v>
      </c>
      <c r="E4560" t="str">
        <f>"99999"</f>
        <v>99999</v>
      </c>
      <c r="F4560" t="str">
        <f t="shared" si="280"/>
        <v>0000</v>
      </c>
    </row>
    <row r="4561" spans="1:6">
      <c r="C4561" t="str">
        <f t="shared" si="279"/>
        <v>4</v>
      </c>
      <c r="D4561">
        <v>27</v>
      </c>
      <c r="E4561" t="str">
        <f>"975"</f>
        <v>975</v>
      </c>
      <c r="F4561" t="str">
        <f t="shared" si="280"/>
        <v>0000</v>
      </c>
    </row>
    <row r="4562" spans="1:6">
      <c r="C4562" t="str">
        <f t="shared" si="279"/>
        <v>4</v>
      </c>
      <c r="D4562">
        <v>27</v>
      </c>
      <c r="E4562" t="str">
        <f>"678"</f>
        <v>678</v>
      </c>
      <c r="F4562" t="str">
        <f t="shared" si="280"/>
        <v>0000</v>
      </c>
    </row>
    <row r="4563" spans="1:6">
      <c r="C4563" t="str">
        <f t="shared" si="279"/>
        <v>4</v>
      </c>
      <c r="D4563">
        <v>27</v>
      </c>
      <c r="E4563" t="str">
        <f>"677"</f>
        <v>677</v>
      </c>
      <c r="F4563" t="str">
        <f t="shared" si="280"/>
        <v>0000</v>
      </c>
    </row>
    <row r="4564" spans="1:6">
      <c r="C4564" t="str">
        <f t="shared" si="279"/>
        <v>4</v>
      </c>
      <c r="D4564">
        <v>27</v>
      </c>
      <c r="E4564" t="str">
        <f>"676"</f>
        <v>676</v>
      </c>
      <c r="F4564" t="str">
        <f t="shared" si="280"/>
        <v>0000</v>
      </c>
    </row>
    <row r="4565" spans="1:6">
      <c r="C4565" t="str">
        <f t="shared" si="279"/>
        <v>4</v>
      </c>
      <c r="D4565">
        <v>27</v>
      </c>
      <c r="E4565" t="str">
        <f>"588"</f>
        <v>588</v>
      </c>
      <c r="F4565" t="str">
        <f t="shared" si="280"/>
        <v>0000</v>
      </c>
    </row>
    <row r="4566" spans="1:6">
      <c r="C4566" t="str">
        <f t="shared" si="279"/>
        <v>4</v>
      </c>
      <c r="D4566">
        <v>27</v>
      </c>
      <c r="E4566" t="str">
        <f>"1855"</f>
        <v>1855</v>
      </c>
      <c r="F4566" t="str">
        <f t="shared" si="280"/>
        <v>0000</v>
      </c>
    </row>
    <row r="4567" spans="1:6">
      <c r="C4567" t="str">
        <f t="shared" si="279"/>
        <v>4</v>
      </c>
      <c r="D4567">
        <v>27</v>
      </c>
      <c r="E4567" t="str">
        <f>"1421"</f>
        <v>1421</v>
      </c>
      <c r="F4567" t="str">
        <f t="shared" si="280"/>
        <v>0000</v>
      </c>
    </row>
    <row r="4568" spans="1:6">
      <c r="A4568" t="str">
        <f>"E1235-579"</f>
        <v>E1235-579</v>
      </c>
      <c r="B4568" t="str">
        <f>"VIA FELICE MARITANO  95-"</f>
        <v>VIA FELICE MARITANO  95-</v>
      </c>
      <c r="C4568" t="str">
        <f t="shared" si="279"/>
        <v>4</v>
      </c>
      <c r="D4568">
        <v>27</v>
      </c>
      <c r="E4568" t="str">
        <f>"124"</f>
        <v>124</v>
      </c>
      <c r="F4568" t="str">
        <f t="shared" si="280"/>
        <v>0000</v>
      </c>
    </row>
    <row r="4569" spans="1:6">
      <c r="C4569" t="str">
        <f t="shared" si="279"/>
        <v>4</v>
      </c>
      <c r="D4569">
        <v>27</v>
      </c>
      <c r="E4569" t="str">
        <f>"1421"</f>
        <v>1421</v>
      </c>
      <c r="F4569" t="str">
        <f t="shared" si="280"/>
        <v>0000</v>
      </c>
    </row>
    <row r="4570" spans="1:6">
      <c r="C4570" t="str">
        <f t="shared" si="279"/>
        <v>4</v>
      </c>
      <c r="D4570">
        <v>27</v>
      </c>
      <c r="E4570" t="str">
        <f>"1422"</f>
        <v>1422</v>
      </c>
      <c r="F4570" t="str">
        <f t="shared" si="280"/>
        <v>0000</v>
      </c>
    </row>
    <row r="4571" spans="1:6">
      <c r="C4571" t="str">
        <f t="shared" si="279"/>
        <v>4</v>
      </c>
      <c r="D4571">
        <v>27</v>
      </c>
      <c r="E4571" t="str">
        <f>"1241"</f>
        <v>1241</v>
      </c>
      <c r="F4571" t="str">
        <f t="shared" si="280"/>
        <v>0000</v>
      </c>
    </row>
    <row r="4572" spans="1:6">
      <c r="C4572" t="str">
        <f t="shared" si="279"/>
        <v>4</v>
      </c>
      <c r="D4572">
        <v>27</v>
      </c>
      <c r="E4572" t="str">
        <f>"1855"</f>
        <v>1855</v>
      </c>
      <c r="F4572" t="str">
        <f t="shared" si="280"/>
        <v>0000</v>
      </c>
    </row>
    <row r="4573" spans="1:6">
      <c r="C4573" t="str">
        <f t="shared" si="279"/>
        <v>4</v>
      </c>
      <c r="D4573">
        <v>27</v>
      </c>
      <c r="E4573" t="str">
        <f>"588"</f>
        <v>588</v>
      </c>
      <c r="F4573" t="str">
        <f t="shared" si="280"/>
        <v>0000</v>
      </c>
    </row>
    <row r="4574" spans="1:6">
      <c r="C4574" t="str">
        <f t="shared" si="279"/>
        <v>4</v>
      </c>
      <c r="D4574">
        <v>27</v>
      </c>
      <c r="E4574" t="str">
        <f>"676"</f>
        <v>676</v>
      </c>
      <c r="F4574" t="str">
        <f t="shared" si="280"/>
        <v>0000</v>
      </c>
    </row>
    <row r="4575" spans="1:6">
      <c r="C4575" t="str">
        <f t="shared" si="279"/>
        <v>4</v>
      </c>
      <c r="D4575">
        <v>27</v>
      </c>
      <c r="E4575" t="str">
        <f>"678"</f>
        <v>678</v>
      </c>
      <c r="F4575" t="str">
        <f t="shared" si="280"/>
        <v>0000</v>
      </c>
    </row>
    <row r="4576" spans="1:6">
      <c r="C4576" t="str">
        <f t="shared" si="279"/>
        <v>4</v>
      </c>
      <c r="D4576">
        <v>27</v>
      </c>
      <c r="E4576" t="str">
        <f>"99999"</f>
        <v>99999</v>
      </c>
      <c r="F4576" t="str">
        <f t="shared" si="280"/>
        <v>0000</v>
      </c>
    </row>
    <row r="4577" spans="1:6">
      <c r="C4577" t="str">
        <f t="shared" si="279"/>
        <v>4</v>
      </c>
      <c r="D4577">
        <v>27</v>
      </c>
      <c r="E4577" t="str">
        <f>"975"</f>
        <v>975</v>
      </c>
      <c r="F4577" t="str">
        <f t="shared" si="280"/>
        <v>0000</v>
      </c>
    </row>
    <row r="4578" spans="1:6">
      <c r="C4578" t="str">
        <f t="shared" si="279"/>
        <v>4</v>
      </c>
      <c r="D4578">
        <v>27</v>
      </c>
      <c r="E4578" t="str">
        <f>"677"</f>
        <v>677</v>
      </c>
      <c r="F4578" t="str">
        <f t="shared" si="280"/>
        <v>0000</v>
      </c>
    </row>
    <row r="4579" spans="1:6">
      <c r="C4579" t="str">
        <f t="shared" si="279"/>
        <v>4</v>
      </c>
      <c r="D4579">
        <v>27</v>
      </c>
      <c r="E4579" t="str">
        <f>"589"</f>
        <v>589</v>
      </c>
      <c r="F4579" t="str">
        <f t="shared" si="280"/>
        <v>0000</v>
      </c>
    </row>
    <row r="4580" spans="1:6">
      <c r="C4580" t="str">
        <f t="shared" si="279"/>
        <v>4</v>
      </c>
      <c r="D4580">
        <v>27</v>
      </c>
      <c r="E4580" t="str">
        <f>"587"</f>
        <v>587</v>
      </c>
      <c r="F4580" t="str">
        <f t="shared" si="280"/>
        <v>0000</v>
      </c>
    </row>
    <row r="4581" spans="1:6">
      <c r="A4581" t="str">
        <f>"E1235-580"</f>
        <v>E1235-580</v>
      </c>
      <c r="B4581" t="str">
        <f>"VIA FELICE MARITANO  95-"</f>
        <v>VIA FELICE MARITANO  95-</v>
      </c>
      <c r="C4581" t="str">
        <f t="shared" si="279"/>
        <v>4</v>
      </c>
      <c r="D4581">
        <v>27</v>
      </c>
      <c r="E4581" t="str">
        <f>"124"</f>
        <v>124</v>
      </c>
      <c r="F4581" t="str">
        <f t="shared" si="280"/>
        <v>0000</v>
      </c>
    </row>
    <row r="4582" spans="1:6">
      <c r="C4582" t="str">
        <f t="shared" si="279"/>
        <v>4</v>
      </c>
      <c r="D4582">
        <v>27</v>
      </c>
      <c r="E4582" t="str">
        <f>"1422"</f>
        <v>1422</v>
      </c>
      <c r="F4582" t="str">
        <f t="shared" si="280"/>
        <v>0000</v>
      </c>
    </row>
    <row r="4583" spans="1:6">
      <c r="C4583" t="str">
        <f t="shared" si="279"/>
        <v>4</v>
      </c>
      <c r="D4583">
        <v>27</v>
      </c>
      <c r="E4583" t="str">
        <f>"587"</f>
        <v>587</v>
      </c>
      <c r="F4583" t="str">
        <f t="shared" si="280"/>
        <v>0000</v>
      </c>
    </row>
    <row r="4584" spans="1:6">
      <c r="C4584" t="str">
        <f t="shared" si="279"/>
        <v>4</v>
      </c>
      <c r="D4584">
        <v>27</v>
      </c>
      <c r="E4584" t="str">
        <f>"99999"</f>
        <v>99999</v>
      </c>
      <c r="F4584" t="str">
        <f t="shared" si="280"/>
        <v>0000</v>
      </c>
    </row>
    <row r="4585" spans="1:6">
      <c r="C4585" t="str">
        <f t="shared" si="279"/>
        <v>4</v>
      </c>
      <c r="D4585">
        <v>27</v>
      </c>
      <c r="E4585" t="str">
        <f>"975"</f>
        <v>975</v>
      </c>
      <c r="F4585" t="str">
        <f t="shared" si="280"/>
        <v>0000</v>
      </c>
    </row>
    <row r="4586" spans="1:6">
      <c r="C4586" t="str">
        <f t="shared" si="279"/>
        <v>4</v>
      </c>
      <c r="D4586">
        <v>27</v>
      </c>
      <c r="E4586" t="str">
        <f>"678"</f>
        <v>678</v>
      </c>
      <c r="F4586" t="str">
        <f t="shared" si="280"/>
        <v>0000</v>
      </c>
    </row>
    <row r="4587" spans="1:6">
      <c r="C4587" t="str">
        <f t="shared" si="279"/>
        <v>4</v>
      </c>
      <c r="D4587">
        <v>27</v>
      </c>
      <c r="E4587" t="str">
        <f>"677"</f>
        <v>677</v>
      </c>
      <c r="F4587" t="str">
        <f t="shared" si="280"/>
        <v>0000</v>
      </c>
    </row>
    <row r="4588" spans="1:6">
      <c r="C4588" t="str">
        <f t="shared" si="279"/>
        <v>4</v>
      </c>
      <c r="D4588">
        <v>27</v>
      </c>
      <c r="E4588" t="str">
        <f>"676"</f>
        <v>676</v>
      </c>
      <c r="F4588" t="str">
        <f t="shared" si="280"/>
        <v>0000</v>
      </c>
    </row>
    <row r="4589" spans="1:6">
      <c r="C4589" t="str">
        <f t="shared" si="279"/>
        <v>4</v>
      </c>
      <c r="D4589">
        <v>27</v>
      </c>
      <c r="E4589" t="str">
        <f>"589"</f>
        <v>589</v>
      </c>
      <c r="F4589" t="str">
        <f t="shared" si="280"/>
        <v>0000</v>
      </c>
    </row>
    <row r="4590" spans="1:6">
      <c r="C4590" t="str">
        <f t="shared" si="279"/>
        <v>4</v>
      </c>
      <c r="D4590">
        <v>27</v>
      </c>
      <c r="E4590" t="str">
        <f>"588"</f>
        <v>588</v>
      </c>
      <c r="F4590" t="str">
        <f t="shared" si="280"/>
        <v>0000</v>
      </c>
    </row>
    <row r="4591" spans="1:6">
      <c r="C4591" t="str">
        <f t="shared" si="279"/>
        <v>4</v>
      </c>
      <c r="D4591">
        <v>27</v>
      </c>
      <c r="E4591" t="str">
        <f>"1855"</f>
        <v>1855</v>
      </c>
      <c r="F4591" t="str">
        <f t="shared" si="280"/>
        <v>0000</v>
      </c>
    </row>
    <row r="4592" spans="1:6">
      <c r="C4592" t="str">
        <f t="shared" si="279"/>
        <v>4</v>
      </c>
      <c r="D4592">
        <v>27</v>
      </c>
      <c r="E4592" t="str">
        <f>"1421"</f>
        <v>1421</v>
      </c>
      <c r="F4592" t="str">
        <f t="shared" si="280"/>
        <v>0000</v>
      </c>
    </row>
    <row r="4593" spans="1:6">
      <c r="C4593" t="str">
        <f t="shared" si="279"/>
        <v>4</v>
      </c>
      <c r="D4593">
        <v>27</v>
      </c>
      <c r="E4593" t="str">
        <f>"1241"</f>
        <v>1241</v>
      </c>
      <c r="F4593" t="str">
        <f t="shared" si="280"/>
        <v>0000</v>
      </c>
    </row>
    <row r="4594" spans="1:6">
      <c r="A4594" t="str">
        <f>"E1235-581"</f>
        <v>E1235-581</v>
      </c>
      <c r="B4594" t="str">
        <f>"VIA FELICE MARITANO  95-"</f>
        <v>VIA FELICE MARITANO  95-</v>
      </c>
      <c r="C4594" t="str">
        <f t="shared" si="279"/>
        <v>4</v>
      </c>
      <c r="D4594">
        <v>27</v>
      </c>
      <c r="E4594" t="str">
        <f>"124"</f>
        <v>124</v>
      </c>
      <c r="F4594" t="str">
        <f t="shared" si="280"/>
        <v>0000</v>
      </c>
    </row>
    <row r="4595" spans="1:6">
      <c r="C4595" t="str">
        <f t="shared" si="279"/>
        <v>4</v>
      </c>
      <c r="D4595">
        <v>27</v>
      </c>
      <c r="E4595" t="str">
        <f>"1241"</f>
        <v>1241</v>
      </c>
      <c r="F4595" t="str">
        <f t="shared" si="280"/>
        <v>0000</v>
      </c>
    </row>
    <row r="4596" spans="1:6">
      <c r="C4596" t="str">
        <f t="shared" si="279"/>
        <v>4</v>
      </c>
      <c r="D4596">
        <v>27</v>
      </c>
      <c r="E4596" t="str">
        <f>"1421"</f>
        <v>1421</v>
      </c>
      <c r="F4596" t="str">
        <f t="shared" si="280"/>
        <v>0000</v>
      </c>
    </row>
    <row r="4597" spans="1:6">
      <c r="C4597" t="str">
        <f t="shared" si="279"/>
        <v>4</v>
      </c>
      <c r="D4597">
        <v>27</v>
      </c>
      <c r="E4597" t="str">
        <f>"1855"</f>
        <v>1855</v>
      </c>
      <c r="F4597" t="str">
        <f t="shared" si="280"/>
        <v>0000</v>
      </c>
    </row>
    <row r="4598" spans="1:6">
      <c r="C4598" t="str">
        <f t="shared" si="279"/>
        <v>4</v>
      </c>
      <c r="D4598">
        <v>27</v>
      </c>
      <c r="E4598" t="str">
        <f>"588"</f>
        <v>588</v>
      </c>
      <c r="F4598" t="str">
        <f t="shared" si="280"/>
        <v>0000</v>
      </c>
    </row>
    <row r="4599" spans="1:6">
      <c r="C4599" t="str">
        <f t="shared" si="279"/>
        <v>4</v>
      </c>
      <c r="D4599">
        <v>27</v>
      </c>
      <c r="E4599" t="str">
        <f>"676"</f>
        <v>676</v>
      </c>
      <c r="F4599" t="str">
        <f t="shared" si="280"/>
        <v>0000</v>
      </c>
    </row>
    <row r="4600" spans="1:6">
      <c r="C4600" t="str">
        <f t="shared" si="279"/>
        <v>4</v>
      </c>
      <c r="D4600">
        <v>27</v>
      </c>
      <c r="E4600" t="str">
        <f>"99999"</f>
        <v>99999</v>
      </c>
      <c r="F4600" t="str">
        <f t="shared" si="280"/>
        <v>0000</v>
      </c>
    </row>
    <row r="4601" spans="1:6">
      <c r="C4601" t="str">
        <f t="shared" si="279"/>
        <v>4</v>
      </c>
      <c r="D4601">
        <v>27</v>
      </c>
      <c r="E4601" t="str">
        <f>"975"</f>
        <v>975</v>
      </c>
      <c r="F4601" t="str">
        <f t="shared" si="280"/>
        <v>0000</v>
      </c>
    </row>
    <row r="4602" spans="1:6">
      <c r="C4602" t="str">
        <f t="shared" si="279"/>
        <v>4</v>
      </c>
      <c r="D4602">
        <v>27</v>
      </c>
      <c r="E4602" t="str">
        <f>"678"</f>
        <v>678</v>
      </c>
      <c r="F4602" t="str">
        <f t="shared" si="280"/>
        <v>0000</v>
      </c>
    </row>
    <row r="4603" spans="1:6">
      <c r="C4603" t="str">
        <f t="shared" ref="C4603:C4666" si="281">"4"</f>
        <v>4</v>
      </c>
      <c r="D4603">
        <v>27</v>
      </c>
      <c r="E4603" t="str">
        <f>"677"</f>
        <v>677</v>
      </c>
      <c r="F4603" t="str">
        <f t="shared" ref="F4603:F4666" si="282">"0000"</f>
        <v>0000</v>
      </c>
    </row>
    <row r="4604" spans="1:6">
      <c r="C4604" t="str">
        <f t="shared" si="281"/>
        <v>4</v>
      </c>
      <c r="D4604">
        <v>27</v>
      </c>
      <c r="E4604" t="str">
        <f>"589"</f>
        <v>589</v>
      </c>
      <c r="F4604" t="str">
        <f t="shared" si="282"/>
        <v>0000</v>
      </c>
    </row>
    <row r="4605" spans="1:6">
      <c r="C4605" t="str">
        <f t="shared" si="281"/>
        <v>4</v>
      </c>
      <c r="D4605">
        <v>27</v>
      </c>
      <c r="E4605" t="str">
        <f>"587"</f>
        <v>587</v>
      </c>
      <c r="F4605" t="str">
        <f t="shared" si="282"/>
        <v>0000</v>
      </c>
    </row>
    <row r="4606" spans="1:6">
      <c r="C4606" t="str">
        <f t="shared" si="281"/>
        <v>4</v>
      </c>
      <c r="D4606">
        <v>27</v>
      </c>
      <c r="E4606" t="str">
        <f>"1422"</f>
        <v>1422</v>
      </c>
      <c r="F4606" t="str">
        <f t="shared" si="282"/>
        <v>0000</v>
      </c>
    </row>
    <row r="4607" spans="1:6">
      <c r="A4607" t="str">
        <f>"E1235-582"</f>
        <v>E1235-582</v>
      </c>
      <c r="B4607" t="str">
        <f>"VIA FELICE MARITANO  95-"</f>
        <v>VIA FELICE MARITANO  95-</v>
      </c>
      <c r="C4607" t="str">
        <f t="shared" si="281"/>
        <v>4</v>
      </c>
      <c r="D4607">
        <v>27</v>
      </c>
      <c r="E4607" t="str">
        <f>"124"</f>
        <v>124</v>
      </c>
      <c r="F4607" t="str">
        <f t="shared" si="282"/>
        <v>0000</v>
      </c>
    </row>
    <row r="4608" spans="1:6">
      <c r="C4608" t="str">
        <f t="shared" si="281"/>
        <v>4</v>
      </c>
      <c r="D4608">
        <v>27</v>
      </c>
      <c r="E4608" t="str">
        <f>"99999"</f>
        <v>99999</v>
      </c>
      <c r="F4608" t="str">
        <f t="shared" si="282"/>
        <v>0000</v>
      </c>
    </row>
    <row r="4609" spans="1:6">
      <c r="C4609" t="str">
        <f t="shared" si="281"/>
        <v>4</v>
      </c>
      <c r="D4609">
        <v>27</v>
      </c>
      <c r="E4609" t="str">
        <f>"975"</f>
        <v>975</v>
      </c>
      <c r="F4609" t="str">
        <f t="shared" si="282"/>
        <v>0000</v>
      </c>
    </row>
    <row r="4610" spans="1:6">
      <c r="C4610" t="str">
        <f t="shared" si="281"/>
        <v>4</v>
      </c>
      <c r="D4610">
        <v>27</v>
      </c>
      <c r="E4610" t="str">
        <f>"678"</f>
        <v>678</v>
      </c>
      <c r="F4610" t="str">
        <f t="shared" si="282"/>
        <v>0000</v>
      </c>
    </row>
    <row r="4611" spans="1:6">
      <c r="C4611" t="str">
        <f t="shared" si="281"/>
        <v>4</v>
      </c>
      <c r="D4611">
        <v>27</v>
      </c>
      <c r="E4611" t="str">
        <f>"677"</f>
        <v>677</v>
      </c>
      <c r="F4611" t="str">
        <f t="shared" si="282"/>
        <v>0000</v>
      </c>
    </row>
    <row r="4612" spans="1:6">
      <c r="C4612" t="str">
        <f t="shared" si="281"/>
        <v>4</v>
      </c>
      <c r="D4612">
        <v>27</v>
      </c>
      <c r="E4612" t="str">
        <f>"676"</f>
        <v>676</v>
      </c>
      <c r="F4612" t="str">
        <f t="shared" si="282"/>
        <v>0000</v>
      </c>
    </row>
    <row r="4613" spans="1:6">
      <c r="C4613" t="str">
        <f t="shared" si="281"/>
        <v>4</v>
      </c>
      <c r="D4613">
        <v>27</v>
      </c>
      <c r="E4613" t="str">
        <f>"589"</f>
        <v>589</v>
      </c>
      <c r="F4613" t="str">
        <f t="shared" si="282"/>
        <v>0000</v>
      </c>
    </row>
    <row r="4614" spans="1:6">
      <c r="C4614" t="str">
        <f t="shared" si="281"/>
        <v>4</v>
      </c>
      <c r="D4614">
        <v>27</v>
      </c>
      <c r="E4614" t="str">
        <f>"588"</f>
        <v>588</v>
      </c>
      <c r="F4614" t="str">
        <f t="shared" si="282"/>
        <v>0000</v>
      </c>
    </row>
    <row r="4615" spans="1:6">
      <c r="C4615" t="str">
        <f t="shared" si="281"/>
        <v>4</v>
      </c>
      <c r="D4615">
        <v>27</v>
      </c>
      <c r="E4615" t="str">
        <f>"587"</f>
        <v>587</v>
      </c>
      <c r="F4615" t="str">
        <f t="shared" si="282"/>
        <v>0000</v>
      </c>
    </row>
    <row r="4616" spans="1:6">
      <c r="C4616" t="str">
        <f t="shared" si="281"/>
        <v>4</v>
      </c>
      <c r="D4616">
        <v>27</v>
      </c>
      <c r="E4616" t="str">
        <f>"1855"</f>
        <v>1855</v>
      </c>
      <c r="F4616" t="str">
        <f t="shared" si="282"/>
        <v>0000</v>
      </c>
    </row>
    <row r="4617" spans="1:6">
      <c r="C4617" t="str">
        <f t="shared" si="281"/>
        <v>4</v>
      </c>
      <c r="D4617">
        <v>27</v>
      </c>
      <c r="E4617" t="str">
        <f>"1241"</f>
        <v>1241</v>
      </c>
      <c r="F4617" t="str">
        <f t="shared" si="282"/>
        <v>0000</v>
      </c>
    </row>
    <row r="4618" spans="1:6">
      <c r="C4618" t="str">
        <f t="shared" si="281"/>
        <v>4</v>
      </c>
      <c r="D4618">
        <v>27</v>
      </c>
      <c r="E4618" t="str">
        <f>"1422"</f>
        <v>1422</v>
      </c>
      <c r="F4618" t="str">
        <f t="shared" si="282"/>
        <v>0000</v>
      </c>
    </row>
    <row r="4619" spans="1:6">
      <c r="C4619" t="str">
        <f t="shared" si="281"/>
        <v>4</v>
      </c>
      <c r="D4619">
        <v>27</v>
      </c>
      <c r="E4619" t="str">
        <f>"1421"</f>
        <v>1421</v>
      </c>
      <c r="F4619" t="str">
        <f t="shared" si="282"/>
        <v>0000</v>
      </c>
    </row>
    <row r="4620" spans="1:6">
      <c r="A4620" t="str">
        <f>"E1235-583"</f>
        <v>E1235-583</v>
      </c>
      <c r="B4620" t="str">
        <f>"VIA FELICE MARITANO  95-"</f>
        <v>VIA FELICE MARITANO  95-</v>
      </c>
      <c r="C4620" t="str">
        <f t="shared" si="281"/>
        <v>4</v>
      </c>
      <c r="D4620">
        <v>27</v>
      </c>
      <c r="E4620" t="str">
        <f>"124"</f>
        <v>124</v>
      </c>
      <c r="F4620" t="str">
        <f t="shared" si="282"/>
        <v>0000</v>
      </c>
    </row>
    <row r="4621" spans="1:6">
      <c r="C4621" t="str">
        <f t="shared" si="281"/>
        <v>4</v>
      </c>
      <c r="D4621">
        <v>27</v>
      </c>
      <c r="E4621" t="str">
        <f>"1241"</f>
        <v>1241</v>
      </c>
      <c r="F4621" t="str">
        <f t="shared" si="282"/>
        <v>0000</v>
      </c>
    </row>
    <row r="4622" spans="1:6">
      <c r="C4622" t="str">
        <f t="shared" si="281"/>
        <v>4</v>
      </c>
      <c r="D4622">
        <v>27</v>
      </c>
      <c r="E4622" t="str">
        <f>"1422"</f>
        <v>1422</v>
      </c>
      <c r="F4622" t="str">
        <f t="shared" si="282"/>
        <v>0000</v>
      </c>
    </row>
    <row r="4623" spans="1:6">
      <c r="C4623" t="str">
        <f t="shared" si="281"/>
        <v>4</v>
      </c>
      <c r="D4623">
        <v>27</v>
      </c>
      <c r="E4623" t="str">
        <f>"587"</f>
        <v>587</v>
      </c>
      <c r="F4623" t="str">
        <f t="shared" si="282"/>
        <v>0000</v>
      </c>
    </row>
    <row r="4624" spans="1:6">
      <c r="C4624" t="str">
        <f t="shared" si="281"/>
        <v>4</v>
      </c>
      <c r="D4624">
        <v>27</v>
      </c>
      <c r="E4624" t="str">
        <f>"589"</f>
        <v>589</v>
      </c>
      <c r="F4624" t="str">
        <f t="shared" si="282"/>
        <v>0000</v>
      </c>
    </row>
    <row r="4625" spans="1:6">
      <c r="C4625" t="str">
        <f t="shared" si="281"/>
        <v>4</v>
      </c>
      <c r="D4625">
        <v>27</v>
      </c>
      <c r="E4625" t="str">
        <f>"99999"</f>
        <v>99999</v>
      </c>
      <c r="F4625" t="str">
        <f t="shared" si="282"/>
        <v>0000</v>
      </c>
    </row>
    <row r="4626" spans="1:6">
      <c r="C4626" t="str">
        <f t="shared" si="281"/>
        <v>4</v>
      </c>
      <c r="D4626">
        <v>27</v>
      </c>
      <c r="E4626" t="str">
        <f>"975"</f>
        <v>975</v>
      </c>
      <c r="F4626" t="str">
        <f t="shared" si="282"/>
        <v>0000</v>
      </c>
    </row>
    <row r="4627" spans="1:6">
      <c r="C4627" t="str">
        <f t="shared" si="281"/>
        <v>4</v>
      </c>
      <c r="D4627">
        <v>27</v>
      </c>
      <c r="E4627" t="str">
        <f>"678"</f>
        <v>678</v>
      </c>
      <c r="F4627" t="str">
        <f t="shared" si="282"/>
        <v>0000</v>
      </c>
    </row>
    <row r="4628" spans="1:6">
      <c r="C4628" t="str">
        <f t="shared" si="281"/>
        <v>4</v>
      </c>
      <c r="D4628">
        <v>27</v>
      </c>
      <c r="E4628" t="str">
        <f>"677"</f>
        <v>677</v>
      </c>
      <c r="F4628" t="str">
        <f t="shared" si="282"/>
        <v>0000</v>
      </c>
    </row>
    <row r="4629" spans="1:6">
      <c r="C4629" t="str">
        <f t="shared" si="281"/>
        <v>4</v>
      </c>
      <c r="D4629">
        <v>27</v>
      </c>
      <c r="E4629" t="str">
        <f>"676"</f>
        <v>676</v>
      </c>
      <c r="F4629" t="str">
        <f t="shared" si="282"/>
        <v>0000</v>
      </c>
    </row>
    <row r="4630" spans="1:6">
      <c r="C4630" t="str">
        <f t="shared" si="281"/>
        <v>4</v>
      </c>
      <c r="D4630">
        <v>27</v>
      </c>
      <c r="E4630" t="str">
        <f>"588"</f>
        <v>588</v>
      </c>
      <c r="F4630" t="str">
        <f t="shared" si="282"/>
        <v>0000</v>
      </c>
    </row>
    <row r="4631" spans="1:6">
      <c r="C4631" t="str">
        <f t="shared" si="281"/>
        <v>4</v>
      </c>
      <c r="D4631">
        <v>27</v>
      </c>
      <c r="E4631" t="str">
        <f>"1855"</f>
        <v>1855</v>
      </c>
      <c r="F4631" t="str">
        <f t="shared" si="282"/>
        <v>0000</v>
      </c>
    </row>
    <row r="4632" spans="1:6">
      <c r="C4632" t="str">
        <f t="shared" si="281"/>
        <v>4</v>
      </c>
      <c r="D4632">
        <v>27</v>
      </c>
      <c r="E4632" t="str">
        <f>"1421"</f>
        <v>1421</v>
      </c>
      <c r="F4632" t="str">
        <f t="shared" si="282"/>
        <v>0000</v>
      </c>
    </row>
    <row r="4633" spans="1:6">
      <c r="A4633" t="str">
        <f>"E1235-584"</f>
        <v>E1235-584</v>
      </c>
      <c r="B4633" t="str">
        <f>"VIA FELICE MARITANO  95-"</f>
        <v>VIA FELICE MARITANO  95-</v>
      </c>
      <c r="C4633" t="str">
        <f t="shared" si="281"/>
        <v>4</v>
      </c>
      <c r="D4633">
        <v>27</v>
      </c>
      <c r="E4633" t="str">
        <f>"124"</f>
        <v>124</v>
      </c>
      <c r="F4633" t="str">
        <f t="shared" si="282"/>
        <v>0000</v>
      </c>
    </row>
    <row r="4634" spans="1:6">
      <c r="C4634" t="str">
        <f t="shared" si="281"/>
        <v>4</v>
      </c>
      <c r="D4634">
        <v>27</v>
      </c>
      <c r="E4634" t="str">
        <f>"1421"</f>
        <v>1421</v>
      </c>
      <c r="F4634" t="str">
        <f t="shared" si="282"/>
        <v>0000</v>
      </c>
    </row>
    <row r="4635" spans="1:6">
      <c r="C4635" t="str">
        <f t="shared" si="281"/>
        <v>4</v>
      </c>
      <c r="D4635">
        <v>27</v>
      </c>
      <c r="E4635" t="str">
        <f>"1422"</f>
        <v>1422</v>
      </c>
      <c r="F4635" t="str">
        <f t="shared" si="282"/>
        <v>0000</v>
      </c>
    </row>
    <row r="4636" spans="1:6">
      <c r="C4636" t="str">
        <f t="shared" si="281"/>
        <v>4</v>
      </c>
      <c r="D4636">
        <v>27</v>
      </c>
      <c r="E4636" t="str">
        <f>"1241"</f>
        <v>1241</v>
      </c>
      <c r="F4636" t="str">
        <f t="shared" si="282"/>
        <v>0000</v>
      </c>
    </row>
    <row r="4637" spans="1:6">
      <c r="C4637" t="str">
        <f t="shared" si="281"/>
        <v>4</v>
      </c>
      <c r="D4637">
        <v>27</v>
      </c>
      <c r="E4637" t="str">
        <f>"1855"</f>
        <v>1855</v>
      </c>
      <c r="F4637" t="str">
        <f t="shared" si="282"/>
        <v>0000</v>
      </c>
    </row>
    <row r="4638" spans="1:6">
      <c r="C4638" t="str">
        <f t="shared" si="281"/>
        <v>4</v>
      </c>
      <c r="D4638">
        <v>27</v>
      </c>
      <c r="E4638" t="str">
        <f>"588"</f>
        <v>588</v>
      </c>
      <c r="F4638" t="str">
        <f t="shared" si="282"/>
        <v>0000</v>
      </c>
    </row>
    <row r="4639" spans="1:6">
      <c r="C4639" t="str">
        <f t="shared" si="281"/>
        <v>4</v>
      </c>
      <c r="D4639">
        <v>27</v>
      </c>
      <c r="E4639" t="str">
        <f>"676"</f>
        <v>676</v>
      </c>
      <c r="F4639" t="str">
        <f t="shared" si="282"/>
        <v>0000</v>
      </c>
    </row>
    <row r="4640" spans="1:6">
      <c r="C4640" t="str">
        <f t="shared" si="281"/>
        <v>4</v>
      </c>
      <c r="D4640">
        <v>27</v>
      </c>
      <c r="E4640" t="str">
        <f>"678"</f>
        <v>678</v>
      </c>
      <c r="F4640" t="str">
        <f t="shared" si="282"/>
        <v>0000</v>
      </c>
    </row>
    <row r="4641" spans="1:6">
      <c r="C4641" t="str">
        <f t="shared" si="281"/>
        <v>4</v>
      </c>
      <c r="D4641">
        <v>27</v>
      </c>
      <c r="E4641" t="str">
        <f>"99999"</f>
        <v>99999</v>
      </c>
      <c r="F4641" t="str">
        <f t="shared" si="282"/>
        <v>0000</v>
      </c>
    </row>
    <row r="4642" spans="1:6">
      <c r="C4642" t="str">
        <f t="shared" si="281"/>
        <v>4</v>
      </c>
      <c r="D4642">
        <v>27</v>
      </c>
      <c r="E4642" t="str">
        <f>"975"</f>
        <v>975</v>
      </c>
      <c r="F4642" t="str">
        <f t="shared" si="282"/>
        <v>0000</v>
      </c>
    </row>
    <row r="4643" spans="1:6">
      <c r="C4643" t="str">
        <f t="shared" si="281"/>
        <v>4</v>
      </c>
      <c r="D4643">
        <v>27</v>
      </c>
      <c r="E4643" t="str">
        <f>"677"</f>
        <v>677</v>
      </c>
      <c r="F4643" t="str">
        <f t="shared" si="282"/>
        <v>0000</v>
      </c>
    </row>
    <row r="4644" spans="1:6">
      <c r="C4644" t="str">
        <f t="shared" si="281"/>
        <v>4</v>
      </c>
      <c r="D4644">
        <v>27</v>
      </c>
      <c r="E4644" t="str">
        <f>"589"</f>
        <v>589</v>
      </c>
      <c r="F4644" t="str">
        <f t="shared" si="282"/>
        <v>0000</v>
      </c>
    </row>
    <row r="4645" spans="1:6">
      <c r="C4645" t="str">
        <f t="shared" si="281"/>
        <v>4</v>
      </c>
      <c r="D4645">
        <v>27</v>
      </c>
      <c r="E4645" t="str">
        <f>"587"</f>
        <v>587</v>
      </c>
      <c r="F4645" t="str">
        <f t="shared" si="282"/>
        <v>0000</v>
      </c>
    </row>
    <row r="4646" spans="1:6">
      <c r="A4646" t="str">
        <f>"E1235-585"</f>
        <v>E1235-585</v>
      </c>
      <c r="B4646" t="str">
        <f>"VIA FELICE MARITANO  95-"</f>
        <v>VIA FELICE MARITANO  95-</v>
      </c>
      <c r="C4646" t="str">
        <f t="shared" si="281"/>
        <v>4</v>
      </c>
      <c r="D4646">
        <v>27</v>
      </c>
      <c r="E4646" t="str">
        <f>"124"</f>
        <v>124</v>
      </c>
      <c r="F4646" t="str">
        <f t="shared" si="282"/>
        <v>0000</v>
      </c>
    </row>
    <row r="4647" spans="1:6">
      <c r="C4647" t="str">
        <f t="shared" si="281"/>
        <v>4</v>
      </c>
      <c r="D4647">
        <v>27</v>
      </c>
      <c r="E4647" t="str">
        <f>"1422"</f>
        <v>1422</v>
      </c>
      <c r="F4647" t="str">
        <f t="shared" si="282"/>
        <v>0000</v>
      </c>
    </row>
    <row r="4648" spans="1:6">
      <c r="C4648" t="str">
        <f t="shared" si="281"/>
        <v>4</v>
      </c>
      <c r="D4648">
        <v>27</v>
      </c>
      <c r="E4648" t="str">
        <f>"587"</f>
        <v>587</v>
      </c>
      <c r="F4648" t="str">
        <f t="shared" si="282"/>
        <v>0000</v>
      </c>
    </row>
    <row r="4649" spans="1:6">
      <c r="C4649" t="str">
        <f t="shared" si="281"/>
        <v>4</v>
      </c>
      <c r="D4649">
        <v>27</v>
      </c>
      <c r="E4649" t="str">
        <f>"99999"</f>
        <v>99999</v>
      </c>
      <c r="F4649" t="str">
        <f t="shared" si="282"/>
        <v>0000</v>
      </c>
    </row>
    <row r="4650" spans="1:6">
      <c r="C4650" t="str">
        <f t="shared" si="281"/>
        <v>4</v>
      </c>
      <c r="D4650">
        <v>27</v>
      </c>
      <c r="E4650" t="str">
        <f>"975"</f>
        <v>975</v>
      </c>
      <c r="F4650" t="str">
        <f t="shared" si="282"/>
        <v>0000</v>
      </c>
    </row>
    <row r="4651" spans="1:6">
      <c r="C4651" t="str">
        <f t="shared" si="281"/>
        <v>4</v>
      </c>
      <c r="D4651">
        <v>27</v>
      </c>
      <c r="E4651" t="str">
        <f>"678"</f>
        <v>678</v>
      </c>
      <c r="F4651" t="str">
        <f t="shared" si="282"/>
        <v>0000</v>
      </c>
    </row>
    <row r="4652" spans="1:6">
      <c r="C4652" t="str">
        <f t="shared" si="281"/>
        <v>4</v>
      </c>
      <c r="D4652">
        <v>27</v>
      </c>
      <c r="E4652" t="str">
        <f>"677"</f>
        <v>677</v>
      </c>
      <c r="F4652" t="str">
        <f t="shared" si="282"/>
        <v>0000</v>
      </c>
    </row>
    <row r="4653" spans="1:6">
      <c r="C4653" t="str">
        <f t="shared" si="281"/>
        <v>4</v>
      </c>
      <c r="D4653">
        <v>27</v>
      </c>
      <c r="E4653" t="str">
        <f>"676"</f>
        <v>676</v>
      </c>
      <c r="F4653" t="str">
        <f t="shared" si="282"/>
        <v>0000</v>
      </c>
    </row>
    <row r="4654" spans="1:6">
      <c r="C4654" t="str">
        <f t="shared" si="281"/>
        <v>4</v>
      </c>
      <c r="D4654">
        <v>27</v>
      </c>
      <c r="E4654" t="str">
        <f>"589"</f>
        <v>589</v>
      </c>
      <c r="F4654" t="str">
        <f t="shared" si="282"/>
        <v>0000</v>
      </c>
    </row>
    <row r="4655" spans="1:6">
      <c r="C4655" t="str">
        <f t="shared" si="281"/>
        <v>4</v>
      </c>
      <c r="D4655">
        <v>27</v>
      </c>
      <c r="E4655" t="str">
        <f>"588"</f>
        <v>588</v>
      </c>
      <c r="F4655" t="str">
        <f t="shared" si="282"/>
        <v>0000</v>
      </c>
    </row>
    <row r="4656" spans="1:6">
      <c r="C4656" t="str">
        <f t="shared" si="281"/>
        <v>4</v>
      </c>
      <c r="D4656">
        <v>27</v>
      </c>
      <c r="E4656" t="str">
        <f>"1855"</f>
        <v>1855</v>
      </c>
      <c r="F4656" t="str">
        <f t="shared" si="282"/>
        <v>0000</v>
      </c>
    </row>
    <row r="4657" spans="1:6">
      <c r="C4657" t="str">
        <f t="shared" si="281"/>
        <v>4</v>
      </c>
      <c r="D4657">
        <v>27</v>
      </c>
      <c r="E4657" t="str">
        <f>"1421"</f>
        <v>1421</v>
      </c>
      <c r="F4657" t="str">
        <f t="shared" si="282"/>
        <v>0000</v>
      </c>
    </row>
    <row r="4658" spans="1:6">
      <c r="C4658" t="str">
        <f t="shared" si="281"/>
        <v>4</v>
      </c>
      <c r="D4658">
        <v>27</v>
      </c>
      <c r="E4658" t="str">
        <f>"1241"</f>
        <v>1241</v>
      </c>
      <c r="F4658" t="str">
        <f t="shared" si="282"/>
        <v>0000</v>
      </c>
    </row>
    <row r="4659" spans="1:6">
      <c r="A4659" t="str">
        <f>"E1235-586"</f>
        <v>E1235-586</v>
      </c>
      <c r="B4659" t="str">
        <f>"VIA FELICE MARITANO  95-"</f>
        <v>VIA FELICE MARITANO  95-</v>
      </c>
      <c r="C4659" t="str">
        <f t="shared" si="281"/>
        <v>4</v>
      </c>
      <c r="D4659">
        <v>27</v>
      </c>
      <c r="E4659" t="str">
        <f>"124"</f>
        <v>124</v>
      </c>
      <c r="F4659" t="str">
        <f t="shared" si="282"/>
        <v>0000</v>
      </c>
    </row>
    <row r="4660" spans="1:6">
      <c r="C4660" t="str">
        <f t="shared" si="281"/>
        <v>4</v>
      </c>
      <c r="D4660">
        <v>27</v>
      </c>
      <c r="E4660" t="str">
        <f>"1241"</f>
        <v>1241</v>
      </c>
      <c r="F4660" t="str">
        <f t="shared" si="282"/>
        <v>0000</v>
      </c>
    </row>
    <row r="4661" spans="1:6">
      <c r="C4661" t="str">
        <f t="shared" si="281"/>
        <v>4</v>
      </c>
      <c r="D4661">
        <v>27</v>
      </c>
      <c r="E4661" t="str">
        <f>"1421"</f>
        <v>1421</v>
      </c>
      <c r="F4661" t="str">
        <f t="shared" si="282"/>
        <v>0000</v>
      </c>
    </row>
    <row r="4662" spans="1:6">
      <c r="C4662" t="str">
        <f t="shared" si="281"/>
        <v>4</v>
      </c>
      <c r="D4662">
        <v>27</v>
      </c>
      <c r="E4662" t="str">
        <f>"1855"</f>
        <v>1855</v>
      </c>
      <c r="F4662" t="str">
        <f t="shared" si="282"/>
        <v>0000</v>
      </c>
    </row>
    <row r="4663" spans="1:6">
      <c r="C4663" t="str">
        <f t="shared" si="281"/>
        <v>4</v>
      </c>
      <c r="D4663">
        <v>27</v>
      </c>
      <c r="E4663" t="str">
        <f>"588"</f>
        <v>588</v>
      </c>
      <c r="F4663" t="str">
        <f t="shared" si="282"/>
        <v>0000</v>
      </c>
    </row>
    <row r="4664" spans="1:6">
      <c r="C4664" t="str">
        <f t="shared" si="281"/>
        <v>4</v>
      </c>
      <c r="D4664">
        <v>27</v>
      </c>
      <c r="E4664" t="str">
        <f>"676"</f>
        <v>676</v>
      </c>
      <c r="F4664" t="str">
        <f t="shared" si="282"/>
        <v>0000</v>
      </c>
    </row>
    <row r="4665" spans="1:6">
      <c r="C4665" t="str">
        <f t="shared" si="281"/>
        <v>4</v>
      </c>
      <c r="D4665">
        <v>27</v>
      </c>
      <c r="E4665" t="str">
        <f>"99999"</f>
        <v>99999</v>
      </c>
      <c r="F4665" t="str">
        <f t="shared" si="282"/>
        <v>0000</v>
      </c>
    </row>
    <row r="4666" spans="1:6">
      <c r="C4666" t="str">
        <f t="shared" si="281"/>
        <v>4</v>
      </c>
      <c r="D4666">
        <v>27</v>
      </c>
      <c r="E4666" t="str">
        <f>"975"</f>
        <v>975</v>
      </c>
      <c r="F4666" t="str">
        <f t="shared" si="282"/>
        <v>0000</v>
      </c>
    </row>
    <row r="4667" spans="1:6">
      <c r="C4667" t="str">
        <f t="shared" ref="C4667:C4723" si="283">"4"</f>
        <v>4</v>
      </c>
      <c r="D4667">
        <v>27</v>
      </c>
      <c r="E4667" t="str">
        <f>"678"</f>
        <v>678</v>
      </c>
      <c r="F4667" t="str">
        <f t="shared" ref="F4667:F4724" si="284">"0000"</f>
        <v>0000</v>
      </c>
    </row>
    <row r="4668" spans="1:6">
      <c r="C4668" t="str">
        <f t="shared" si="283"/>
        <v>4</v>
      </c>
      <c r="D4668">
        <v>27</v>
      </c>
      <c r="E4668" t="str">
        <f>"677"</f>
        <v>677</v>
      </c>
      <c r="F4668" t="str">
        <f t="shared" si="284"/>
        <v>0000</v>
      </c>
    </row>
    <row r="4669" spans="1:6">
      <c r="C4669" t="str">
        <f t="shared" si="283"/>
        <v>4</v>
      </c>
      <c r="D4669">
        <v>27</v>
      </c>
      <c r="E4669" t="str">
        <f>"589"</f>
        <v>589</v>
      </c>
      <c r="F4669" t="str">
        <f t="shared" si="284"/>
        <v>0000</v>
      </c>
    </row>
    <row r="4670" spans="1:6">
      <c r="C4670" t="str">
        <f t="shared" si="283"/>
        <v>4</v>
      </c>
      <c r="D4670">
        <v>27</v>
      </c>
      <c r="E4670" t="str">
        <f>"587"</f>
        <v>587</v>
      </c>
      <c r="F4670" t="str">
        <f t="shared" si="284"/>
        <v>0000</v>
      </c>
    </row>
    <row r="4671" spans="1:6">
      <c r="C4671" t="str">
        <f t="shared" si="283"/>
        <v>4</v>
      </c>
      <c r="D4671">
        <v>27</v>
      </c>
      <c r="E4671" t="str">
        <f>"1422"</f>
        <v>1422</v>
      </c>
      <c r="F4671" t="str">
        <f t="shared" si="284"/>
        <v>0000</v>
      </c>
    </row>
    <row r="4672" spans="1:6">
      <c r="A4672" t="str">
        <f>"E1235-587"</f>
        <v>E1235-587</v>
      </c>
      <c r="B4672" t="str">
        <f>"VIA FELICE MARITANO  95-"</f>
        <v>VIA FELICE MARITANO  95-</v>
      </c>
      <c r="C4672" t="str">
        <f t="shared" si="283"/>
        <v>4</v>
      </c>
      <c r="D4672">
        <v>27</v>
      </c>
      <c r="E4672" t="str">
        <f>"124"</f>
        <v>124</v>
      </c>
      <c r="F4672" t="str">
        <f t="shared" si="284"/>
        <v>0000</v>
      </c>
    </row>
    <row r="4673" spans="1:6">
      <c r="C4673" t="str">
        <f t="shared" si="283"/>
        <v>4</v>
      </c>
      <c r="D4673">
        <v>27</v>
      </c>
      <c r="E4673" t="str">
        <f>"99999"</f>
        <v>99999</v>
      </c>
      <c r="F4673" t="str">
        <f t="shared" si="284"/>
        <v>0000</v>
      </c>
    </row>
    <row r="4674" spans="1:6">
      <c r="C4674" t="str">
        <f t="shared" si="283"/>
        <v>4</v>
      </c>
      <c r="D4674">
        <v>27</v>
      </c>
      <c r="E4674" t="str">
        <f>"975"</f>
        <v>975</v>
      </c>
      <c r="F4674" t="str">
        <f t="shared" si="284"/>
        <v>0000</v>
      </c>
    </row>
    <row r="4675" spans="1:6">
      <c r="C4675" t="str">
        <f t="shared" si="283"/>
        <v>4</v>
      </c>
      <c r="D4675">
        <v>27</v>
      </c>
      <c r="E4675" t="str">
        <f>"678"</f>
        <v>678</v>
      </c>
      <c r="F4675" t="str">
        <f t="shared" si="284"/>
        <v>0000</v>
      </c>
    </row>
    <row r="4676" spans="1:6">
      <c r="C4676" t="str">
        <f t="shared" si="283"/>
        <v>4</v>
      </c>
      <c r="D4676">
        <v>27</v>
      </c>
      <c r="E4676" t="str">
        <f>"677"</f>
        <v>677</v>
      </c>
      <c r="F4676" t="str">
        <f t="shared" si="284"/>
        <v>0000</v>
      </c>
    </row>
    <row r="4677" spans="1:6">
      <c r="C4677" t="str">
        <f t="shared" si="283"/>
        <v>4</v>
      </c>
      <c r="D4677">
        <v>27</v>
      </c>
      <c r="E4677" t="str">
        <f>"676"</f>
        <v>676</v>
      </c>
      <c r="F4677" t="str">
        <f t="shared" si="284"/>
        <v>0000</v>
      </c>
    </row>
    <row r="4678" spans="1:6">
      <c r="C4678" t="str">
        <f t="shared" si="283"/>
        <v>4</v>
      </c>
      <c r="D4678">
        <v>27</v>
      </c>
      <c r="E4678" t="str">
        <f>"589"</f>
        <v>589</v>
      </c>
      <c r="F4678" t="str">
        <f t="shared" si="284"/>
        <v>0000</v>
      </c>
    </row>
    <row r="4679" spans="1:6">
      <c r="C4679" t="str">
        <f t="shared" si="283"/>
        <v>4</v>
      </c>
      <c r="D4679">
        <v>27</v>
      </c>
      <c r="E4679" t="str">
        <f>"588"</f>
        <v>588</v>
      </c>
      <c r="F4679" t="str">
        <f t="shared" si="284"/>
        <v>0000</v>
      </c>
    </row>
    <row r="4680" spans="1:6">
      <c r="C4680" t="str">
        <f t="shared" si="283"/>
        <v>4</v>
      </c>
      <c r="D4680">
        <v>27</v>
      </c>
      <c r="E4680" t="str">
        <f>"587"</f>
        <v>587</v>
      </c>
      <c r="F4680" t="str">
        <f t="shared" si="284"/>
        <v>0000</v>
      </c>
    </row>
    <row r="4681" spans="1:6">
      <c r="C4681" t="str">
        <f t="shared" si="283"/>
        <v>4</v>
      </c>
      <c r="D4681">
        <v>27</v>
      </c>
      <c r="E4681" t="str">
        <f>"1855"</f>
        <v>1855</v>
      </c>
      <c r="F4681" t="str">
        <f t="shared" si="284"/>
        <v>0000</v>
      </c>
    </row>
    <row r="4682" spans="1:6">
      <c r="C4682" t="str">
        <f t="shared" si="283"/>
        <v>4</v>
      </c>
      <c r="D4682">
        <v>27</v>
      </c>
      <c r="E4682" t="str">
        <f>"1241"</f>
        <v>1241</v>
      </c>
      <c r="F4682" t="str">
        <f t="shared" si="284"/>
        <v>0000</v>
      </c>
    </row>
    <row r="4683" spans="1:6">
      <c r="C4683" t="str">
        <f t="shared" si="283"/>
        <v>4</v>
      </c>
      <c r="D4683">
        <v>27</v>
      </c>
      <c r="E4683" t="str">
        <f>"1422"</f>
        <v>1422</v>
      </c>
      <c r="F4683" t="str">
        <f t="shared" si="284"/>
        <v>0000</v>
      </c>
    </row>
    <row r="4684" spans="1:6">
      <c r="C4684" t="str">
        <f t="shared" si="283"/>
        <v>4</v>
      </c>
      <c r="D4684">
        <v>27</v>
      </c>
      <c r="E4684" t="str">
        <f>"1421"</f>
        <v>1421</v>
      </c>
      <c r="F4684" t="str">
        <f t="shared" si="284"/>
        <v>0000</v>
      </c>
    </row>
    <row r="4685" spans="1:6">
      <c r="A4685" t="str">
        <f>"E1235-588"</f>
        <v>E1235-588</v>
      </c>
      <c r="B4685" t="str">
        <f>"VIA FELICE MARITANO  95-"</f>
        <v>VIA FELICE MARITANO  95-</v>
      </c>
      <c r="C4685" t="str">
        <f t="shared" si="283"/>
        <v>4</v>
      </c>
      <c r="D4685">
        <v>27</v>
      </c>
      <c r="E4685" t="str">
        <f>"124"</f>
        <v>124</v>
      </c>
      <c r="F4685" t="str">
        <f t="shared" si="284"/>
        <v>0000</v>
      </c>
    </row>
    <row r="4686" spans="1:6">
      <c r="C4686" t="str">
        <f t="shared" si="283"/>
        <v>4</v>
      </c>
      <c r="D4686">
        <v>27</v>
      </c>
      <c r="E4686" t="str">
        <f>"1241"</f>
        <v>1241</v>
      </c>
      <c r="F4686" t="str">
        <f t="shared" si="284"/>
        <v>0000</v>
      </c>
    </row>
    <row r="4687" spans="1:6">
      <c r="C4687" t="str">
        <f t="shared" si="283"/>
        <v>4</v>
      </c>
      <c r="D4687">
        <v>27</v>
      </c>
      <c r="E4687" t="str">
        <f>"1422"</f>
        <v>1422</v>
      </c>
      <c r="F4687" t="str">
        <f t="shared" si="284"/>
        <v>0000</v>
      </c>
    </row>
    <row r="4688" spans="1:6">
      <c r="C4688" t="str">
        <f t="shared" si="283"/>
        <v>4</v>
      </c>
      <c r="D4688">
        <v>27</v>
      </c>
      <c r="E4688" t="str">
        <f>"587"</f>
        <v>587</v>
      </c>
      <c r="F4688" t="str">
        <f t="shared" si="284"/>
        <v>0000</v>
      </c>
    </row>
    <row r="4689" spans="1:6">
      <c r="C4689" t="str">
        <f t="shared" si="283"/>
        <v>4</v>
      </c>
      <c r="D4689">
        <v>27</v>
      </c>
      <c r="E4689" t="str">
        <f>"589"</f>
        <v>589</v>
      </c>
      <c r="F4689" t="str">
        <f t="shared" si="284"/>
        <v>0000</v>
      </c>
    </row>
    <row r="4690" spans="1:6">
      <c r="C4690" t="str">
        <f t="shared" si="283"/>
        <v>4</v>
      </c>
      <c r="D4690">
        <v>27</v>
      </c>
      <c r="E4690" t="str">
        <f>"99999"</f>
        <v>99999</v>
      </c>
      <c r="F4690" t="str">
        <f t="shared" si="284"/>
        <v>0000</v>
      </c>
    </row>
    <row r="4691" spans="1:6">
      <c r="C4691" t="str">
        <f t="shared" si="283"/>
        <v>4</v>
      </c>
      <c r="D4691">
        <v>27</v>
      </c>
      <c r="E4691" t="str">
        <f>"975"</f>
        <v>975</v>
      </c>
      <c r="F4691" t="str">
        <f t="shared" si="284"/>
        <v>0000</v>
      </c>
    </row>
    <row r="4692" spans="1:6">
      <c r="C4692" t="str">
        <f t="shared" si="283"/>
        <v>4</v>
      </c>
      <c r="D4692">
        <v>27</v>
      </c>
      <c r="E4692" t="str">
        <f>"678"</f>
        <v>678</v>
      </c>
      <c r="F4692" t="str">
        <f t="shared" si="284"/>
        <v>0000</v>
      </c>
    </row>
    <row r="4693" spans="1:6">
      <c r="C4693" t="str">
        <f t="shared" si="283"/>
        <v>4</v>
      </c>
      <c r="D4693">
        <v>27</v>
      </c>
      <c r="E4693" t="str">
        <f>"677"</f>
        <v>677</v>
      </c>
      <c r="F4693" t="str">
        <f t="shared" si="284"/>
        <v>0000</v>
      </c>
    </row>
    <row r="4694" spans="1:6">
      <c r="C4694" t="str">
        <f t="shared" si="283"/>
        <v>4</v>
      </c>
      <c r="D4694">
        <v>27</v>
      </c>
      <c r="E4694" t="str">
        <f>"676"</f>
        <v>676</v>
      </c>
      <c r="F4694" t="str">
        <f t="shared" si="284"/>
        <v>0000</v>
      </c>
    </row>
    <row r="4695" spans="1:6">
      <c r="C4695" t="str">
        <f t="shared" si="283"/>
        <v>4</v>
      </c>
      <c r="D4695">
        <v>27</v>
      </c>
      <c r="E4695" t="str">
        <f>"588"</f>
        <v>588</v>
      </c>
      <c r="F4695" t="str">
        <f t="shared" si="284"/>
        <v>0000</v>
      </c>
    </row>
    <row r="4696" spans="1:6">
      <c r="C4696" t="str">
        <f t="shared" si="283"/>
        <v>4</v>
      </c>
      <c r="D4696">
        <v>27</v>
      </c>
      <c r="E4696" t="str">
        <f>"1855"</f>
        <v>1855</v>
      </c>
      <c r="F4696" t="str">
        <f t="shared" si="284"/>
        <v>0000</v>
      </c>
    </row>
    <row r="4697" spans="1:6">
      <c r="C4697" t="str">
        <f t="shared" si="283"/>
        <v>4</v>
      </c>
      <c r="D4697">
        <v>27</v>
      </c>
      <c r="E4697" t="str">
        <f>"1421"</f>
        <v>1421</v>
      </c>
      <c r="F4697" t="str">
        <f t="shared" si="284"/>
        <v>0000</v>
      </c>
    </row>
    <row r="4698" spans="1:6">
      <c r="A4698" t="str">
        <f>"E1235-589"</f>
        <v>E1235-589</v>
      </c>
      <c r="B4698" t="str">
        <f>"VIA FELICE MARITANO  95-"</f>
        <v>VIA FELICE MARITANO  95-</v>
      </c>
      <c r="C4698" t="str">
        <f t="shared" si="283"/>
        <v>4</v>
      </c>
      <c r="D4698">
        <v>27</v>
      </c>
      <c r="E4698" t="str">
        <f>"124"</f>
        <v>124</v>
      </c>
      <c r="F4698" t="str">
        <f t="shared" si="284"/>
        <v>0000</v>
      </c>
    </row>
    <row r="4699" spans="1:6">
      <c r="C4699" t="str">
        <f t="shared" si="283"/>
        <v>4</v>
      </c>
      <c r="D4699">
        <v>27</v>
      </c>
      <c r="E4699" t="str">
        <f>"1421"</f>
        <v>1421</v>
      </c>
      <c r="F4699" t="str">
        <f t="shared" si="284"/>
        <v>0000</v>
      </c>
    </row>
    <row r="4700" spans="1:6">
      <c r="C4700" t="str">
        <f t="shared" si="283"/>
        <v>4</v>
      </c>
      <c r="D4700">
        <v>27</v>
      </c>
      <c r="E4700" t="str">
        <f>"1422"</f>
        <v>1422</v>
      </c>
      <c r="F4700" t="str">
        <f t="shared" si="284"/>
        <v>0000</v>
      </c>
    </row>
    <row r="4701" spans="1:6">
      <c r="C4701" t="str">
        <f t="shared" si="283"/>
        <v>4</v>
      </c>
      <c r="D4701">
        <v>27</v>
      </c>
      <c r="E4701" t="str">
        <f>"1241"</f>
        <v>1241</v>
      </c>
      <c r="F4701" t="str">
        <f t="shared" si="284"/>
        <v>0000</v>
      </c>
    </row>
    <row r="4702" spans="1:6">
      <c r="C4702" t="str">
        <f t="shared" si="283"/>
        <v>4</v>
      </c>
      <c r="D4702">
        <v>27</v>
      </c>
      <c r="E4702" t="str">
        <f>"1855"</f>
        <v>1855</v>
      </c>
      <c r="F4702" t="str">
        <f t="shared" si="284"/>
        <v>0000</v>
      </c>
    </row>
    <row r="4703" spans="1:6">
      <c r="C4703" t="str">
        <f t="shared" si="283"/>
        <v>4</v>
      </c>
      <c r="D4703">
        <v>27</v>
      </c>
      <c r="E4703" t="str">
        <f>"588"</f>
        <v>588</v>
      </c>
      <c r="F4703" t="str">
        <f t="shared" si="284"/>
        <v>0000</v>
      </c>
    </row>
    <row r="4704" spans="1:6">
      <c r="C4704" t="str">
        <f t="shared" si="283"/>
        <v>4</v>
      </c>
      <c r="D4704">
        <v>27</v>
      </c>
      <c r="E4704" t="str">
        <f>"676"</f>
        <v>676</v>
      </c>
      <c r="F4704" t="str">
        <f t="shared" si="284"/>
        <v>0000</v>
      </c>
    </row>
    <row r="4705" spans="1:6">
      <c r="C4705" t="str">
        <f t="shared" si="283"/>
        <v>4</v>
      </c>
      <c r="D4705">
        <v>27</v>
      </c>
      <c r="E4705" t="str">
        <f>"678"</f>
        <v>678</v>
      </c>
      <c r="F4705" t="str">
        <f t="shared" si="284"/>
        <v>0000</v>
      </c>
    </row>
    <row r="4706" spans="1:6">
      <c r="C4706" t="str">
        <f t="shared" si="283"/>
        <v>4</v>
      </c>
      <c r="D4706">
        <v>27</v>
      </c>
      <c r="E4706" t="str">
        <f>"99999"</f>
        <v>99999</v>
      </c>
      <c r="F4706" t="str">
        <f t="shared" si="284"/>
        <v>0000</v>
      </c>
    </row>
    <row r="4707" spans="1:6">
      <c r="C4707" t="str">
        <f t="shared" si="283"/>
        <v>4</v>
      </c>
      <c r="D4707">
        <v>27</v>
      </c>
      <c r="E4707" t="str">
        <f>"975"</f>
        <v>975</v>
      </c>
      <c r="F4707" t="str">
        <f t="shared" si="284"/>
        <v>0000</v>
      </c>
    </row>
    <row r="4708" spans="1:6">
      <c r="C4708" t="str">
        <f t="shared" si="283"/>
        <v>4</v>
      </c>
      <c r="D4708">
        <v>27</v>
      </c>
      <c r="E4708" t="str">
        <f>"677"</f>
        <v>677</v>
      </c>
      <c r="F4708" t="str">
        <f t="shared" si="284"/>
        <v>0000</v>
      </c>
    </row>
    <row r="4709" spans="1:6">
      <c r="C4709" t="str">
        <f t="shared" si="283"/>
        <v>4</v>
      </c>
      <c r="D4709">
        <v>27</v>
      </c>
      <c r="E4709" t="str">
        <f>"589"</f>
        <v>589</v>
      </c>
      <c r="F4709" t="str">
        <f t="shared" si="284"/>
        <v>0000</v>
      </c>
    </row>
    <row r="4710" spans="1:6">
      <c r="C4710" t="str">
        <f t="shared" si="283"/>
        <v>4</v>
      </c>
      <c r="D4710">
        <v>27</v>
      </c>
      <c r="E4710" t="str">
        <f>"587"</f>
        <v>587</v>
      </c>
      <c r="F4710" t="str">
        <f t="shared" si="284"/>
        <v>0000</v>
      </c>
    </row>
    <row r="4711" spans="1:6">
      <c r="A4711" t="str">
        <f>"E1235-590"</f>
        <v>E1235-590</v>
      </c>
      <c r="B4711" t="str">
        <f>"VIA FELICE MARITANO  95-"</f>
        <v>VIA FELICE MARITANO  95-</v>
      </c>
      <c r="C4711" t="str">
        <f t="shared" si="283"/>
        <v>4</v>
      </c>
      <c r="D4711">
        <v>27</v>
      </c>
      <c r="E4711" t="str">
        <f>"124"</f>
        <v>124</v>
      </c>
      <c r="F4711" t="str">
        <f t="shared" si="284"/>
        <v>0000</v>
      </c>
    </row>
    <row r="4712" spans="1:6">
      <c r="C4712" t="str">
        <f t="shared" si="283"/>
        <v>4</v>
      </c>
      <c r="D4712">
        <v>27</v>
      </c>
      <c r="E4712" t="str">
        <f>"1422"</f>
        <v>1422</v>
      </c>
      <c r="F4712" t="str">
        <f t="shared" si="284"/>
        <v>0000</v>
      </c>
    </row>
    <row r="4713" spans="1:6">
      <c r="C4713" t="str">
        <f t="shared" si="283"/>
        <v>4</v>
      </c>
      <c r="D4713">
        <v>27</v>
      </c>
      <c r="E4713" t="str">
        <f>"587"</f>
        <v>587</v>
      </c>
      <c r="F4713" t="str">
        <f t="shared" si="284"/>
        <v>0000</v>
      </c>
    </row>
    <row r="4714" spans="1:6">
      <c r="C4714" t="str">
        <f t="shared" si="283"/>
        <v>4</v>
      </c>
      <c r="D4714">
        <v>27</v>
      </c>
      <c r="E4714" t="str">
        <f>"99999"</f>
        <v>99999</v>
      </c>
      <c r="F4714" t="str">
        <f t="shared" si="284"/>
        <v>0000</v>
      </c>
    </row>
    <row r="4715" spans="1:6">
      <c r="C4715" t="str">
        <f t="shared" si="283"/>
        <v>4</v>
      </c>
      <c r="D4715">
        <v>27</v>
      </c>
      <c r="E4715" t="str">
        <f>"975"</f>
        <v>975</v>
      </c>
      <c r="F4715" t="str">
        <f t="shared" si="284"/>
        <v>0000</v>
      </c>
    </row>
    <row r="4716" spans="1:6">
      <c r="C4716" t="str">
        <f t="shared" si="283"/>
        <v>4</v>
      </c>
      <c r="D4716">
        <v>27</v>
      </c>
      <c r="E4716" t="str">
        <f>"678"</f>
        <v>678</v>
      </c>
      <c r="F4716" t="str">
        <f t="shared" si="284"/>
        <v>0000</v>
      </c>
    </row>
    <row r="4717" spans="1:6">
      <c r="C4717" t="str">
        <f t="shared" si="283"/>
        <v>4</v>
      </c>
      <c r="D4717">
        <v>27</v>
      </c>
      <c r="E4717" t="str">
        <f>"677"</f>
        <v>677</v>
      </c>
      <c r="F4717" t="str">
        <f t="shared" si="284"/>
        <v>0000</v>
      </c>
    </row>
    <row r="4718" spans="1:6">
      <c r="C4718" t="str">
        <f t="shared" si="283"/>
        <v>4</v>
      </c>
      <c r="D4718">
        <v>27</v>
      </c>
      <c r="E4718" t="str">
        <f>"676"</f>
        <v>676</v>
      </c>
      <c r="F4718" t="str">
        <f t="shared" si="284"/>
        <v>0000</v>
      </c>
    </row>
    <row r="4719" spans="1:6">
      <c r="C4719" t="str">
        <f t="shared" si="283"/>
        <v>4</v>
      </c>
      <c r="D4719">
        <v>27</v>
      </c>
      <c r="E4719" t="str">
        <f>"589"</f>
        <v>589</v>
      </c>
      <c r="F4719" t="str">
        <f t="shared" si="284"/>
        <v>0000</v>
      </c>
    </row>
    <row r="4720" spans="1:6">
      <c r="C4720" t="str">
        <f t="shared" si="283"/>
        <v>4</v>
      </c>
      <c r="D4720">
        <v>27</v>
      </c>
      <c r="E4720" t="str">
        <f>"588"</f>
        <v>588</v>
      </c>
      <c r="F4720" t="str">
        <f t="shared" si="284"/>
        <v>0000</v>
      </c>
    </row>
    <row r="4721" spans="1:6">
      <c r="C4721" t="str">
        <f t="shared" si="283"/>
        <v>4</v>
      </c>
      <c r="D4721">
        <v>27</v>
      </c>
      <c r="E4721" t="str">
        <f>"1855"</f>
        <v>1855</v>
      </c>
      <c r="F4721" t="str">
        <f t="shared" si="284"/>
        <v>0000</v>
      </c>
    </row>
    <row r="4722" spans="1:6">
      <c r="C4722" t="str">
        <f t="shared" si="283"/>
        <v>4</v>
      </c>
      <c r="D4722">
        <v>27</v>
      </c>
      <c r="E4722" t="str">
        <f>"1421"</f>
        <v>1421</v>
      </c>
      <c r="F4722" t="str">
        <f t="shared" si="284"/>
        <v>0000</v>
      </c>
    </row>
    <row r="4723" spans="1:6">
      <c r="C4723" t="str">
        <f t="shared" si="283"/>
        <v>4</v>
      </c>
      <c r="D4723">
        <v>27</v>
      </c>
      <c r="E4723" t="str">
        <f>"1241"</f>
        <v>1241</v>
      </c>
      <c r="F4723" t="str">
        <f t="shared" si="284"/>
        <v>0000</v>
      </c>
    </row>
    <row r="4724" spans="1:6">
      <c r="A4724" t="str">
        <f>"E1236-1"</f>
        <v>E1236-1</v>
      </c>
      <c r="B4724" t="str">
        <f>"VIA ISOCORTE  10A-"</f>
        <v>VIA ISOCORTE  10A-</v>
      </c>
      <c r="C4724" t="str">
        <f>"PON"</f>
        <v>PON</v>
      </c>
      <c r="D4724">
        <v>4</v>
      </c>
      <c r="E4724" t="str">
        <f>"608"</f>
        <v>608</v>
      </c>
      <c r="F4724" t="str">
        <f t="shared" si="284"/>
        <v>0000</v>
      </c>
    </row>
    <row r="4725" spans="1:6">
      <c r="A4725" t="str">
        <f>"E1237-1"</f>
        <v>E1237-1</v>
      </c>
      <c r="B4725" t="str">
        <f t="shared" ref="B4725:B4763" si="285">"VIA FELICE MARITANO  67-"</f>
        <v>VIA FELICE MARITANO  67-</v>
      </c>
      <c r="C4725" t="str">
        <f t="shared" ref="C4725:C4788" si="286">"RIV"</f>
        <v>RIV</v>
      </c>
      <c r="D4725">
        <v>27</v>
      </c>
      <c r="E4725" t="str">
        <f t="shared" ref="E4725:E4763" si="287">"565"</f>
        <v>565</v>
      </c>
      <c r="F4725" t="str">
        <f>"40"</f>
        <v>40</v>
      </c>
    </row>
    <row r="4726" spans="1:6">
      <c r="A4726" t="str">
        <f>"E1237-2"</f>
        <v>E1237-2</v>
      </c>
      <c r="B4726" t="str">
        <f t="shared" si="285"/>
        <v>VIA FELICE MARITANO  67-</v>
      </c>
      <c r="C4726" t="str">
        <f t="shared" si="286"/>
        <v>RIV</v>
      </c>
      <c r="D4726">
        <v>27</v>
      </c>
      <c r="E4726" t="str">
        <f t="shared" si="287"/>
        <v>565</v>
      </c>
      <c r="F4726" t="str">
        <f>"41"</f>
        <v>41</v>
      </c>
    </row>
    <row r="4727" spans="1:6">
      <c r="A4727" t="str">
        <f>"E1237-3"</f>
        <v>E1237-3</v>
      </c>
      <c r="B4727" t="str">
        <f t="shared" si="285"/>
        <v>VIA FELICE MARITANO  67-</v>
      </c>
      <c r="C4727" t="str">
        <f t="shared" si="286"/>
        <v>RIV</v>
      </c>
      <c r="D4727">
        <v>27</v>
      </c>
      <c r="E4727" t="str">
        <f t="shared" si="287"/>
        <v>565</v>
      </c>
      <c r="F4727" t="str">
        <f>"42"</f>
        <v>42</v>
      </c>
    </row>
    <row r="4728" spans="1:6">
      <c r="A4728" t="str">
        <f>"E1237-4"</f>
        <v>E1237-4</v>
      </c>
      <c r="B4728" t="str">
        <f t="shared" si="285"/>
        <v>VIA FELICE MARITANO  67-</v>
      </c>
      <c r="C4728" t="str">
        <f t="shared" si="286"/>
        <v>RIV</v>
      </c>
      <c r="D4728">
        <v>27</v>
      </c>
      <c r="E4728" t="str">
        <f t="shared" si="287"/>
        <v>565</v>
      </c>
      <c r="F4728" t="str">
        <f>"43"</f>
        <v>43</v>
      </c>
    </row>
    <row r="4729" spans="1:6">
      <c r="A4729" t="str">
        <f>"E1237-5"</f>
        <v>E1237-5</v>
      </c>
      <c r="B4729" t="str">
        <f t="shared" si="285"/>
        <v>VIA FELICE MARITANO  67-</v>
      </c>
      <c r="C4729" t="str">
        <f t="shared" si="286"/>
        <v>RIV</v>
      </c>
      <c r="D4729">
        <v>27</v>
      </c>
      <c r="E4729" t="str">
        <f t="shared" si="287"/>
        <v>565</v>
      </c>
      <c r="F4729" t="str">
        <f>"44"</f>
        <v>44</v>
      </c>
    </row>
    <row r="4730" spans="1:6">
      <c r="A4730" t="str">
        <f>"E1237-6"</f>
        <v>E1237-6</v>
      </c>
      <c r="B4730" t="str">
        <f t="shared" si="285"/>
        <v>VIA FELICE MARITANO  67-</v>
      </c>
      <c r="C4730" t="str">
        <f t="shared" si="286"/>
        <v>RIV</v>
      </c>
      <c r="D4730">
        <v>27</v>
      </c>
      <c r="E4730" t="str">
        <f t="shared" si="287"/>
        <v>565</v>
      </c>
      <c r="F4730" t="str">
        <f>"45"</f>
        <v>45</v>
      </c>
    </row>
    <row r="4731" spans="1:6">
      <c r="A4731" t="str">
        <f>"E1237-7"</f>
        <v>E1237-7</v>
      </c>
      <c r="B4731" t="str">
        <f t="shared" si="285"/>
        <v>VIA FELICE MARITANO  67-</v>
      </c>
      <c r="C4731" t="str">
        <f t="shared" si="286"/>
        <v>RIV</v>
      </c>
      <c r="D4731">
        <v>27</v>
      </c>
      <c r="E4731" t="str">
        <f t="shared" si="287"/>
        <v>565</v>
      </c>
      <c r="F4731" t="str">
        <f>"46"</f>
        <v>46</v>
      </c>
    </row>
    <row r="4732" spans="1:6">
      <c r="A4732" t="str">
        <f>"E1237-8"</f>
        <v>E1237-8</v>
      </c>
      <c r="B4732" t="str">
        <f t="shared" si="285"/>
        <v>VIA FELICE MARITANO  67-</v>
      </c>
      <c r="C4732" t="str">
        <f t="shared" si="286"/>
        <v>RIV</v>
      </c>
      <c r="D4732">
        <v>27</v>
      </c>
      <c r="E4732" t="str">
        <f t="shared" si="287"/>
        <v>565</v>
      </c>
      <c r="F4732" t="str">
        <f>"47"</f>
        <v>47</v>
      </c>
    </row>
    <row r="4733" spans="1:6">
      <c r="A4733" t="str">
        <f>"E1237-9"</f>
        <v>E1237-9</v>
      </c>
      <c r="B4733" t="str">
        <f t="shared" si="285"/>
        <v>VIA FELICE MARITANO  67-</v>
      </c>
      <c r="C4733" t="str">
        <f t="shared" si="286"/>
        <v>RIV</v>
      </c>
      <c r="D4733">
        <v>27</v>
      </c>
      <c r="E4733" t="str">
        <f t="shared" si="287"/>
        <v>565</v>
      </c>
      <c r="F4733" t="str">
        <f>"48"</f>
        <v>48</v>
      </c>
    </row>
    <row r="4734" spans="1:6">
      <c r="A4734" t="str">
        <f>"E1237-10"</f>
        <v>E1237-10</v>
      </c>
      <c r="B4734" t="str">
        <f t="shared" si="285"/>
        <v>VIA FELICE MARITANO  67-</v>
      </c>
      <c r="C4734" t="str">
        <f t="shared" si="286"/>
        <v>RIV</v>
      </c>
      <c r="D4734">
        <v>27</v>
      </c>
      <c r="E4734" t="str">
        <f t="shared" si="287"/>
        <v>565</v>
      </c>
      <c r="F4734" t="str">
        <f>"49"</f>
        <v>49</v>
      </c>
    </row>
    <row r="4735" spans="1:6">
      <c r="A4735" t="str">
        <f>"E1237-11"</f>
        <v>E1237-11</v>
      </c>
      <c r="B4735" t="str">
        <f t="shared" si="285"/>
        <v>VIA FELICE MARITANO  67-</v>
      </c>
      <c r="C4735" t="str">
        <f t="shared" si="286"/>
        <v>RIV</v>
      </c>
      <c r="D4735">
        <v>27</v>
      </c>
      <c r="E4735" t="str">
        <f t="shared" si="287"/>
        <v>565</v>
      </c>
      <c r="F4735" t="str">
        <f>"50"</f>
        <v>50</v>
      </c>
    </row>
    <row r="4736" spans="1:6">
      <c r="A4736" t="str">
        <f>"E1237-12"</f>
        <v>E1237-12</v>
      </c>
      <c r="B4736" t="str">
        <f t="shared" si="285"/>
        <v>VIA FELICE MARITANO  67-</v>
      </c>
      <c r="C4736" t="str">
        <f t="shared" si="286"/>
        <v>RIV</v>
      </c>
      <c r="D4736">
        <v>27</v>
      </c>
      <c r="E4736" t="str">
        <f t="shared" si="287"/>
        <v>565</v>
      </c>
      <c r="F4736" t="str">
        <f>"51"</f>
        <v>51</v>
      </c>
    </row>
    <row r="4737" spans="1:6">
      <c r="A4737" t="str">
        <f>"E1237-13"</f>
        <v>E1237-13</v>
      </c>
      <c r="B4737" t="str">
        <f t="shared" si="285"/>
        <v>VIA FELICE MARITANO  67-</v>
      </c>
      <c r="C4737" t="str">
        <f t="shared" si="286"/>
        <v>RIV</v>
      </c>
      <c r="D4737">
        <v>27</v>
      </c>
      <c r="E4737" t="str">
        <f t="shared" si="287"/>
        <v>565</v>
      </c>
      <c r="F4737" t="str">
        <f>"52"</f>
        <v>52</v>
      </c>
    </row>
    <row r="4738" spans="1:6">
      <c r="A4738" t="str">
        <f>"E1237-14"</f>
        <v>E1237-14</v>
      </c>
      <c r="B4738" t="str">
        <f t="shared" si="285"/>
        <v>VIA FELICE MARITANO  67-</v>
      </c>
      <c r="C4738" t="str">
        <f t="shared" si="286"/>
        <v>RIV</v>
      </c>
      <c r="D4738">
        <v>27</v>
      </c>
      <c r="E4738" t="str">
        <f t="shared" si="287"/>
        <v>565</v>
      </c>
      <c r="F4738" t="str">
        <f>"53"</f>
        <v>53</v>
      </c>
    </row>
    <row r="4739" spans="1:6">
      <c r="A4739" t="str">
        <f>"E1237-15"</f>
        <v>E1237-15</v>
      </c>
      <c r="B4739" t="str">
        <f t="shared" si="285"/>
        <v>VIA FELICE MARITANO  67-</v>
      </c>
      <c r="C4739" t="str">
        <f t="shared" si="286"/>
        <v>RIV</v>
      </c>
      <c r="D4739">
        <v>27</v>
      </c>
      <c r="E4739" t="str">
        <f t="shared" si="287"/>
        <v>565</v>
      </c>
      <c r="F4739" t="str">
        <f>"54"</f>
        <v>54</v>
      </c>
    </row>
    <row r="4740" spans="1:6">
      <c r="A4740" t="str">
        <f>"E1237-16"</f>
        <v>E1237-16</v>
      </c>
      <c r="B4740" t="str">
        <f t="shared" si="285"/>
        <v>VIA FELICE MARITANO  67-</v>
      </c>
      <c r="C4740" t="str">
        <f t="shared" si="286"/>
        <v>RIV</v>
      </c>
      <c r="D4740">
        <v>27</v>
      </c>
      <c r="E4740" t="str">
        <f t="shared" si="287"/>
        <v>565</v>
      </c>
      <c r="F4740" t="str">
        <f>"55"</f>
        <v>55</v>
      </c>
    </row>
    <row r="4741" spans="1:6">
      <c r="A4741" t="str">
        <f>"E1237-17"</f>
        <v>E1237-17</v>
      </c>
      <c r="B4741" t="str">
        <f t="shared" si="285"/>
        <v>VIA FELICE MARITANO  67-</v>
      </c>
      <c r="C4741" t="str">
        <f t="shared" si="286"/>
        <v>RIV</v>
      </c>
      <c r="D4741">
        <v>27</v>
      </c>
      <c r="E4741" t="str">
        <f t="shared" si="287"/>
        <v>565</v>
      </c>
      <c r="F4741" t="str">
        <f>"56"</f>
        <v>56</v>
      </c>
    </row>
    <row r="4742" spans="1:6">
      <c r="A4742" t="str">
        <f>"E1237-18"</f>
        <v>E1237-18</v>
      </c>
      <c r="B4742" t="str">
        <f t="shared" si="285"/>
        <v>VIA FELICE MARITANO  67-</v>
      </c>
      <c r="C4742" t="str">
        <f t="shared" si="286"/>
        <v>RIV</v>
      </c>
      <c r="D4742">
        <v>27</v>
      </c>
      <c r="E4742" t="str">
        <f t="shared" si="287"/>
        <v>565</v>
      </c>
      <c r="F4742" t="str">
        <f>"57"</f>
        <v>57</v>
      </c>
    </row>
    <row r="4743" spans="1:6">
      <c r="A4743" t="str">
        <f>"E1237-19"</f>
        <v>E1237-19</v>
      </c>
      <c r="B4743" t="str">
        <f t="shared" si="285"/>
        <v>VIA FELICE MARITANO  67-</v>
      </c>
      <c r="C4743" t="str">
        <f t="shared" si="286"/>
        <v>RIV</v>
      </c>
      <c r="D4743">
        <v>27</v>
      </c>
      <c r="E4743" t="str">
        <f t="shared" si="287"/>
        <v>565</v>
      </c>
      <c r="F4743" t="str">
        <f>"58"</f>
        <v>58</v>
      </c>
    </row>
    <row r="4744" spans="1:6">
      <c r="A4744" t="str">
        <f>"E1237-20"</f>
        <v>E1237-20</v>
      </c>
      <c r="B4744" t="str">
        <f t="shared" si="285"/>
        <v>VIA FELICE MARITANO  67-</v>
      </c>
      <c r="C4744" t="str">
        <f t="shared" si="286"/>
        <v>RIV</v>
      </c>
      <c r="D4744">
        <v>27</v>
      </c>
      <c r="E4744" t="str">
        <f t="shared" si="287"/>
        <v>565</v>
      </c>
      <c r="F4744" t="str">
        <f>"59"</f>
        <v>59</v>
      </c>
    </row>
    <row r="4745" spans="1:6">
      <c r="A4745" t="str">
        <f>"E1237-21"</f>
        <v>E1237-21</v>
      </c>
      <c r="B4745" t="str">
        <f t="shared" si="285"/>
        <v>VIA FELICE MARITANO  67-</v>
      </c>
      <c r="C4745" t="str">
        <f t="shared" si="286"/>
        <v>RIV</v>
      </c>
      <c r="D4745">
        <v>27</v>
      </c>
      <c r="E4745" t="str">
        <f t="shared" si="287"/>
        <v>565</v>
      </c>
      <c r="F4745" t="str">
        <f>"60"</f>
        <v>60</v>
      </c>
    </row>
    <row r="4746" spans="1:6">
      <c r="A4746" t="str">
        <f>"E1237-22"</f>
        <v>E1237-22</v>
      </c>
      <c r="B4746" t="str">
        <f t="shared" si="285"/>
        <v>VIA FELICE MARITANO  67-</v>
      </c>
      <c r="C4746" t="str">
        <f t="shared" si="286"/>
        <v>RIV</v>
      </c>
      <c r="D4746">
        <v>27</v>
      </c>
      <c r="E4746" t="str">
        <f t="shared" si="287"/>
        <v>565</v>
      </c>
      <c r="F4746" t="str">
        <f>"61"</f>
        <v>61</v>
      </c>
    </row>
    <row r="4747" spans="1:6">
      <c r="A4747" t="str">
        <f>"E1237-23"</f>
        <v>E1237-23</v>
      </c>
      <c r="B4747" t="str">
        <f t="shared" si="285"/>
        <v>VIA FELICE MARITANO  67-</v>
      </c>
      <c r="C4747" t="str">
        <f t="shared" si="286"/>
        <v>RIV</v>
      </c>
      <c r="D4747">
        <v>27</v>
      </c>
      <c r="E4747" t="str">
        <f t="shared" si="287"/>
        <v>565</v>
      </c>
      <c r="F4747" t="str">
        <f>"62"</f>
        <v>62</v>
      </c>
    </row>
    <row r="4748" spans="1:6">
      <c r="A4748" t="str">
        <f>"E1237-24"</f>
        <v>E1237-24</v>
      </c>
      <c r="B4748" t="str">
        <f t="shared" si="285"/>
        <v>VIA FELICE MARITANO  67-</v>
      </c>
      <c r="C4748" t="str">
        <f t="shared" si="286"/>
        <v>RIV</v>
      </c>
      <c r="D4748">
        <v>27</v>
      </c>
      <c r="E4748" t="str">
        <f t="shared" si="287"/>
        <v>565</v>
      </c>
      <c r="F4748" t="str">
        <f>"63"</f>
        <v>63</v>
      </c>
    </row>
    <row r="4749" spans="1:6">
      <c r="A4749" t="str">
        <f>"E1237-25"</f>
        <v>E1237-25</v>
      </c>
      <c r="B4749" t="str">
        <f t="shared" si="285"/>
        <v>VIA FELICE MARITANO  67-</v>
      </c>
      <c r="C4749" t="str">
        <f t="shared" si="286"/>
        <v>RIV</v>
      </c>
      <c r="D4749">
        <v>27</v>
      </c>
      <c r="E4749" t="str">
        <f t="shared" si="287"/>
        <v>565</v>
      </c>
      <c r="F4749" t="str">
        <f>"64"</f>
        <v>64</v>
      </c>
    </row>
    <row r="4750" spans="1:6">
      <c r="A4750" t="str">
        <f>"E1237-26"</f>
        <v>E1237-26</v>
      </c>
      <c r="B4750" t="str">
        <f t="shared" si="285"/>
        <v>VIA FELICE MARITANO  67-</v>
      </c>
      <c r="C4750" t="str">
        <f t="shared" si="286"/>
        <v>RIV</v>
      </c>
      <c r="D4750">
        <v>27</v>
      </c>
      <c r="E4750" t="str">
        <f t="shared" si="287"/>
        <v>565</v>
      </c>
      <c r="F4750" t="str">
        <f>"65"</f>
        <v>65</v>
      </c>
    </row>
    <row r="4751" spans="1:6">
      <c r="A4751" t="str">
        <f>"E1237-27"</f>
        <v>E1237-27</v>
      </c>
      <c r="B4751" t="str">
        <f t="shared" si="285"/>
        <v>VIA FELICE MARITANO  67-</v>
      </c>
      <c r="C4751" t="str">
        <f t="shared" si="286"/>
        <v>RIV</v>
      </c>
      <c r="D4751">
        <v>27</v>
      </c>
      <c r="E4751" t="str">
        <f t="shared" si="287"/>
        <v>565</v>
      </c>
      <c r="F4751" t="str">
        <f>"66"</f>
        <v>66</v>
      </c>
    </row>
    <row r="4752" spans="1:6">
      <c r="A4752" t="str">
        <f>"E1237-28"</f>
        <v>E1237-28</v>
      </c>
      <c r="B4752" t="str">
        <f t="shared" si="285"/>
        <v>VIA FELICE MARITANO  67-</v>
      </c>
      <c r="C4752" t="str">
        <f t="shared" si="286"/>
        <v>RIV</v>
      </c>
      <c r="D4752">
        <v>27</v>
      </c>
      <c r="E4752" t="str">
        <f t="shared" si="287"/>
        <v>565</v>
      </c>
      <c r="F4752" t="str">
        <f>"67"</f>
        <v>67</v>
      </c>
    </row>
    <row r="4753" spans="1:6">
      <c r="A4753" t="str">
        <f>"E1237-29"</f>
        <v>E1237-29</v>
      </c>
      <c r="B4753" t="str">
        <f t="shared" si="285"/>
        <v>VIA FELICE MARITANO  67-</v>
      </c>
      <c r="C4753" t="str">
        <f t="shared" si="286"/>
        <v>RIV</v>
      </c>
      <c r="D4753">
        <v>27</v>
      </c>
      <c r="E4753" t="str">
        <f t="shared" si="287"/>
        <v>565</v>
      </c>
      <c r="F4753" t="str">
        <f>"68"</f>
        <v>68</v>
      </c>
    </row>
    <row r="4754" spans="1:6">
      <c r="A4754" t="str">
        <f>"E1237-30"</f>
        <v>E1237-30</v>
      </c>
      <c r="B4754" t="str">
        <f t="shared" si="285"/>
        <v>VIA FELICE MARITANO  67-</v>
      </c>
      <c r="C4754" t="str">
        <f t="shared" si="286"/>
        <v>RIV</v>
      </c>
      <c r="D4754">
        <v>27</v>
      </c>
      <c r="E4754" t="str">
        <f t="shared" si="287"/>
        <v>565</v>
      </c>
      <c r="F4754" t="str">
        <f>"69"</f>
        <v>69</v>
      </c>
    </row>
    <row r="4755" spans="1:6">
      <c r="A4755" t="str">
        <f>"E1237-31"</f>
        <v>E1237-31</v>
      </c>
      <c r="B4755" t="str">
        <f t="shared" si="285"/>
        <v>VIA FELICE MARITANO  67-</v>
      </c>
      <c r="C4755" t="str">
        <f t="shared" si="286"/>
        <v>RIV</v>
      </c>
      <c r="D4755">
        <v>27</v>
      </c>
      <c r="E4755" t="str">
        <f t="shared" si="287"/>
        <v>565</v>
      </c>
      <c r="F4755" t="str">
        <f>"70"</f>
        <v>70</v>
      </c>
    </row>
    <row r="4756" spans="1:6">
      <c r="A4756" t="str">
        <f>"E1237-32"</f>
        <v>E1237-32</v>
      </c>
      <c r="B4756" t="str">
        <f t="shared" si="285"/>
        <v>VIA FELICE MARITANO  67-</v>
      </c>
      <c r="C4756" t="str">
        <f t="shared" si="286"/>
        <v>RIV</v>
      </c>
      <c r="D4756">
        <v>27</v>
      </c>
      <c r="E4756" t="str">
        <f t="shared" si="287"/>
        <v>565</v>
      </c>
      <c r="F4756" t="str">
        <f>"71"</f>
        <v>71</v>
      </c>
    </row>
    <row r="4757" spans="1:6">
      <c r="A4757" t="str">
        <f>"E1237-33"</f>
        <v>E1237-33</v>
      </c>
      <c r="B4757" t="str">
        <f t="shared" si="285"/>
        <v>VIA FELICE MARITANO  67-</v>
      </c>
      <c r="C4757" t="str">
        <f t="shared" si="286"/>
        <v>RIV</v>
      </c>
      <c r="D4757">
        <v>27</v>
      </c>
      <c r="E4757" t="str">
        <f t="shared" si="287"/>
        <v>565</v>
      </c>
      <c r="F4757" t="str">
        <f>"72"</f>
        <v>72</v>
      </c>
    </row>
    <row r="4758" spans="1:6">
      <c r="A4758" t="str">
        <f>"E1237-34"</f>
        <v>E1237-34</v>
      </c>
      <c r="B4758" t="str">
        <f t="shared" si="285"/>
        <v>VIA FELICE MARITANO  67-</v>
      </c>
      <c r="C4758" t="str">
        <f t="shared" si="286"/>
        <v>RIV</v>
      </c>
      <c r="D4758">
        <v>27</v>
      </c>
      <c r="E4758" t="str">
        <f t="shared" si="287"/>
        <v>565</v>
      </c>
      <c r="F4758" t="str">
        <f>"73"</f>
        <v>73</v>
      </c>
    </row>
    <row r="4759" spans="1:6">
      <c r="A4759" t="str">
        <f>"E1237-35"</f>
        <v>E1237-35</v>
      </c>
      <c r="B4759" t="str">
        <f t="shared" si="285"/>
        <v>VIA FELICE MARITANO  67-</v>
      </c>
      <c r="C4759" t="str">
        <f t="shared" si="286"/>
        <v>RIV</v>
      </c>
      <c r="D4759">
        <v>27</v>
      </c>
      <c r="E4759" t="str">
        <f t="shared" si="287"/>
        <v>565</v>
      </c>
      <c r="F4759" t="str">
        <f>"74"</f>
        <v>74</v>
      </c>
    </row>
    <row r="4760" spans="1:6">
      <c r="A4760" t="str">
        <f>"E1237-36"</f>
        <v>E1237-36</v>
      </c>
      <c r="B4760" t="str">
        <f t="shared" si="285"/>
        <v>VIA FELICE MARITANO  67-</v>
      </c>
      <c r="C4760" t="str">
        <f t="shared" si="286"/>
        <v>RIV</v>
      </c>
      <c r="D4760">
        <v>27</v>
      </c>
      <c r="E4760" t="str">
        <f t="shared" si="287"/>
        <v>565</v>
      </c>
      <c r="F4760" t="str">
        <f>"75"</f>
        <v>75</v>
      </c>
    </row>
    <row r="4761" spans="1:6">
      <c r="A4761" t="str">
        <f>"E1237-37"</f>
        <v>E1237-37</v>
      </c>
      <c r="B4761" t="str">
        <f t="shared" si="285"/>
        <v>VIA FELICE MARITANO  67-</v>
      </c>
      <c r="C4761" t="str">
        <f t="shared" si="286"/>
        <v>RIV</v>
      </c>
      <c r="D4761">
        <v>27</v>
      </c>
      <c r="E4761" t="str">
        <f t="shared" si="287"/>
        <v>565</v>
      </c>
      <c r="F4761" t="str">
        <f>"76"</f>
        <v>76</v>
      </c>
    </row>
    <row r="4762" spans="1:6">
      <c r="A4762" t="str">
        <f>"E1237-38"</f>
        <v>E1237-38</v>
      </c>
      <c r="B4762" t="str">
        <f t="shared" si="285"/>
        <v>VIA FELICE MARITANO  67-</v>
      </c>
      <c r="C4762" t="str">
        <f t="shared" si="286"/>
        <v>RIV</v>
      </c>
      <c r="D4762">
        <v>27</v>
      </c>
      <c r="E4762" t="str">
        <f t="shared" si="287"/>
        <v>565</v>
      </c>
      <c r="F4762" t="str">
        <f>"77"</f>
        <v>77</v>
      </c>
    </row>
    <row r="4763" spans="1:6">
      <c r="A4763" t="str">
        <f>"E1237-39"</f>
        <v>E1237-39</v>
      </c>
      <c r="B4763" t="str">
        <f t="shared" si="285"/>
        <v>VIA FELICE MARITANO  67-</v>
      </c>
      <c r="C4763" t="str">
        <f t="shared" si="286"/>
        <v>RIV</v>
      </c>
      <c r="D4763">
        <v>27</v>
      </c>
      <c r="E4763" t="str">
        <f t="shared" si="287"/>
        <v>565</v>
      </c>
      <c r="F4763" t="str">
        <f>"78"</f>
        <v>78</v>
      </c>
    </row>
    <row r="4764" spans="1:6">
      <c r="A4764" t="str">
        <f>"E1237-40"</f>
        <v>E1237-40</v>
      </c>
      <c r="B4764" t="str">
        <f t="shared" ref="B4764:B4811" si="288">"VIA FELICE MARITANO  98-"</f>
        <v>VIA FELICE MARITANO  98-</v>
      </c>
      <c r="C4764" t="str">
        <f t="shared" si="286"/>
        <v>RIV</v>
      </c>
      <c r="D4764">
        <v>27</v>
      </c>
      <c r="E4764" t="str">
        <f t="shared" ref="E4764:E4811" si="289">"564"</f>
        <v>564</v>
      </c>
      <c r="F4764" t="str">
        <f>"4"</f>
        <v>4</v>
      </c>
    </row>
    <row r="4765" spans="1:6">
      <c r="A4765" t="str">
        <f>"E1237-41"</f>
        <v>E1237-41</v>
      </c>
      <c r="B4765" t="str">
        <f t="shared" si="288"/>
        <v>VIA FELICE MARITANO  98-</v>
      </c>
      <c r="C4765" t="str">
        <f t="shared" si="286"/>
        <v>RIV</v>
      </c>
      <c r="D4765">
        <v>27</v>
      </c>
      <c r="E4765" t="str">
        <f t="shared" si="289"/>
        <v>564</v>
      </c>
      <c r="F4765" t="str">
        <f>"5"</f>
        <v>5</v>
      </c>
    </row>
    <row r="4766" spans="1:6">
      <c r="A4766" t="str">
        <f>"E1237-42"</f>
        <v>E1237-42</v>
      </c>
      <c r="B4766" t="str">
        <f t="shared" si="288"/>
        <v>VIA FELICE MARITANO  98-</v>
      </c>
      <c r="C4766" t="str">
        <f t="shared" si="286"/>
        <v>RIV</v>
      </c>
      <c r="D4766">
        <v>27</v>
      </c>
      <c r="E4766" t="str">
        <f t="shared" si="289"/>
        <v>564</v>
      </c>
      <c r="F4766" t="str">
        <f>"6"</f>
        <v>6</v>
      </c>
    </row>
    <row r="4767" spans="1:6">
      <c r="A4767" t="str">
        <f>"E1237-43"</f>
        <v>E1237-43</v>
      </c>
      <c r="B4767" t="str">
        <f t="shared" si="288"/>
        <v>VIA FELICE MARITANO  98-</v>
      </c>
      <c r="C4767" t="str">
        <f t="shared" si="286"/>
        <v>RIV</v>
      </c>
      <c r="D4767">
        <v>27</v>
      </c>
      <c r="E4767" t="str">
        <f t="shared" si="289"/>
        <v>564</v>
      </c>
      <c r="F4767" t="str">
        <f>"7"</f>
        <v>7</v>
      </c>
    </row>
    <row r="4768" spans="1:6">
      <c r="A4768" t="str">
        <f>"E1237-44"</f>
        <v>E1237-44</v>
      </c>
      <c r="B4768" t="str">
        <f t="shared" si="288"/>
        <v>VIA FELICE MARITANO  98-</v>
      </c>
      <c r="C4768" t="str">
        <f t="shared" si="286"/>
        <v>RIV</v>
      </c>
      <c r="D4768">
        <v>27</v>
      </c>
      <c r="E4768" t="str">
        <f t="shared" si="289"/>
        <v>564</v>
      </c>
      <c r="F4768" t="str">
        <f>"8"</f>
        <v>8</v>
      </c>
    </row>
    <row r="4769" spans="1:6">
      <c r="A4769" t="str">
        <f>"E1237-45"</f>
        <v>E1237-45</v>
      </c>
      <c r="B4769" t="str">
        <f t="shared" si="288"/>
        <v>VIA FELICE MARITANO  98-</v>
      </c>
      <c r="C4769" t="str">
        <f t="shared" si="286"/>
        <v>RIV</v>
      </c>
      <c r="D4769">
        <v>27</v>
      </c>
      <c r="E4769" t="str">
        <f t="shared" si="289"/>
        <v>564</v>
      </c>
      <c r="F4769" t="str">
        <f>"9"</f>
        <v>9</v>
      </c>
    </row>
    <row r="4770" spans="1:6">
      <c r="A4770" t="str">
        <f>"E1237-46"</f>
        <v>E1237-46</v>
      </c>
      <c r="B4770" t="str">
        <f t="shared" si="288"/>
        <v>VIA FELICE MARITANO  98-</v>
      </c>
      <c r="C4770" t="str">
        <f t="shared" si="286"/>
        <v>RIV</v>
      </c>
      <c r="D4770">
        <v>27</v>
      </c>
      <c r="E4770" t="str">
        <f t="shared" si="289"/>
        <v>564</v>
      </c>
      <c r="F4770" t="str">
        <f>"10"</f>
        <v>10</v>
      </c>
    </row>
    <row r="4771" spans="1:6">
      <c r="A4771" t="str">
        <f>"E1237-47"</f>
        <v>E1237-47</v>
      </c>
      <c r="B4771" t="str">
        <f t="shared" si="288"/>
        <v>VIA FELICE MARITANO  98-</v>
      </c>
      <c r="C4771" t="str">
        <f t="shared" si="286"/>
        <v>RIV</v>
      </c>
      <c r="D4771">
        <v>27</v>
      </c>
      <c r="E4771" t="str">
        <f t="shared" si="289"/>
        <v>564</v>
      </c>
      <c r="F4771" t="str">
        <f>"11"</f>
        <v>11</v>
      </c>
    </row>
    <row r="4772" spans="1:6">
      <c r="A4772" t="str">
        <f>"E1237-48"</f>
        <v>E1237-48</v>
      </c>
      <c r="B4772" t="str">
        <f t="shared" si="288"/>
        <v>VIA FELICE MARITANO  98-</v>
      </c>
      <c r="C4772" t="str">
        <f t="shared" si="286"/>
        <v>RIV</v>
      </c>
      <c r="D4772">
        <v>27</v>
      </c>
      <c r="E4772" t="str">
        <f t="shared" si="289"/>
        <v>564</v>
      </c>
      <c r="F4772" t="str">
        <f>"12"</f>
        <v>12</v>
      </c>
    </row>
    <row r="4773" spans="1:6">
      <c r="A4773" t="str">
        <f>"E1237-49"</f>
        <v>E1237-49</v>
      </c>
      <c r="B4773" t="str">
        <f t="shared" si="288"/>
        <v>VIA FELICE MARITANO  98-</v>
      </c>
      <c r="C4773" t="str">
        <f t="shared" si="286"/>
        <v>RIV</v>
      </c>
      <c r="D4773">
        <v>27</v>
      </c>
      <c r="E4773" t="str">
        <f t="shared" si="289"/>
        <v>564</v>
      </c>
      <c r="F4773" t="str">
        <f>"13"</f>
        <v>13</v>
      </c>
    </row>
    <row r="4774" spans="1:6">
      <c r="A4774" t="str">
        <f>"E1237-50"</f>
        <v>E1237-50</v>
      </c>
      <c r="B4774" t="str">
        <f t="shared" si="288"/>
        <v>VIA FELICE MARITANO  98-</v>
      </c>
      <c r="C4774" t="str">
        <f t="shared" si="286"/>
        <v>RIV</v>
      </c>
      <c r="D4774">
        <v>27</v>
      </c>
      <c r="E4774" t="str">
        <f t="shared" si="289"/>
        <v>564</v>
      </c>
      <c r="F4774" t="str">
        <f>"14"</f>
        <v>14</v>
      </c>
    </row>
    <row r="4775" spans="1:6">
      <c r="A4775" t="str">
        <f>"E1237-51"</f>
        <v>E1237-51</v>
      </c>
      <c r="B4775" t="str">
        <f t="shared" si="288"/>
        <v>VIA FELICE MARITANO  98-</v>
      </c>
      <c r="C4775" t="str">
        <f t="shared" si="286"/>
        <v>RIV</v>
      </c>
      <c r="D4775">
        <v>27</v>
      </c>
      <c r="E4775" t="str">
        <f t="shared" si="289"/>
        <v>564</v>
      </c>
      <c r="F4775" t="str">
        <f>"15"</f>
        <v>15</v>
      </c>
    </row>
    <row r="4776" spans="1:6">
      <c r="A4776" t="str">
        <f>"E1237-52"</f>
        <v>E1237-52</v>
      </c>
      <c r="B4776" t="str">
        <f t="shared" si="288"/>
        <v>VIA FELICE MARITANO  98-</v>
      </c>
      <c r="C4776" t="str">
        <f t="shared" si="286"/>
        <v>RIV</v>
      </c>
      <c r="D4776">
        <v>27</v>
      </c>
      <c r="E4776" t="str">
        <f t="shared" si="289"/>
        <v>564</v>
      </c>
      <c r="F4776" t="str">
        <f>"16"</f>
        <v>16</v>
      </c>
    </row>
    <row r="4777" spans="1:6">
      <c r="A4777" t="str">
        <f>"E1237-53"</f>
        <v>E1237-53</v>
      </c>
      <c r="B4777" t="str">
        <f t="shared" si="288"/>
        <v>VIA FELICE MARITANO  98-</v>
      </c>
      <c r="C4777" t="str">
        <f t="shared" si="286"/>
        <v>RIV</v>
      </c>
      <c r="D4777">
        <v>27</v>
      </c>
      <c r="E4777" t="str">
        <f t="shared" si="289"/>
        <v>564</v>
      </c>
      <c r="F4777" t="str">
        <f>"17"</f>
        <v>17</v>
      </c>
    </row>
    <row r="4778" spans="1:6">
      <c r="A4778" t="str">
        <f>"E1237-54"</f>
        <v>E1237-54</v>
      </c>
      <c r="B4778" t="str">
        <f t="shared" si="288"/>
        <v>VIA FELICE MARITANO  98-</v>
      </c>
      <c r="C4778" t="str">
        <f t="shared" si="286"/>
        <v>RIV</v>
      </c>
      <c r="D4778">
        <v>27</v>
      </c>
      <c r="E4778" t="str">
        <f t="shared" si="289"/>
        <v>564</v>
      </c>
      <c r="F4778" t="str">
        <f>"18"</f>
        <v>18</v>
      </c>
    </row>
    <row r="4779" spans="1:6">
      <c r="A4779" t="str">
        <f>"E1237-55"</f>
        <v>E1237-55</v>
      </c>
      <c r="B4779" t="str">
        <f t="shared" si="288"/>
        <v>VIA FELICE MARITANO  98-</v>
      </c>
      <c r="C4779" t="str">
        <f t="shared" si="286"/>
        <v>RIV</v>
      </c>
      <c r="D4779">
        <v>27</v>
      </c>
      <c r="E4779" t="str">
        <f t="shared" si="289"/>
        <v>564</v>
      </c>
      <c r="F4779" t="str">
        <f>"19"</f>
        <v>19</v>
      </c>
    </row>
    <row r="4780" spans="1:6">
      <c r="A4780" t="str">
        <f>"E1237-56"</f>
        <v>E1237-56</v>
      </c>
      <c r="B4780" t="str">
        <f t="shared" si="288"/>
        <v>VIA FELICE MARITANO  98-</v>
      </c>
      <c r="C4780" t="str">
        <f t="shared" si="286"/>
        <v>RIV</v>
      </c>
      <c r="D4780">
        <v>27</v>
      </c>
      <c r="E4780" t="str">
        <f t="shared" si="289"/>
        <v>564</v>
      </c>
      <c r="F4780" t="str">
        <f>"20"</f>
        <v>20</v>
      </c>
    </row>
    <row r="4781" spans="1:6">
      <c r="A4781" t="str">
        <f>"E1237-57"</f>
        <v>E1237-57</v>
      </c>
      <c r="B4781" t="str">
        <f t="shared" si="288"/>
        <v>VIA FELICE MARITANO  98-</v>
      </c>
      <c r="C4781" t="str">
        <f t="shared" si="286"/>
        <v>RIV</v>
      </c>
      <c r="D4781">
        <v>27</v>
      </c>
      <c r="E4781" t="str">
        <f t="shared" si="289"/>
        <v>564</v>
      </c>
      <c r="F4781" t="str">
        <f>"21"</f>
        <v>21</v>
      </c>
    </row>
    <row r="4782" spans="1:6">
      <c r="A4782" t="str">
        <f>"E1237-58"</f>
        <v>E1237-58</v>
      </c>
      <c r="B4782" t="str">
        <f t="shared" si="288"/>
        <v>VIA FELICE MARITANO  98-</v>
      </c>
      <c r="C4782" t="str">
        <f t="shared" si="286"/>
        <v>RIV</v>
      </c>
      <c r="D4782">
        <v>27</v>
      </c>
      <c r="E4782" t="str">
        <f t="shared" si="289"/>
        <v>564</v>
      </c>
      <c r="F4782" t="str">
        <f>"22"</f>
        <v>22</v>
      </c>
    </row>
    <row r="4783" spans="1:6">
      <c r="A4783" t="str">
        <f>"E1237-59"</f>
        <v>E1237-59</v>
      </c>
      <c r="B4783" t="str">
        <f t="shared" si="288"/>
        <v>VIA FELICE MARITANO  98-</v>
      </c>
      <c r="C4783" t="str">
        <f t="shared" si="286"/>
        <v>RIV</v>
      </c>
      <c r="D4783">
        <v>27</v>
      </c>
      <c r="E4783" t="str">
        <f t="shared" si="289"/>
        <v>564</v>
      </c>
      <c r="F4783" t="str">
        <f>"23"</f>
        <v>23</v>
      </c>
    </row>
    <row r="4784" spans="1:6">
      <c r="A4784" t="str">
        <f>"E1237-60"</f>
        <v>E1237-60</v>
      </c>
      <c r="B4784" t="str">
        <f t="shared" si="288"/>
        <v>VIA FELICE MARITANO  98-</v>
      </c>
      <c r="C4784" t="str">
        <f t="shared" si="286"/>
        <v>RIV</v>
      </c>
      <c r="D4784">
        <v>27</v>
      </c>
      <c r="E4784" t="str">
        <f t="shared" si="289"/>
        <v>564</v>
      </c>
      <c r="F4784" t="str">
        <f>"24"</f>
        <v>24</v>
      </c>
    </row>
    <row r="4785" spans="1:6">
      <c r="A4785" t="str">
        <f>"E1237-61"</f>
        <v>E1237-61</v>
      </c>
      <c r="B4785" t="str">
        <f t="shared" si="288"/>
        <v>VIA FELICE MARITANO  98-</v>
      </c>
      <c r="C4785" t="str">
        <f t="shared" si="286"/>
        <v>RIV</v>
      </c>
      <c r="D4785">
        <v>27</v>
      </c>
      <c r="E4785" t="str">
        <f t="shared" si="289"/>
        <v>564</v>
      </c>
      <c r="F4785" t="str">
        <f>"25"</f>
        <v>25</v>
      </c>
    </row>
    <row r="4786" spans="1:6">
      <c r="A4786" t="str">
        <f>"E1237-62"</f>
        <v>E1237-62</v>
      </c>
      <c r="B4786" t="str">
        <f t="shared" si="288"/>
        <v>VIA FELICE MARITANO  98-</v>
      </c>
      <c r="C4786" t="str">
        <f t="shared" si="286"/>
        <v>RIV</v>
      </c>
      <c r="D4786">
        <v>27</v>
      </c>
      <c r="E4786" t="str">
        <f t="shared" si="289"/>
        <v>564</v>
      </c>
      <c r="F4786" t="str">
        <f>"26"</f>
        <v>26</v>
      </c>
    </row>
    <row r="4787" spans="1:6">
      <c r="A4787" t="str">
        <f>"E1237-63"</f>
        <v>E1237-63</v>
      </c>
      <c r="B4787" t="str">
        <f t="shared" si="288"/>
        <v>VIA FELICE MARITANO  98-</v>
      </c>
      <c r="C4787" t="str">
        <f t="shared" si="286"/>
        <v>RIV</v>
      </c>
      <c r="D4787">
        <v>27</v>
      </c>
      <c r="E4787" t="str">
        <f t="shared" si="289"/>
        <v>564</v>
      </c>
      <c r="F4787" t="str">
        <f>"27"</f>
        <v>27</v>
      </c>
    </row>
    <row r="4788" spans="1:6">
      <c r="A4788" t="str">
        <f>"E1237-64"</f>
        <v>E1237-64</v>
      </c>
      <c r="B4788" t="str">
        <f t="shared" si="288"/>
        <v>VIA FELICE MARITANO  98-</v>
      </c>
      <c r="C4788" t="str">
        <f t="shared" si="286"/>
        <v>RIV</v>
      </c>
      <c r="D4788">
        <v>27</v>
      </c>
      <c r="E4788" t="str">
        <f t="shared" si="289"/>
        <v>564</v>
      </c>
      <c r="F4788" t="str">
        <f>"28"</f>
        <v>28</v>
      </c>
    </row>
    <row r="4789" spans="1:6">
      <c r="A4789" t="str">
        <f>"E1237-65"</f>
        <v>E1237-65</v>
      </c>
      <c r="B4789" t="str">
        <f t="shared" si="288"/>
        <v>VIA FELICE MARITANO  98-</v>
      </c>
      <c r="C4789" t="str">
        <f t="shared" ref="C4789:C4852" si="290">"RIV"</f>
        <v>RIV</v>
      </c>
      <c r="D4789">
        <v>27</v>
      </c>
      <c r="E4789" t="str">
        <f t="shared" si="289"/>
        <v>564</v>
      </c>
      <c r="F4789" t="str">
        <f>"29"</f>
        <v>29</v>
      </c>
    </row>
    <row r="4790" spans="1:6">
      <c r="A4790" t="str">
        <f>"E1237-66"</f>
        <v>E1237-66</v>
      </c>
      <c r="B4790" t="str">
        <f t="shared" si="288"/>
        <v>VIA FELICE MARITANO  98-</v>
      </c>
      <c r="C4790" t="str">
        <f t="shared" si="290"/>
        <v>RIV</v>
      </c>
      <c r="D4790">
        <v>27</v>
      </c>
      <c r="E4790" t="str">
        <f t="shared" si="289"/>
        <v>564</v>
      </c>
      <c r="F4790" t="str">
        <f>"30"</f>
        <v>30</v>
      </c>
    </row>
    <row r="4791" spans="1:6">
      <c r="A4791" t="str">
        <f>"E1237-67"</f>
        <v>E1237-67</v>
      </c>
      <c r="B4791" t="str">
        <f t="shared" si="288"/>
        <v>VIA FELICE MARITANO  98-</v>
      </c>
      <c r="C4791" t="str">
        <f t="shared" si="290"/>
        <v>RIV</v>
      </c>
      <c r="D4791">
        <v>27</v>
      </c>
      <c r="E4791" t="str">
        <f t="shared" si="289"/>
        <v>564</v>
      </c>
      <c r="F4791" t="str">
        <f>"31"</f>
        <v>31</v>
      </c>
    </row>
    <row r="4792" spans="1:6">
      <c r="A4792" t="str">
        <f>"E1237-68"</f>
        <v>E1237-68</v>
      </c>
      <c r="B4792" t="str">
        <f t="shared" si="288"/>
        <v>VIA FELICE MARITANO  98-</v>
      </c>
      <c r="C4792" t="str">
        <f t="shared" si="290"/>
        <v>RIV</v>
      </c>
      <c r="D4792">
        <v>27</v>
      </c>
      <c r="E4792" t="str">
        <f t="shared" si="289"/>
        <v>564</v>
      </c>
      <c r="F4792" t="str">
        <f>"32"</f>
        <v>32</v>
      </c>
    </row>
    <row r="4793" spans="1:6">
      <c r="A4793" t="str">
        <f>"E1237-69"</f>
        <v>E1237-69</v>
      </c>
      <c r="B4793" t="str">
        <f t="shared" si="288"/>
        <v>VIA FELICE MARITANO  98-</v>
      </c>
      <c r="C4793" t="str">
        <f t="shared" si="290"/>
        <v>RIV</v>
      </c>
      <c r="D4793">
        <v>27</v>
      </c>
      <c r="E4793" t="str">
        <f t="shared" si="289"/>
        <v>564</v>
      </c>
      <c r="F4793" t="str">
        <f>"33"</f>
        <v>33</v>
      </c>
    </row>
    <row r="4794" spans="1:6">
      <c r="A4794" t="str">
        <f>"E1237-70"</f>
        <v>E1237-70</v>
      </c>
      <c r="B4794" t="str">
        <f t="shared" si="288"/>
        <v>VIA FELICE MARITANO  98-</v>
      </c>
      <c r="C4794" t="str">
        <f t="shared" si="290"/>
        <v>RIV</v>
      </c>
      <c r="D4794">
        <v>27</v>
      </c>
      <c r="E4794" t="str">
        <f t="shared" si="289"/>
        <v>564</v>
      </c>
      <c r="F4794" t="str">
        <f>"34"</f>
        <v>34</v>
      </c>
    </row>
    <row r="4795" spans="1:6">
      <c r="A4795" t="str">
        <f>"E1237-71"</f>
        <v>E1237-71</v>
      </c>
      <c r="B4795" t="str">
        <f t="shared" si="288"/>
        <v>VIA FELICE MARITANO  98-</v>
      </c>
      <c r="C4795" t="str">
        <f t="shared" si="290"/>
        <v>RIV</v>
      </c>
      <c r="D4795">
        <v>27</v>
      </c>
      <c r="E4795" t="str">
        <f t="shared" si="289"/>
        <v>564</v>
      </c>
      <c r="F4795" t="str">
        <f>"35"</f>
        <v>35</v>
      </c>
    </row>
    <row r="4796" spans="1:6">
      <c r="A4796" t="str">
        <f>"E1237-72"</f>
        <v>E1237-72</v>
      </c>
      <c r="B4796" t="str">
        <f t="shared" si="288"/>
        <v>VIA FELICE MARITANO  98-</v>
      </c>
      <c r="C4796" t="str">
        <f t="shared" si="290"/>
        <v>RIV</v>
      </c>
      <c r="D4796">
        <v>27</v>
      </c>
      <c r="E4796" t="str">
        <f t="shared" si="289"/>
        <v>564</v>
      </c>
      <c r="F4796" t="str">
        <f>"36"</f>
        <v>36</v>
      </c>
    </row>
    <row r="4797" spans="1:6">
      <c r="A4797" t="str">
        <f>"E1237-73"</f>
        <v>E1237-73</v>
      </c>
      <c r="B4797" t="str">
        <f t="shared" si="288"/>
        <v>VIA FELICE MARITANO  98-</v>
      </c>
      <c r="C4797" t="str">
        <f t="shared" si="290"/>
        <v>RIV</v>
      </c>
      <c r="D4797">
        <v>27</v>
      </c>
      <c r="E4797" t="str">
        <f t="shared" si="289"/>
        <v>564</v>
      </c>
      <c r="F4797" t="str">
        <f>"37"</f>
        <v>37</v>
      </c>
    </row>
    <row r="4798" spans="1:6">
      <c r="A4798" t="str">
        <f>"E1237-74"</f>
        <v>E1237-74</v>
      </c>
      <c r="B4798" t="str">
        <f t="shared" si="288"/>
        <v>VIA FELICE MARITANO  98-</v>
      </c>
      <c r="C4798" t="str">
        <f t="shared" si="290"/>
        <v>RIV</v>
      </c>
      <c r="D4798">
        <v>27</v>
      </c>
      <c r="E4798" t="str">
        <f t="shared" si="289"/>
        <v>564</v>
      </c>
      <c r="F4798" t="str">
        <f>"38"</f>
        <v>38</v>
      </c>
    </row>
    <row r="4799" spans="1:6">
      <c r="A4799" t="str">
        <f>"E1237-75"</f>
        <v>E1237-75</v>
      </c>
      <c r="B4799" t="str">
        <f t="shared" si="288"/>
        <v>VIA FELICE MARITANO  98-</v>
      </c>
      <c r="C4799" t="str">
        <f t="shared" si="290"/>
        <v>RIV</v>
      </c>
      <c r="D4799">
        <v>27</v>
      </c>
      <c r="E4799" t="str">
        <f t="shared" si="289"/>
        <v>564</v>
      </c>
      <c r="F4799" t="str">
        <f>"39"</f>
        <v>39</v>
      </c>
    </row>
    <row r="4800" spans="1:6">
      <c r="A4800" t="str">
        <f>"E1237-76"</f>
        <v>E1237-76</v>
      </c>
      <c r="B4800" t="str">
        <f t="shared" si="288"/>
        <v>VIA FELICE MARITANO  98-</v>
      </c>
      <c r="C4800" t="str">
        <f t="shared" si="290"/>
        <v>RIV</v>
      </c>
      <c r="D4800">
        <v>27</v>
      </c>
      <c r="E4800" t="str">
        <f t="shared" si="289"/>
        <v>564</v>
      </c>
      <c r="F4800" t="str">
        <f>"40"</f>
        <v>40</v>
      </c>
    </row>
    <row r="4801" spans="1:6">
      <c r="A4801" t="str">
        <f>"E1237-77"</f>
        <v>E1237-77</v>
      </c>
      <c r="B4801" t="str">
        <f t="shared" si="288"/>
        <v>VIA FELICE MARITANO  98-</v>
      </c>
      <c r="C4801" t="str">
        <f t="shared" si="290"/>
        <v>RIV</v>
      </c>
      <c r="D4801">
        <v>27</v>
      </c>
      <c r="E4801" t="str">
        <f t="shared" si="289"/>
        <v>564</v>
      </c>
      <c r="F4801" t="str">
        <f>"41"</f>
        <v>41</v>
      </c>
    </row>
    <row r="4802" spans="1:6">
      <c r="A4802" t="str">
        <f>"E1237-78"</f>
        <v>E1237-78</v>
      </c>
      <c r="B4802" t="str">
        <f t="shared" si="288"/>
        <v>VIA FELICE MARITANO  98-</v>
      </c>
      <c r="C4802" t="str">
        <f t="shared" si="290"/>
        <v>RIV</v>
      </c>
      <c r="D4802">
        <v>27</v>
      </c>
      <c r="E4802" t="str">
        <f t="shared" si="289"/>
        <v>564</v>
      </c>
      <c r="F4802" t="str">
        <f>"42"</f>
        <v>42</v>
      </c>
    </row>
    <row r="4803" spans="1:6">
      <c r="A4803" t="str">
        <f>"E1237-79"</f>
        <v>E1237-79</v>
      </c>
      <c r="B4803" t="str">
        <f t="shared" si="288"/>
        <v>VIA FELICE MARITANO  98-</v>
      </c>
      <c r="C4803" t="str">
        <f t="shared" si="290"/>
        <v>RIV</v>
      </c>
      <c r="D4803">
        <v>27</v>
      </c>
      <c r="E4803" t="str">
        <f t="shared" si="289"/>
        <v>564</v>
      </c>
      <c r="F4803" t="str">
        <f>"43"</f>
        <v>43</v>
      </c>
    </row>
    <row r="4804" spans="1:6">
      <c r="A4804" t="str">
        <f>"E1237-80"</f>
        <v>E1237-80</v>
      </c>
      <c r="B4804" t="str">
        <f t="shared" si="288"/>
        <v>VIA FELICE MARITANO  98-</v>
      </c>
      <c r="C4804" t="str">
        <f t="shared" si="290"/>
        <v>RIV</v>
      </c>
      <c r="D4804">
        <v>27</v>
      </c>
      <c r="E4804" t="str">
        <f t="shared" si="289"/>
        <v>564</v>
      </c>
      <c r="F4804" t="str">
        <f>"44"</f>
        <v>44</v>
      </c>
    </row>
    <row r="4805" spans="1:6">
      <c r="A4805" t="str">
        <f>"E1237-81"</f>
        <v>E1237-81</v>
      </c>
      <c r="B4805" t="str">
        <f t="shared" si="288"/>
        <v>VIA FELICE MARITANO  98-</v>
      </c>
      <c r="C4805" t="str">
        <f t="shared" si="290"/>
        <v>RIV</v>
      </c>
      <c r="D4805">
        <v>27</v>
      </c>
      <c r="E4805" t="str">
        <f t="shared" si="289"/>
        <v>564</v>
      </c>
      <c r="F4805" t="str">
        <f>"45"</f>
        <v>45</v>
      </c>
    </row>
    <row r="4806" spans="1:6">
      <c r="A4806" t="str">
        <f>"E1237-82"</f>
        <v>E1237-82</v>
      </c>
      <c r="B4806" t="str">
        <f t="shared" si="288"/>
        <v>VIA FELICE MARITANO  98-</v>
      </c>
      <c r="C4806" t="str">
        <f t="shared" si="290"/>
        <v>RIV</v>
      </c>
      <c r="D4806">
        <v>27</v>
      </c>
      <c r="E4806" t="str">
        <f t="shared" si="289"/>
        <v>564</v>
      </c>
      <c r="F4806" t="str">
        <f>"46"</f>
        <v>46</v>
      </c>
    </row>
    <row r="4807" spans="1:6">
      <c r="A4807" t="str">
        <f>"E1237-83"</f>
        <v>E1237-83</v>
      </c>
      <c r="B4807" t="str">
        <f t="shared" si="288"/>
        <v>VIA FELICE MARITANO  98-</v>
      </c>
      <c r="C4807" t="str">
        <f t="shared" si="290"/>
        <v>RIV</v>
      </c>
      <c r="D4807">
        <v>27</v>
      </c>
      <c r="E4807" t="str">
        <f t="shared" si="289"/>
        <v>564</v>
      </c>
      <c r="F4807" t="str">
        <f>"47"</f>
        <v>47</v>
      </c>
    </row>
    <row r="4808" spans="1:6">
      <c r="A4808" t="str">
        <f>"E1237-84"</f>
        <v>E1237-84</v>
      </c>
      <c r="B4808" t="str">
        <f t="shared" si="288"/>
        <v>VIA FELICE MARITANO  98-</v>
      </c>
      <c r="C4808" t="str">
        <f t="shared" si="290"/>
        <v>RIV</v>
      </c>
      <c r="D4808">
        <v>27</v>
      </c>
      <c r="E4808" t="str">
        <f t="shared" si="289"/>
        <v>564</v>
      </c>
      <c r="F4808" t="str">
        <f>"48"</f>
        <v>48</v>
      </c>
    </row>
    <row r="4809" spans="1:6">
      <c r="A4809" t="str">
        <f>"E1237-85"</f>
        <v>E1237-85</v>
      </c>
      <c r="B4809" t="str">
        <f t="shared" si="288"/>
        <v>VIA FELICE MARITANO  98-</v>
      </c>
      <c r="C4809" t="str">
        <f t="shared" si="290"/>
        <v>RIV</v>
      </c>
      <c r="D4809">
        <v>27</v>
      </c>
      <c r="E4809" t="str">
        <f t="shared" si="289"/>
        <v>564</v>
      </c>
      <c r="F4809" t="str">
        <f>"49"</f>
        <v>49</v>
      </c>
    </row>
    <row r="4810" spans="1:6">
      <c r="A4810" t="str">
        <f>"E1237-86"</f>
        <v>E1237-86</v>
      </c>
      <c r="B4810" t="str">
        <f t="shared" si="288"/>
        <v>VIA FELICE MARITANO  98-</v>
      </c>
      <c r="C4810" t="str">
        <f t="shared" si="290"/>
        <v>RIV</v>
      </c>
      <c r="D4810">
        <v>27</v>
      </c>
      <c r="E4810" t="str">
        <f t="shared" si="289"/>
        <v>564</v>
      </c>
      <c r="F4810" t="str">
        <f>"50"</f>
        <v>50</v>
      </c>
    </row>
    <row r="4811" spans="1:6">
      <c r="A4811" t="str">
        <f>"E1237-87"</f>
        <v>E1237-87</v>
      </c>
      <c r="B4811" t="str">
        <f t="shared" si="288"/>
        <v>VIA FELICE MARITANO  98-</v>
      </c>
      <c r="C4811" t="str">
        <f t="shared" si="290"/>
        <v>RIV</v>
      </c>
      <c r="D4811">
        <v>27</v>
      </c>
      <c r="E4811" t="str">
        <f t="shared" si="289"/>
        <v>564</v>
      </c>
      <c r="F4811" t="str">
        <f>"51"</f>
        <v>51</v>
      </c>
    </row>
    <row r="4812" spans="1:6">
      <c r="A4812" t="str">
        <f>"E1237-88"</f>
        <v>E1237-88</v>
      </c>
      <c r="B4812" t="str">
        <f t="shared" ref="B4812:B4853" si="291">"VIA FELICE MARITANO  67-"</f>
        <v>VIA FELICE MARITANO  67-</v>
      </c>
      <c r="C4812" t="str">
        <f t="shared" si="290"/>
        <v>RIV</v>
      </c>
      <c r="D4812">
        <v>27</v>
      </c>
      <c r="E4812" t="str">
        <f t="shared" ref="E4812:E4853" si="292">"565"</f>
        <v>565</v>
      </c>
      <c r="F4812" t="str">
        <f>"6"</f>
        <v>6</v>
      </c>
    </row>
    <row r="4813" spans="1:6">
      <c r="A4813" t="str">
        <f>"E1237-89"</f>
        <v>E1237-89</v>
      </c>
      <c r="B4813" t="str">
        <f t="shared" si="291"/>
        <v>VIA FELICE MARITANO  67-</v>
      </c>
      <c r="C4813" t="str">
        <f t="shared" si="290"/>
        <v>RIV</v>
      </c>
      <c r="D4813">
        <v>27</v>
      </c>
      <c r="E4813" t="str">
        <f t="shared" si="292"/>
        <v>565</v>
      </c>
      <c r="F4813" t="str">
        <f>"7"</f>
        <v>7</v>
      </c>
    </row>
    <row r="4814" spans="1:6">
      <c r="A4814" t="str">
        <f>"E1237-90"</f>
        <v>E1237-90</v>
      </c>
      <c r="B4814" t="str">
        <f t="shared" si="291"/>
        <v>VIA FELICE MARITANO  67-</v>
      </c>
      <c r="C4814" t="str">
        <f t="shared" si="290"/>
        <v>RIV</v>
      </c>
      <c r="D4814">
        <v>27</v>
      </c>
      <c r="E4814" t="str">
        <f t="shared" si="292"/>
        <v>565</v>
      </c>
      <c r="F4814" t="str">
        <f>"8"</f>
        <v>8</v>
      </c>
    </row>
    <row r="4815" spans="1:6">
      <c r="A4815" t="str">
        <f>"E1237-91"</f>
        <v>E1237-91</v>
      </c>
      <c r="B4815" t="str">
        <f t="shared" si="291"/>
        <v>VIA FELICE MARITANO  67-</v>
      </c>
      <c r="C4815" t="str">
        <f t="shared" si="290"/>
        <v>RIV</v>
      </c>
      <c r="D4815">
        <v>27</v>
      </c>
      <c r="E4815" t="str">
        <f t="shared" si="292"/>
        <v>565</v>
      </c>
      <c r="F4815" t="str">
        <f>"9"</f>
        <v>9</v>
      </c>
    </row>
    <row r="4816" spans="1:6">
      <c r="A4816" t="str">
        <f>"E1237-92"</f>
        <v>E1237-92</v>
      </c>
      <c r="B4816" t="str">
        <f t="shared" si="291"/>
        <v>VIA FELICE MARITANO  67-</v>
      </c>
      <c r="C4816" t="str">
        <f t="shared" si="290"/>
        <v>RIV</v>
      </c>
      <c r="D4816">
        <v>27</v>
      </c>
      <c r="E4816" t="str">
        <f t="shared" si="292"/>
        <v>565</v>
      </c>
      <c r="F4816" t="str">
        <f>"10"</f>
        <v>10</v>
      </c>
    </row>
    <row r="4817" spans="1:6">
      <c r="A4817" t="str">
        <f>"E1237-93"</f>
        <v>E1237-93</v>
      </c>
      <c r="B4817" t="str">
        <f t="shared" si="291"/>
        <v>VIA FELICE MARITANO  67-</v>
      </c>
      <c r="C4817" t="str">
        <f t="shared" si="290"/>
        <v>RIV</v>
      </c>
      <c r="D4817">
        <v>27</v>
      </c>
      <c r="E4817" t="str">
        <f t="shared" si="292"/>
        <v>565</v>
      </c>
      <c r="F4817" t="str">
        <f>"11"</f>
        <v>11</v>
      </c>
    </row>
    <row r="4818" spans="1:6">
      <c r="A4818" t="str">
        <f>"E1237-94"</f>
        <v>E1237-94</v>
      </c>
      <c r="B4818" t="str">
        <f t="shared" si="291"/>
        <v>VIA FELICE MARITANO  67-</v>
      </c>
      <c r="C4818" t="str">
        <f t="shared" si="290"/>
        <v>RIV</v>
      </c>
      <c r="D4818">
        <v>27</v>
      </c>
      <c r="E4818" t="str">
        <f t="shared" si="292"/>
        <v>565</v>
      </c>
      <c r="F4818" t="str">
        <f>"12"</f>
        <v>12</v>
      </c>
    </row>
    <row r="4819" spans="1:6">
      <c r="A4819" t="str">
        <f>"E1237-95"</f>
        <v>E1237-95</v>
      </c>
      <c r="B4819" t="str">
        <f t="shared" si="291"/>
        <v>VIA FELICE MARITANO  67-</v>
      </c>
      <c r="C4819" t="str">
        <f t="shared" si="290"/>
        <v>RIV</v>
      </c>
      <c r="D4819">
        <v>27</v>
      </c>
      <c r="E4819" t="str">
        <f t="shared" si="292"/>
        <v>565</v>
      </c>
      <c r="F4819" t="str">
        <f>"13"</f>
        <v>13</v>
      </c>
    </row>
    <row r="4820" spans="1:6">
      <c r="A4820" t="str">
        <f>"E1237-96"</f>
        <v>E1237-96</v>
      </c>
      <c r="B4820" t="str">
        <f t="shared" si="291"/>
        <v>VIA FELICE MARITANO  67-</v>
      </c>
      <c r="C4820" t="str">
        <f t="shared" si="290"/>
        <v>RIV</v>
      </c>
      <c r="D4820">
        <v>27</v>
      </c>
      <c r="E4820" t="str">
        <f t="shared" si="292"/>
        <v>565</v>
      </c>
      <c r="F4820" t="str">
        <f>"14"</f>
        <v>14</v>
      </c>
    </row>
    <row r="4821" spans="1:6">
      <c r="A4821" t="str">
        <f>"E1237-97"</f>
        <v>E1237-97</v>
      </c>
      <c r="B4821" t="str">
        <f t="shared" si="291"/>
        <v>VIA FELICE MARITANO  67-</v>
      </c>
      <c r="C4821" t="str">
        <f t="shared" si="290"/>
        <v>RIV</v>
      </c>
      <c r="D4821">
        <v>27</v>
      </c>
      <c r="E4821" t="str">
        <f t="shared" si="292"/>
        <v>565</v>
      </c>
      <c r="F4821" t="str">
        <f>"15"</f>
        <v>15</v>
      </c>
    </row>
    <row r="4822" spans="1:6">
      <c r="A4822" t="str">
        <f>"E1237-98"</f>
        <v>E1237-98</v>
      </c>
      <c r="B4822" t="str">
        <f t="shared" si="291"/>
        <v>VIA FELICE MARITANO  67-</v>
      </c>
      <c r="C4822" t="str">
        <f t="shared" si="290"/>
        <v>RIV</v>
      </c>
      <c r="D4822">
        <v>27</v>
      </c>
      <c r="E4822" t="str">
        <f t="shared" si="292"/>
        <v>565</v>
      </c>
      <c r="F4822" t="str">
        <f>"16"</f>
        <v>16</v>
      </c>
    </row>
    <row r="4823" spans="1:6">
      <c r="A4823" t="str">
        <f>"E1237-99"</f>
        <v>E1237-99</v>
      </c>
      <c r="B4823" t="str">
        <f t="shared" si="291"/>
        <v>VIA FELICE MARITANO  67-</v>
      </c>
      <c r="C4823" t="str">
        <f t="shared" si="290"/>
        <v>RIV</v>
      </c>
      <c r="D4823">
        <v>27</v>
      </c>
      <c r="E4823" t="str">
        <f t="shared" si="292"/>
        <v>565</v>
      </c>
      <c r="F4823" t="str">
        <f>"17"</f>
        <v>17</v>
      </c>
    </row>
    <row r="4824" spans="1:6">
      <c r="A4824" t="str">
        <f>"E1237-100"</f>
        <v>E1237-100</v>
      </c>
      <c r="B4824" t="str">
        <f t="shared" si="291"/>
        <v>VIA FELICE MARITANO  67-</v>
      </c>
      <c r="C4824" t="str">
        <f t="shared" si="290"/>
        <v>RIV</v>
      </c>
      <c r="D4824">
        <v>27</v>
      </c>
      <c r="E4824" t="str">
        <f t="shared" si="292"/>
        <v>565</v>
      </c>
      <c r="F4824" t="str">
        <f>"18"</f>
        <v>18</v>
      </c>
    </row>
    <row r="4825" spans="1:6">
      <c r="A4825" t="str">
        <f>"E1237-101"</f>
        <v>E1237-101</v>
      </c>
      <c r="B4825" t="str">
        <f t="shared" si="291"/>
        <v>VIA FELICE MARITANO  67-</v>
      </c>
      <c r="C4825" t="str">
        <f t="shared" si="290"/>
        <v>RIV</v>
      </c>
      <c r="D4825">
        <v>27</v>
      </c>
      <c r="E4825" t="str">
        <f t="shared" si="292"/>
        <v>565</v>
      </c>
      <c r="F4825" t="str">
        <f>"19"</f>
        <v>19</v>
      </c>
    </row>
    <row r="4826" spans="1:6">
      <c r="A4826" t="str">
        <f>"E1237-102"</f>
        <v>E1237-102</v>
      </c>
      <c r="B4826" t="str">
        <f t="shared" si="291"/>
        <v>VIA FELICE MARITANO  67-</v>
      </c>
      <c r="C4826" t="str">
        <f t="shared" si="290"/>
        <v>RIV</v>
      </c>
      <c r="D4826">
        <v>27</v>
      </c>
      <c r="E4826" t="str">
        <f t="shared" si="292"/>
        <v>565</v>
      </c>
      <c r="F4826" t="str">
        <f>"20"</f>
        <v>20</v>
      </c>
    </row>
    <row r="4827" spans="1:6">
      <c r="A4827" t="str">
        <f>"E1237-103"</f>
        <v>E1237-103</v>
      </c>
      <c r="B4827" t="str">
        <f t="shared" si="291"/>
        <v>VIA FELICE MARITANO  67-</v>
      </c>
      <c r="C4827" t="str">
        <f t="shared" si="290"/>
        <v>RIV</v>
      </c>
      <c r="D4827">
        <v>27</v>
      </c>
      <c r="E4827" t="str">
        <f t="shared" si="292"/>
        <v>565</v>
      </c>
      <c r="F4827" t="str">
        <f>"21"</f>
        <v>21</v>
      </c>
    </row>
    <row r="4828" spans="1:6">
      <c r="A4828" t="str">
        <f>"E1237-104"</f>
        <v>E1237-104</v>
      </c>
      <c r="B4828" t="str">
        <f t="shared" si="291"/>
        <v>VIA FELICE MARITANO  67-</v>
      </c>
      <c r="C4828" t="str">
        <f t="shared" si="290"/>
        <v>RIV</v>
      </c>
      <c r="D4828">
        <v>27</v>
      </c>
      <c r="E4828" t="str">
        <f t="shared" si="292"/>
        <v>565</v>
      </c>
      <c r="F4828" t="str">
        <f>"22"</f>
        <v>22</v>
      </c>
    </row>
    <row r="4829" spans="1:6">
      <c r="A4829" t="str">
        <f>"E1237-105"</f>
        <v>E1237-105</v>
      </c>
      <c r="B4829" t="str">
        <f t="shared" si="291"/>
        <v>VIA FELICE MARITANO  67-</v>
      </c>
      <c r="C4829" t="str">
        <f t="shared" si="290"/>
        <v>RIV</v>
      </c>
      <c r="D4829">
        <v>27</v>
      </c>
      <c r="E4829" t="str">
        <f t="shared" si="292"/>
        <v>565</v>
      </c>
      <c r="F4829" t="str">
        <f>"23"</f>
        <v>23</v>
      </c>
    </row>
    <row r="4830" spans="1:6">
      <c r="A4830" t="str">
        <f>"E1237-106"</f>
        <v>E1237-106</v>
      </c>
      <c r="B4830" t="str">
        <f t="shared" si="291"/>
        <v>VIA FELICE MARITANO  67-</v>
      </c>
      <c r="C4830" t="str">
        <f t="shared" si="290"/>
        <v>RIV</v>
      </c>
      <c r="D4830">
        <v>27</v>
      </c>
      <c r="E4830" t="str">
        <f t="shared" si="292"/>
        <v>565</v>
      </c>
      <c r="F4830" t="str">
        <f>"24"</f>
        <v>24</v>
      </c>
    </row>
    <row r="4831" spans="1:6">
      <c r="A4831" t="str">
        <f>"E1237-107"</f>
        <v>E1237-107</v>
      </c>
      <c r="B4831" t="str">
        <f t="shared" si="291"/>
        <v>VIA FELICE MARITANO  67-</v>
      </c>
      <c r="C4831" t="str">
        <f t="shared" si="290"/>
        <v>RIV</v>
      </c>
      <c r="D4831">
        <v>27</v>
      </c>
      <c r="E4831" t="str">
        <f t="shared" si="292"/>
        <v>565</v>
      </c>
      <c r="F4831" t="str">
        <f>"25"</f>
        <v>25</v>
      </c>
    </row>
    <row r="4832" spans="1:6">
      <c r="A4832" t="str">
        <f>"E1237-108"</f>
        <v>E1237-108</v>
      </c>
      <c r="B4832" t="str">
        <f t="shared" si="291"/>
        <v>VIA FELICE MARITANO  67-</v>
      </c>
      <c r="C4832" t="str">
        <f t="shared" si="290"/>
        <v>RIV</v>
      </c>
      <c r="D4832">
        <v>27</v>
      </c>
      <c r="E4832" t="str">
        <f t="shared" si="292"/>
        <v>565</v>
      </c>
      <c r="F4832" t="str">
        <f>"26"</f>
        <v>26</v>
      </c>
    </row>
    <row r="4833" spans="1:6">
      <c r="A4833" t="str">
        <f>"E1237-109"</f>
        <v>E1237-109</v>
      </c>
      <c r="B4833" t="str">
        <f t="shared" si="291"/>
        <v>VIA FELICE MARITANO  67-</v>
      </c>
      <c r="C4833" t="str">
        <f t="shared" si="290"/>
        <v>RIV</v>
      </c>
      <c r="D4833">
        <v>27</v>
      </c>
      <c r="E4833" t="str">
        <f t="shared" si="292"/>
        <v>565</v>
      </c>
      <c r="F4833" t="str">
        <f>"27"</f>
        <v>27</v>
      </c>
    </row>
    <row r="4834" spans="1:6">
      <c r="A4834" t="str">
        <f>"E1237-110"</f>
        <v>E1237-110</v>
      </c>
      <c r="B4834" t="str">
        <f t="shared" si="291"/>
        <v>VIA FELICE MARITANO  67-</v>
      </c>
      <c r="C4834" t="str">
        <f t="shared" si="290"/>
        <v>RIV</v>
      </c>
      <c r="D4834">
        <v>27</v>
      </c>
      <c r="E4834" t="str">
        <f t="shared" si="292"/>
        <v>565</v>
      </c>
      <c r="F4834" t="str">
        <f>"28"</f>
        <v>28</v>
      </c>
    </row>
    <row r="4835" spans="1:6">
      <c r="A4835" t="str">
        <f>"E1237-111"</f>
        <v>E1237-111</v>
      </c>
      <c r="B4835" t="str">
        <f t="shared" si="291"/>
        <v>VIA FELICE MARITANO  67-</v>
      </c>
      <c r="C4835" t="str">
        <f t="shared" si="290"/>
        <v>RIV</v>
      </c>
      <c r="D4835">
        <v>27</v>
      </c>
      <c r="E4835" t="str">
        <f t="shared" si="292"/>
        <v>565</v>
      </c>
      <c r="F4835" t="str">
        <f>"29"</f>
        <v>29</v>
      </c>
    </row>
    <row r="4836" spans="1:6">
      <c r="A4836" t="str">
        <f>"E1237-112"</f>
        <v>E1237-112</v>
      </c>
      <c r="B4836" t="str">
        <f t="shared" si="291"/>
        <v>VIA FELICE MARITANO  67-</v>
      </c>
      <c r="C4836" t="str">
        <f t="shared" si="290"/>
        <v>RIV</v>
      </c>
      <c r="D4836">
        <v>27</v>
      </c>
      <c r="E4836" t="str">
        <f t="shared" si="292"/>
        <v>565</v>
      </c>
      <c r="F4836" t="str">
        <f>"30"</f>
        <v>30</v>
      </c>
    </row>
    <row r="4837" spans="1:6">
      <c r="A4837" t="str">
        <f>"E1237-113"</f>
        <v>E1237-113</v>
      </c>
      <c r="B4837" t="str">
        <f t="shared" si="291"/>
        <v>VIA FELICE MARITANO  67-</v>
      </c>
      <c r="C4837" t="str">
        <f t="shared" si="290"/>
        <v>RIV</v>
      </c>
      <c r="D4837">
        <v>27</v>
      </c>
      <c r="E4837" t="str">
        <f t="shared" si="292"/>
        <v>565</v>
      </c>
      <c r="F4837" t="str">
        <f>"31"</f>
        <v>31</v>
      </c>
    </row>
    <row r="4838" spans="1:6">
      <c r="A4838" t="str">
        <f>"E1237-114"</f>
        <v>E1237-114</v>
      </c>
      <c r="B4838" t="str">
        <f t="shared" si="291"/>
        <v>VIA FELICE MARITANO  67-</v>
      </c>
      <c r="C4838" t="str">
        <f t="shared" si="290"/>
        <v>RIV</v>
      </c>
      <c r="D4838">
        <v>27</v>
      </c>
      <c r="E4838" t="str">
        <f t="shared" si="292"/>
        <v>565</v>
      </c>
      <c r="F4838" t="str">
        <f>"32"</f>
        <v>32</v>
      </c>
    </row>
    <row r="4839" spans="1:6">
      <c r="A4839" t="str">
        <f>"E1237-115"</f>
        <v>E1237-115</v>
      </c>
      <c r="B4839" t="str">
        <f t="shared" si="291"/>
        <v>VIA FELICE MARITANO  67-</v>
      </c>
      <c r="C4839" t="str">
        <f t="shared" si="290"/>
        <v>RIV</v>
      </c>
      <c r="D4839">
        <v>27</v>
      </c>
      <c r="E4839" t="str">
        <f t="shared" si="292"/>
        <v>565</v>
      </c>
      <c r="F4839" t="str">
        <f>"33"</f>
        <v>33</v>
      </c>
    </row>
    <row r="4840" spans="1:6">
      <c r="A4840" t="str">
        <f>"E1237-116"</f>
        <v>E1237-116</v>
      </c>
      <c r="B4840" t="str">
        <f t="shared" si="291"/>
        <v>VIA FELICE MARITANO  67-</v>
      </c>
      <c r="C4840" t="str">
        <f t="shared" si="290"/>
        <v>RIV</v>
      </c>
      <c r="D4840">
        <v>27</v>
      </c>
      <c r="E4840" t="str">
        <f t="shared" si="292"/>
        <v>565</v>
      </c>
      <c r="F4840" t="str">
        <f>"34"</f>
        <v>34</v>
      </c>
    </row>
    <row r="4841" spans="1:6">
      <c r="A4841" t="str">
        <f>"E1237-117"</f>
        <v>E1237-117</v>
      </c>
      <c r="B4841" t="str">
        <f t="shared" si="291"/>
        <v>VIA FELICE MARITANO  67-</v>
      </c>
      <c r="C4841" t="str">
        <f t="shared" si="290"/>
        <v>RIV</v>
      </c>
      <c r="D4841">
        <v>27</v>
      </c>
      <c r="E4841" t="str">
        <f t="shared" si="292"/>
        <v>565</v>
      </c>
      <c r="F4841" t="str">
        <f>"35"</f>
        <v>35</v>
      </c>
    </row>
    <row r="4842" spans="1:6">
      <c r="A4842" t="str">
        <f>"E1237-118"</f>
        <v>E1237-118</v>
      </c>
      <c r="B4842" t="str">
        <f t="shared" si="291"/>
        <v>VIA FELICE MARITANO  67-</v>
      </c>
      <c r="C4842" t="str">
        <f t="shared" si="290"/>
        <v>RIV</v>
      </c>
      <c r="D4842">
        <v>27</v>
      </c>
      <c r="E4842" t="str">
        <f t="shared" si="292"/>
        <v>565</v>
      </c>
      <c r="F4842" t="str">
        <f>"36"</f>
        <v>36</v>
      </c>
    </row>
    <row r="4843" spans="1:6">
      <c r="A4843" t="str">
        <f>"E1237-119"</f>
        <v>E1237-119</v>
      </c>
      <c r="B4843" t="str">
        <f t="shared" si="291"/>
        <v>VIA FELICE MARITANO  67-</v>
      </c>
      <c r="C4843" t="str">
        <f t="shared" si="290"/>
        <v>RIV</v>
      </c>
      <c r="D4843">
        <v>27</v>
      </c>
      <c r="E4843" t="str">
        <f t="shared" si="292"/>
        <v>565</v>
      </c>
      <c r="F4843" t="str">
        <f>"37"</f>
        <v>37</v>
      </c>
    </row>
    <row r="4844" spans="1:6">
      <c r="A4844" t="str">
        <f>"E1237-120"</f>
        <v>E1237-120</v>
      </c>
      <c r="B4844" t="str">
        <f t="shared" si="291"/>
        <v>VIA FELICE MARITANO  67-</v>
      </c>
      <c r="C4844" t="str">
        <f t="shared" si="290"/>
        <v>RIV</v>
      </c>
      <c r="D4844">
        <v>27</v>
      </c>
      <c r="E4844" t="str">
        <f t="shared" si="292"/>
        <v>565</v>
      </c>
      <c r="F4844" t="str">
        <f>"38"</f>
        <v>38</v>
      </c>
    </row>
    <row r="4845" spans="1:6">
      <c r="A4845" t="str">
        <f>"E1237-121"</f>
        <v>E1237-121</v>
      </c>
      <c r="B4845" t="str">
        <f t="shared" si="291"/>
        <v>VIA FELICE MARITANO  67-</v>
      </c>
      <c r="C4845" t="str">
        <f t="shared" si="290"/>
        <v>RIV</v>
      </c>
      <c r="D4845">
        <v>27</v>
      </c>
      <c r="E4845" t="str">
        <f t="shared" si="292"/>
        <v>565</v>
      </c>
      <c r="F4845" t="str">
        <f>"39"</f>
        <v>39</v>
      </c>
    </row>
    <row r="4846" spans="1:6">
      <c r="A4846" t="str">
        <f>"E1237-122"</f>
        <v>E1237-122</v>
      </c>
      <c r="B4846" t="str">
        <f t="shared" si="291"/>
        <v>VIA FELICE MARITANO  67-</v>
      </c>
      <c r="C4846" t="str">
        <f t="shared" si="290"/>
        <v>RIV</v>
      </c>
      <c r="D4846">
        <v>27</v>
      </c>
      <c r="E4846" t="str">
        <f t="shared" si="292"/>
        <v>565</v>
      </c>
      <c r="F4846" t="str">
        <f t="shared" ref="F4846:F4863" si="293">"3"</f>
        <v>3</v>
      </c>
    </row>
    <row r="4847" spans="1:6">
      <c r="A4847" t="str">
        <f>"E1237-123"</f>
        <v>E1237-123</v>
      </c>
      <c r="B4847" t="str">
        <f t="shared" si="291"/>
        <v>VIA FELICE MARITANO  67-</v>
      </c>
      <c r="C4847" t="str">
        <f t="shared" si="290"/>
        <v>RIV</v>
      </c>
      <c r="D4847">
        <v>27</v>
      </c>
      <c r="E4847" t="str">
        <f t="shared" si="292"/>
        <v>565</v>
      </c>
      <c r="F4847" t="str">
        <f t="shared" si="293"/>
        <v>3</v>
      </c>
    </row>
    <row r="4848" spans="1:6">
      <c r="A4848" t="str">
        <f>"E1237-124"</f>
        <v>E1237-124</v>
      </c>
      <c r="B4848" t="str">
        <f t="shared" si="291"/>
        <v>VIA FELICE MARITANO  67-</v>
      </c>
      <c r="C4848" t="str">
        <f t="shared" si="290"/>
        <v>RIV</v>
      </c>
      <c r="D4848">
        <v>27</v>
      </c>
      <c r="E4848" t="str">
        <f t="shared" si="292"/>
        <v>565</v>
      </c>
      <c r="F4848" t="str">
        <f t="shared" si="293"/>
        <v>3</v>
      </c>
    </row>
    <row r="4849" spans="1:6">
      <c r="A4849" t="str">
        <f>"E1237-125"</f>
        <v>E1237-125</v>
      </c>
      <c r="B4849" t="str">
        <f t="shared" si="291"/>
        <v>VIA FELICE MARITANO  67-</v>
      </c>
      <c r="C4849" t="str">
        <f t="shared" si="290"/>
        <v>RIV</v>
      </c>
      <c r="D4849">
        <v>27</v>
      </c>
      <c r="E4849" t="str">
        <f t="shared" si="292"/>
        <v>565</v>
      </c>
      <c r="F4849" t="str">
        <f t="shared" si="293"/>
        <v>3</v>
      </c>
    </row>
    <row r="4850" spans="1:6">
      <c r="A4850" t="str">
        <f>"E1237-126"</f>
        <v>E1237-126</v>
      </c>
      <c r="B4850" t="str">
        <f t="shared" si="291"/>
        <v>VIA FELICE MARITANO  67-</v>
      </c>
      <c r="C4850" t="str">
        <f t="shared" si="290"/>
        <v>RIV</v>
      </c>
      <c r="D4850">
        <v>27</v>
      </c>
      <c r="E4850" t="str">
        <f t="shared" si="292"/>
        <v>565</v>
      </c>
      <c r="F4850" t="str">
        <f t="shared" si="293"/>
        <v>3</v>
      </c>
    </row>
    <row r="4851" spans="1:6">
      <c r="A4851" t="str">
        <f>"E1237-127"</f>
        <v>E1237-127</v>
      </c>
      <c r="B4851" t="str">
        <f t="shared" si="291"/>
        <v>VIA FELICE MARITANO  67-</v>
      </c>
      <c r="C4851" t="str">
        <f t="shared" si="290"/>
        <v>RIV</v>
      </c>
      <c r="D4851">
        <v>27</v>
      </c>
      <c r="E4851" t="str">
        <f t="shared" si="292"/>
        <v>565</v>
      </c>
      <c r="F4851" t="str">
        <f t="shared" si="293"/>
        <v>3</v>
      </c>
    </row>
    <row r="4852" spans="1:6">
      <c r="A4852" t="str">
        <f>"E1237-128"</f>
        <v>E1237-128</v>
      </c>
      <c r="B4852" t="str">
        <f t="shared" si="291"/>
        <v>VIA FELICE MARITANO  67-</v>
      </c>
      <c r="C4852" t="str">
        <f t="shared" si="290"/>
        <v>RIV</v>
      </c>
      <c r="D4852">
        <v>27</v>
      </c>
      <c r="E4852" t="str">
        <f t="shared" si="292"/>
        <v>565</v>
      </c>
      <c r="F4852" t="str">
        <f t="shared" si="293"/>
        <v>3</v>
      </c>
    </row>
    <row r="4853" spans="1:6">
      <c r="A4853" t="str">
        <f>"E1237-129"</f>
        <v>E1237-129</v>
      </c>
      <c r="B4853" t="str">
        <f t="shared" si="291"/>
        <v>VIA FELICE MARITANO  67-</v>
      </c>
      <c r="C4853" t="str">
        <f t="shared" ref="C4853:C4916" si="294">"RIV"</f>
        <v>RIV</v>
      </c>
      <c r="D4853">
        <v>27</v>
      </c>
      <c r="E4853" t="str">
        <f t="shared" si="292"/>
        <v>565</v>
      </c>
      <c r="F4853" t="str">
        <f t="shared" si="293"/>
        <v>3</v>
      </c>
    </row>
    <row r="4854" spans="1:6">
      <c r="A4854" t="str">
        <f>"E1237-130"</f>
        <v>E1237-130</v>
      </c>
      <c r="B4854" t="str">
        <f t="shared" ref="B4854:B4862" si="295">"VIA FELICE MARITANO  98-"</f>
        <v>VIA FELICE MARITANO  98-</v>
      </c>
      <c r="C4854" t="str">
        <f t="shared" si="294"/>
        <v>RIV</v>
      </c>
      <c r="D4854">
        <v>27</v>
      </c>
      <c r="E4854" t="str">
        <f t="shared" ref="E4854:E4862" si="296">"564"</f>
        <v>564</v>
      </c>
      <c r="F4854" t="str">
        <f t="shared" si="293"/>
        <v>3</v>
      </c>
    </row>
    <row r="4855" spans="1:6">
      <c r="A4855" t="str">
        <f>"E1237-131"</f>
        <v>E1237-131</v>
      </c>
      <c r="B4855" t="str">
        <f t="shared" si="295"/>
        <v>VIA FELICE MARITANO  98-</v>
      </c>
      <c r="C4855" t="str">
        <f t="shared" si="294"/>
        <v>RIV</v>
      </c>
      <c r="D4855">
        <v>27</v>
      </c>
      <c r="E4855" t="str">
        <f t="shared" si="296"/>
        <v>564</v>
      </c>
      <c r="F4855" t="str">
        <f t="shared" si="293"/>
        <v>3</v>
      </c>
    </row>
    <row r="4856" spans="1:6">
      <c r="A4856" t="str">
        <f>"E1237-132"</f>
        <v>E1237-132</v>
      </c>
      <c r="B4856" t="str">
        <f t="shared" si="295"/>
        <v>VIA FELICE MARITANO  98-</v>
      </c>
      <c r="C4856" t="str">
        <f t="shared" si="294"/>
        <v>RIV</v>
      </c>
      <c r="D4856">
        <v>27</v>
      </c>
      <c r="E4856" t="str">
        <f t="shared" si="296"/>
        <v>564</v>
      </c>
      <c r="F4856" t="str">
        <f t="shared" si="293"/>
        <v>3</v>
      </c>
    </row>
    <row r="4857" spans="1:6">
      <c r="A4857" t="str">
        <f>"E1237-133"</f>
        <v>E1237-133</v>
      </c>
      <c r="B4857" t="str">
        <f t="shared" si="295"/>
        <v>VIA FELICE MARITANO  98-</v>
      </c>
      <c r="C4857" t="str">
        <f t="shared" si="294"/>
        <v>RIV</v>
      </c>
      <c r="D4857">
        <v>27</v>
      </c>
      <c r="E4857" t="str">
        <f t="shared" si="296"/>
        <v>564</v>
      </c>
      <c r="F4857" t="str">
        <f t="shared" si="293"/>
        <v>3</v>
      </c>
    </row>
    <row r="4858" spans="1:6">
      <c r="A4858" t="str">
        <f>"E1237-134"</f>
        <v>E1237-134</v>
      </c>
      <c r="B4858" t="str">
        <f t="shared" si="295"/>
        <v>VIA FELICE MARITANO  98-</v>
      </c>
      <c r="C4858" t="str">
        <f t="shared" si="294"/>
        <v>RIV</v>
      </c>
      <c r="D4858">
        <v>27</v>
      </c>
      <c r="E4858" t="str">
        <f t="shared" si="296"/>
        <v>564</v>
      </c>
      <c r="F4858" t="str">
        <f t="shared" si="293"/>
        <v>3</v>
      </c>
    </row>
    <row r="4859" spans="1:6">
      <c r="A4859" t="str">
        <f>"E1237-135"</f>
        <v>E1237-135</v>
      </c>
      <c r="B4859" t="str">
        <f t="shared" si="295"/>
        <v>VIA FELICE MARITANO  98-</v>
      </c>
      <c r="C4859" t="str">
        <f t="shared" si="294"/>
        <v>RIV</v>
      </c>
      <c r="D4859">
        <v>27</v>
      </c>
      <c r="E4859" t="str">
        <f t="shared" si="296"/>
        <v>564</v>
      </c>
      <c r="F4859" t="str">
        <f t="shared" si="293"/>
        <v>3</v>
      </c>
    </row>
    <row r="4860" spans="1:6">
      <c r="A4860" t="str">
        <f>"E1237-136"</f>
        <v>E1237-136</v>
      </c>
      <c r="B4860" t="str">
        <f t="shared" si="295"/>
        <v>VIA FELICE MARITANO  98-</v>
      </c>
      <c r="C4860" t="str">
        <f t="shared" si="294"/>
        <v>RIV</v>
      </c>
      <c r="D4860">
        <v>27</v>
      </c>
      <c r="E4860" t="str">
        <f t="shared" si="296"/>
        <v>564</v>
      </c>
      <c r="F4860" t="str">
        <f t="shared" si="293"/>
        <v>3</v>
      </c>
    </row>
    <row r="4861" spans="1:6">
      <c r="A4861" t="str">
        <f>"E1237-137"</f>
        <v>E1237-137</v>
      </c>
      <c r="B4861" t="str">
        <f t="shared" si="295"/>
        <v>VIA FELICE MARITANO  98-</v>
      </c>
      <c r="C4861" t="str">
        <f t="shared" si="294"/>
        <v>RIV</v>
      </c>
      <c r="D4861">
        <v>27</v>
      </c>
      <c r="E4861" t="str">
        <f t="shared" si="296"/>
        <v>564</v>
      </c>
      <c r="F4861" t="str">
        <f t="shared" si="293"/>
        <v>3</v>
      </c>
    </row>
    <row r="4862" spans="1:6">
      <c r="A4862" t="str">
        <f>"E1237-138"</f>
        <v>E1237-138</v>
      </c>
      <c r="B4862" t="str">
        <f t="shared" si="295"/>
        <v>VIA FELICE MARITANO  98-</v>
      </c>
      <c r="C4862" t="str">
        <f t="shared" si="294"/>
        <v>RIV</v>
      </c>
      <c r="D4862">
        <v>27</v>
      </c>
      <c r="E4862" t="str">
        <f t="shared" si="296"/>
        <v>564</v>
      </c>
      <c r="F4862" t="str">
        <f t="shared" si="293"/>
        <v>3</v>
      </c>
    </row>
    <row r="4863" spans="1:6">
      <c r="A4863" t="str">
        <f>"E1238-1"</f>
        <v>E1238-1</v>
      </c>
      <c r="B4863" t="str">
        <f t="shared" ref="B4863:B4873" si="297">"VIA A. P. CECHOV  3-"</f>
        <v>VIA A. P. CECHOV  3-</v>
      </c>
      <c r="C4863" t="str">
        <f t="shared" si="294"/>
        <v>RIV</v>
      </c>
      <c r="D4863">
        <v>27</v>
      </c>
      <c r="E4863" t="str">
        <f t="shared" ref="E4863:E4873" si="298">"1182"</f>
        <v>1182</v>
      </c>
      <c r="F4863" t="str">
        <f t="shared" si="293"/>
        <v>3</v>
      </c>
    </row>
    <row r="4864" spans="1:6">
      <c r="A4864" t="str">
        <f>"E1238-2"</f>
        <v>E1238-2</v>
      </c>
      <c r="B4864" t="str">
        <f t="shared" si="297"/>
        <v>VIA A. P. CECHOV  3-</v>
      </c>
      <c r="C4864" t="str">
        <f t="shared" si="294"/>
        <v>RIV</v>
      </c>
      <c r="D4864">
        <v>27</v>
      </c>
      <c r="E4864" t="str">
        <f t="shared" si="298"/>
        <v>1182</v>
      </c>
      <c r="F4864" t="str">
        <f>"2"</f>
        <v>2</v>
      </c>
    </row>
    <row r="4865" spans="1:6">
      <c r="A4865" t="str">
        <f>"E1238-3"</f>
        <v>E1238-3</v>
      </c>
      <c r="B4865" t="str">
        <f t="shared" si="297"/>
        <v>VIA A. P. CECHOV  3-</v>
      </c>
      <c r="C4865" t="str">
        <f t="shared" si="294"/>
        <v>RIV</v>
      </c>
      <c r="D4865">
        <v>27</v>
      </c>
      <c r="E4865" t="str">
        <f t="shared" si="298"/>
        <v>1182</v>
      </c>
      <c r="F4865" t="str">
        <f>"6"</f>
        <v>6</v>
      </c>
    </row>
    <row r="4866" spans="1:6">
      <c r="A4866" t="str">
        <f>"E1238-4"</f>
        <v>E1238-4</v>
      </c>
      <c r="B4866" t="str">
        <f t="shared" si="297"/>
        <v>VIA A. P. CECHOV  3-</v>
      </c>
      <c r="C4866" t="str">
        <f t="shared" si="294"/>
        <v>RIV</v>
      </c>
      <c r="D4866">
        <v>27</v>
      </c>
      <c r="E4866" t="str">
        <f t="shared" si="298"/>
        <v>1182</v>
      </c>
      <c r="F4866" t="str">
        <f>"5"</f>
        <v>5</v>
      </c>
    </row>
    <row r="4867" spans="1:6">
      <c r="A4867" t="str">
        <f>"E1238-5"</f>
        <v>E1238-5</v>
      </c>
      <c r="B4867" t="str">
        <f t="shared" si="297"/>
        <v>VIA A. P. CECHOV  3-</v>
      </c>
      <c r="C4867" t="str">
        <f t="shared" si="294"/>
        <v>RIV</v>
      </c>
      <c r="D4867">
        <v>27</v>
      </c>
      <c r="E4867" t="str">
        <f t="shared" si="298"/>
        <v>1182</v>
      </c>
      <c r="F4867" t="str">
        <f>"4"</f>
        <v>4</v>
      </c>
    </row>
    <row r="4868" spans="1:6">
      <c r="A4868" t="str">
        <f>"E1238-6"</f>
        <v>E1238-6</v>
      </c>
      <c r="B4868" t="str">
        <f t="shared" si="297"/>
        <v>VIA A. P. CECHOV  3-</v>
      </c>
      <c r="C4868" t="str">
        <f t="shared" si="294"/>
        <v>RIV</v>
      </c>
      <c r="D4868">
        <v>27</v>
      </c>
      <c r="E4868" t="str">
        <f t="shared" si="298"/>
        <v>1182</v>
      </c>
      <c r="F4868" t="str">
        <f>"9"</f>
        <v>9</v>
      </c>
    </row>
    <row r="4869" spans="1:6">
      <c r="A4869" t="str">
        <f>"E1238-7"</f>
        <v>E1238-7</v>
      </c>
      <c r="B4869" t="str">
        <f t="shared" si="297"/>
        <v>VIA A. P. CECHOV  3-</v>
      </c>
      <c r="C4869" t="str">
        <f t="shared" si="294"/>
        <v>RIV</v>
      </c>
      <c r="D4869">
        <v>27</v>
      </c>
      <c r="E4869" t="str">
        <f t="shared" si="298"/>
        <v>1182</v>
      </c>
      <c r="F4869" t="str">
        <f>"8"</f>
        <v>8</v>
      </c>
    </row>
    <row r="4870" spans="1:6">
      <c r="A4870" t="str">
        <f>"E1238-8"</f>
        <v>E1238-8</v>
      </c>
      <c r="B4870" t="str">
        <f t="shared" si="297"/>
        <v>VIA A. P. CECHOV  3-</v>
      </c>
      <c r="C4870" t="str">
        <f t="shared" si="294"/>
        <v>RIV</v>
      </c>
      <c r="D4870">
        <v>27</v>
      </c>
      <c r="E4870" t="str">
        <f t="shared" si="298"/>
        <v>1182</v>
      </c>
      <c r="F4870" t="str">
        <f>"7"</f>
        <v>7</v>
      </c>
    </row>
    <row r="4871" spans="1:6">
      <c r="A4871" t="str">
        <f>"E1238-9"</f>
        <v>E1238-9</v>
      </c>
      <c r="B4871" t="str">
        <f t="shared" si="297"/>
        <v>VIA A. P. CECHOV  3-</v>
      </c>
      <c r="C4871" t="str">
        <f t="shared" si="294"/>
        <v>RIV</v>
      </c>
      <c r="D4871">
        <v>27</v>
      </c>
      <c r="E4871" t="str">
        <f t="shared" si="298"/>
        <v>1182</v>
      </c>
      <c r="F4871" t="str">
        <f>"12"</f>
        <v>12</v>
      </c>
    </row>
    <row r="4872" spans="1:6">
      <c r="A4872" t="str">
        <f>"E1238-10"</f>
        <v>E1238-10</v>
      </c>
      <c r="B4872" t="str">
        <f t="shared" si="297"/>
        <v>VIA A. P. CECHOV  3-</v>
      </c>
      <c r="C4872" t="str">
        <f t="shared" si="294"/>
        <v>RIV</v>
      </c>
      <c r="D4872">
        <v>27</v>
      </c>
      <c r="E4872" t="str">
        <f t="shared" si="298"/>
        <v>1182</v>
      </c>
      <c r="F4872" t="str">
        <f>"11"</f>
        <v>11</v>
      </c>
    </row>
    <row r="4873" spans="1:6">
      <c r="A4873" t="str">
        <f>"E1238-11"</f>
        <v>E1238-11</v>
      </c>
      <c r="B4873" t="str">
        <f t="shared" si="297"/>
        <v>VIA A. P. CECHOV  3-</v>
      </c>
      <c r="C4873" t="str">
        <f t="shared" si="294"/>
        <v>RIV</v>
      </c>
      <c r="D4873">
        <v>27</v>
      </c>
      <c r="E4873" t="str">
        <f t="shared" si="298"/>
        <v>1182</v>
      </c>
      <c r="F4873" t="str">
        <f>"10"</f>
        <v>10</v>
      </c>
    </row>
    <row r="4874" spans="1:6">
      <c r="A4874" t="str">
        <f>"E1239-1"</f>
        <v>E1239-1</v>
      </c>
      <c r="B4874" t="str">
        <f t="shared" ref="B4874:B4903" si="299">"VIA A. P. CECHOV  5-"</f>
        <v>VIA A. P. CECHOV  5-</v>
      </c>
      <c r="C4874" t="str">
        <f t="shared" si="294"/>
        <v>RIV</v>
      </c>
      <c r="D4874">
        <v>27</v>
      </c>
      <c r="E4874" t="str">
        <f t="shared" ref="E4874:E4903" si="300">"1173"</f>
        <v>1173</v>
      </c>
      <c r="F4874" t="str">
        <f>"3"</f>
        <v>3</v>
      </c>
    </row>
    <row r="4875" spans="1:6">
      <c r="A4875" t="str">
        <f>"E1239-2"</f>
        <v>E1239-2</v>
      </c>
      <c r="B4875" t="str">
        <f t="shared" si="299"/>
        <v>VIA A. P. CECHOV  5-</v>
      </c>
      <c r="C4875" t="str">
        <f t="shared" si="294"/>
        <v>RIV</v>
      </c>
      <c r="D4875">
        <v>27</v>
      </c>
      <c r="E4875" t="str">
        <f t="shared" si="300"/>
        <v>1173</v>
      </c>
      <c r="F4875" t="str">
        <f>"2"</f>
        <v>2</v>
      </c>
    </row>
    <row r="4876" spans="1:6">
      <c r="A4876" t="str">
        <f>"E1239-3"</f>
        <v>E1239-3</v>
      </c>
      <c r="B4876" t="str">
        <f t="shared" si="299"/>
        <v>VIA A. P. CECHOV  5-</v>
      </c>
      <c r="C4876" t="str">
        <f t="shared" si="294"/>
        <v>RIV</v>
      </c>
      <c r="D4876">
        <v>27</v>
      </c>
      <c r="E4876" t="str">
        <f t="shared" si="300"/>
        <v>1173</v>
      </c>
      <c r="F4876" t="str">
        <f>"4"</f>
        <v>4</v>
      </c>
    </row>
    <row r="4877" spans="1:6">
      <c r="A4877" t="str">
        <f>"E1239-4"</f>
        <v>E1239-4</v>
      </c>
      <c r="B4877" t="str">
        <f t="shared" si="299"/>
        <v>VIA A. P. CECHOV  5-</v>
      </c>
      <c r="C4877" t="str">
        <f t="shared" si="294"/>
        <v>RIV</v>
      </c>
      <c r="D4877">
        <v>27</v>
      </c>
      <c r="E4877" t="str">
        <f t="shared" si="300"/>
        <v>1173</v>
      </c>
      <c r="F4877" t="str">
        <f>"5"</f>
        <v>5</v>
      </c>
    </row>
    <row r="4878" spans="1:6">
      <c r="A4878" t="str">
        <f>"E1239-5"</f>
        <v>E1239-5</v>
      </c>
      <c r="B4878" t="str">
        <f t="shared" si="299"/>
        <v>VIA A. P. CECHOV  5-</v>
      </c>
      <c r="C4878" t="str">
        <f t="shared" si="294"/>
        <v>RIV</v>
      </c>
      <c r="D4878">
        <v>27</v>
      </c>
      <c r="E4878" t="str">
        <f t="shared" si="300"/>
        <v>1173</v>
      </c>
      <c r="F4878" t="str">
        <f>"6"</f>
        <v>6</v>
      </c>
    </row>
    <row r="4879" spans="1:6">
      <c r="A4879" t="str">
        <f>"E1239-6"</f>
        <v>E1239-6</v>
      </c>
      <c r="B4879" t="str">
        <f t="shared" si="299"/>
        <v>VIA A. P. CECHOV  5-</v>
      </c>
      <c r="C4879" t="str">
        <f t="shared" si="294"/>
        <v>RIV</v>
      </c>
      <c r="D4879">
        <v>27</v>
      </c>
      <c r="E4879" t="str">
        <f t="shared" si="300"/>
        <v>1173</v>
      </c>
      <c r="F4879" t="str">
        <f>"9"</f>
        <v>9</v>
      </c>
    </row>
    <row r="4880" spans="1:6">
      <c r="A4880" t="str">
        <f>"E1239-7"</f>
        <v>E1239-7</v>
      </c>
      <c r="B4880" t="str">
        <f t="shared" si="299"/>
        <v>VIA A. P. CECHOV  5-</v>
      </c>
      <c r="C4880" t="str">
        <f t="shared" si="294"/>
        <v>RIV</v>
      </c>
      <c r="D4880">
        <v>27</v>
      </c>
      <c r="E4880" t="str">
        <f t="shared" si="300"/>
        <v>1173</v>
      </c>
      <c r="F4880" t="str">
        <f>"8"</f>
        <v>8</v>
      </c>
    </row>
    <row r="4881" spans="1:6">
      <c r="A4881" t="str">
        <f>"E1239-8"</f>
        <v>E1239-8</v>
      </c>
      <c r="B4881" t="str">
        <f t="shared" si="299"/>
        <v>VIA A. P. CECHOV  5-</v>
      </c>
      <c r="C4881" t="str">
        <f t="shared" si="294"/>
        <v>RIV</v>
      </c>
      <c r="D4881">
        <v>27</v>
      </c>
      <c r="E4881" t="str">
        <f t="shared" si="300"/>
        <v>1173</v>
      </c>
      <c r="F4881" t="str">
        <f>"7"</f>
        <v>7</v>
      </c>
    </row>
    <row r="4882" spans="1:6">
      <c r="A4882" t="str">
        <f>"E1239-9"</f>
        <v>E1239-9</v>
      </c>
      <c r="B4882" t="str">
        <f t="shared" si="299"/>
        <v>VIA A. P. CECHOV  5-</v>
      </c>
      <c r="C4882" t="str">
        <f t="shared" si="294"/>
        <v>RIV</v>
      </c>
      <c r="D4882">
        <v>27</v>
      </c>
      <c r="E4882" t="str">
        <f t="shared" si="300"/>
        <v>1173</v>
      </c>
      <c r="F4882" t="str">
        <f>"12"</f>
        <v>12</v>
      </c>
    </row>
    <row r="4883" spans="1:6">
      <c r="A4883" t="str">
        <f>"E1239-10"</f>
        <v>E1239-10</v>
      </c>
      <c r="B4883" t="str">
        <f t="shared" si="299"/>
        <v>VIA A. P. CECHOV  5-</v>
      </c>
      <c r="C4883" t="str">
        <f t="shared" si="294"/>
        <v>RIV</v>
      </c>
      <c r="D4883">
        <v>27</v>
      </c>
      <c r="E4883" t="str">
        <f t="shared" si="300"/>
        <v>1173</v>
      </c>
      <c r="F4883" t="str">
        <f>"11"</f>
        <v>11</v>
      </c>
    </row>
    <row r="4884" spans="1:6">
      <c r="A4884" t="str">
        <f>"E1239-11"</f>
        <v>E1239-11</v>
      </c>
      <c r="B4884" t="str">
        <f t="shared" si="299"/>
        <v>VIA A. P. CECHOV  5-</v>
      </c>
      <c r="C4884" t="str">
        <f t="shared" si="294"/>
        <v>RIV</v>
      </c>
      <c r="D4884">
        <v>27</v>
      </c>
      <c r="E4884" t="str">
        <f t="shared" si="300"/>
        <v>1173</v>
      </c>
      <c r="F4884" t="str">
        <f>"10"</f>
        <v>10</v>
      </c>
    </row>
    <row r="4885" spans="1:6">
      <c r="A4885" t="str">
        <f>"E1239-12"</f>
        <v>E1239-12</v>
      </c>
      <c r="B4885" t="str">
        <f t="shared" si="299"/>
        <v>VIA A. P. CECHOV  5-</v>
      </c>
      <c r="C4885" t="str">
        <f t="shared" si="294"/>
        <v>RIV</v>
      </c>
      <c r="D4885">
        <v>27</v>
      </c>
      <c r="E4885" t="str">
        <f t="shared" si="300"/>
        <v>1173</v>
      </c>
      <c r="F4885" t="str">
        <f>"13"</f>
        <v>13</v>
      </c>
    </row>
    <row r="4886" spans="1:6">
      <c r="A4886" t="str">
        <f>"E1239-13"</f>
        <v>E1239-13</v>
      </c>
      <c r="B4886" t="str">
        <f t="shared" si="299"/>
        <v>VIA A. P. CECHOV  5-</v>
      </c>
      <c r="C4886" t="str">
        <f t="shared" si="294"/>
        <v>RIV</v>
      </c>
      <c r="D4886">
        <v>27</v>
      </c>
      <c r="E4886" t="str">
        <f t="shared" si="300"/>
        <v>1173</v>
      </c>
      <c r="F4886" t="str">
        <f>"31"</f>
        <v>31</v>
      </c>
    </row>
    <row r="4887" spans="1:6">
      <c r="A4887" t="str">
        <f>"E1239-14"</f>
        <v>E1239-14</v>
      </c>
      <c r="B4887" t="str">
        <f t="shared" si="299"/>
        <v>VIA A. P. CECHOV  5-</v>
      </c>
      <c r="C4887" t="str">
        <f t="shared" si="294"/>
        <v>RIV</v>
      </c>
      <c r="D4887">
        <v>27</v>
      </c>
      <c r="E4887" t="str">
        <f t="shared" si="300"/>
        <v>1173</v>
      </c>
      <c r="F4887" t="str">
        <f>"30"</f>
        <v>30</v>
      </c>
    </row>
    <row r="4888" spans="1:6">
      <c r="A4888" t="str">
        <f>"E1239-15"</f>
        <v>E1239-15</v>
      </c>
      <c r="B4888" t="str">
        <f t="shared" si="299"/>
        <v>VIA A. P. CECHOV  5-</v>
      </c>
      <c r="C4888" t="str">
        <f t="shared" si="294"/>
        <v>RIV</v>
      </c>
      <c r="D4888">
        <v>27</v>
      </c>
      <c r="E4888" t="str">
        <f t="shared" si="300"/>
        <v>1173</v>
      </c>
      <c r="F4888" t="str">
        <f>"29"</f>
        <v>29</v>
      </c>
    </row>
    <row r="4889" spans="1:6">
      <c r="A4889" t="str">
        <f>"E1239-16"</f>
        <v>E1239-16</v>
      </c>
      <c r="B4889" t="str">
        <f t="shared" si="299"/>
        <v>VIA A. P. CECHOV  5-</v>
      </c>
      <c r="C4889" t="str">
        <f t="shared" si="294"/>
        <v>RIV</v>
      </c>
      <c r="D4889">
        <v>27</v>
      </c>
      <c r="E4889" t="str">
        <f t="shared" si="300"/>
        <v>1173</v>
      </c>
      <c r="F4889" t="str">
        <f>"28"</f>
        <v>28</v>
      </c>
    </row>
    <row r="4890" spans="1:6">
      <c r="A4890" t="str">
        <f>"E1239-17"</f>
        <v>E1239-17</v>
      </c>
      <c r="B4890" t="str">
        <f t="shared" si="299"/>
        <v>VIA A. P. CECHOV  5-</v>
      </c>
      <c r="C4890" t="str">
        <f t="shared" si="294"/>
        <v>RIV</v>
      </c>
      <c r="D4890">
        <v>27</v>
      </c>
      <c r="E4890" t="str">
        <f t="shared" si="300"/>
        <v>1173</v>
      </c>
      <c r="F4890" t="str">
        <f>"27"</f>
        <v>27</v>
      </c>
    </row>
    <row r="4891" spans="1:6">
      <c r="A4891" t="str">
        <f>"E1239-18"</f>
        <v>E1239-18</v>
      </c>
      <c r="B4891" t="str">
        <f t="shared" si="299"/>
        <v>VIA A. P. CECHOV  5-</v>
      </c>
      <c r="C4891" t="str">
        <f t="shared" si="294"/>
        <v>RIV</v>
      </c>
      <c r="D4891">
        <v>27</v>
      </c>
      <c r="E4891" t="str">
        <f t="shared" si="300"/>
        <v>1173</v>
      </c>
      <c r="F4891" t="str">
        <f>"26"</f>
        <v>26</v>
      </c>
    </row>
    <row r="4892" spans="1:6">
      <c r="A4892" t="str">
        <f>"E1239-19"</f>
        <v>E1239-19</v>
      </c>
      <c r="B4892" t="str">
        <f t="shared" si="299"/>
        <v>VIA A. P. CECHOV  5-</v>
      </c>
      <c r="C4892" t="str">
        <f t="shared" si="294"/>
        <v>RIV</v>
      </c>
      <c r="D4892">
        <v>27</v>
      </c>
      <c r="E4892" t="str">
        <f t="shared" si="300"/>
        <v>1173</v>
      </c>
      <c r="F4892" t="str">
        <f>"25"</f>
        <v>25</v>
      </c>
    </row>
    <row r="4893" spans="1:6">
      <c r="A4893" t="str">
        <f>"E1239-20"</f>
        <v>E1239-20</v>
      </c>
      <c r="B4893" t="str">
        <f t="shared" si="299"/>
        <v>VIA A. P. CECHOV  5-</v>
      </c>
      <c r="C4893" t="str">
        <f t="shared" si="294"/>
        <v>RIV</v>
      </c>
      <c r="D4893">
        <v>27</v>
      </c>
      <c r="E4893" t="str">
        <f t="shared" si="300"/>
        <v>1173</v>
      </c>
      <c r="F4893" t="str">
        <f>"24"</f>
        <v>24</v>
      </c>
    </row>
    <row r="4894" spans="1:6">
      <c r="A4894" t="str">
        <f>"E1239-21"</f>
        <v>E1239-21</v>
      </c>
      <c r="B4894" t="str">
        <f t="shared" si="299"/>
        <v>VIA A. P. CECHOV  5-</v>
      </c>
      <c r="C4894" t="str">
        <f t="shared" si="294"/>
        <v>RIV</v>
      </c>
      <c r="D4894">
        <v>27</v>
      </c>
      <c r="E4894" t="str">
        <f t="shared" si="300"/>
        <v>1173</v>
      </c>
      <c r="F4894" t="str">
        <f>"23"</f>
        <v>23</v>
      </c>
    </row>
    <row r="4895" spans="1:6">
      <c r="A4895" t="str">
        <f>"E1239-22"</f>
        <v>E1239-22</v>
      </c>
      <c r="B4895" t="str">
        <f t="shared" si="299"/>
        <v>VIA A. P. CECHOV  5-</v>
      </c>
      <c r="C4895" t="str">
        <f t="shared" si="294"/>
        <v>RIV</v>
      </c>
      <c r="D4895">
        <v>27</v>
      </c>
      <c r="E4895" t="str">
        <f t="shared" si="300"/>
        <v>1173</v>
      </c>
      <c r="F4895" t="str">
        <f>"22"</f>
        <v>22</v>
      </c>
    </row>
    <row r="4896" spans="1:6">
      <c r="A4896" t="str">
        <f>"E1239-23"</f>
        <v>E1239-23</v>
      </c>
      <c r="B4896" t="str">
        <f t="shared" si="299"/>
        <v>VIA A. P. CECHOV  5-</v>
      </c>
      <c r="C4896" t="str">
        <f t="shared" si="294"/>
        <v>RIV</v>
      </c>
      <c r="D4896">
        <v>27</v>
      </c>
      <c r="E4896" t="str">
        <f t="shared" si="300"/>
        <v>1173</v>
      </c>
      <c r="F4896" t="str">
        <f>"21"</f>
        <v>21</v>
      </c>
    </row>
    <row r="4897" spans="1:6">
      <c r="A4897" t="str">
        <f>"E1239-24"</f>
        <v>E1239-24</v>
      </c>
      <c r="B4897" t="str">
        <f t="shared" si="299"/>
        <v>VIA A. P. CECHOV  5-</v>
      </c>
      <c r="C4897" t="str">
        <f t="shared" si="294"/>
        <v>RIV</v>
      </c>
      <c r="D4897">
        <v>27</v>
      </c>
      <c r="E4897" t="str">
        <f t="shared" si="300"/>
        <v>1173</v>
      </c>
      <c r="F4897" t="str">
        <f>"20"</f>
        <v>20</v>
      </c>
    </row>
    <row r="4898" spans="1:6">
      <c r="A4898" t="str">
        <f>"E1239-25"</f>
        <v>E1239-25</v>
      </c>
      <c r="B4898" t="str">
        <f t="shared" si="299"/>
        <v>VIA A. P. CECHOV  5-</v>
      </c>
      <c r="C4898" t="str">
        <f t="shared" si="294"/>
        <v>RIV</v>
      </c>
      <c r="D4898">
        <v>27</v>
      </c>
      <c r="E4898" t="str">
        <f t="shared" si="300"/>
        <v>1173</v>
      </c>
      <c r="F4898" t="str">
        <f>"19"</f>
        <v>19</v>
      </c>
    </row>
    <row r="4899" spans="1:6">
      <c r="A4899" t="str">
        <f>"E1239-26"</f>
        <v>E1239-26</v>
      </c>
      <c r="B4899" t="str">
        <f t="shared" si="299"/>
        <v>VIA A. P. CECHOV  5-</v>
      </c>
      <c r="C4899" t="str">
        <f t="shared" si="294"/>
        <v>RIV</v>
      </c>
      <c r="D4899">
        <v>27</v>
      </c>
      <c r="E4899" t="str">
        <f t="shared" si="300"/>
        <v>1173</v>
      </c>
      <c r="F4899" t="str">
        <f>"18"</f>
        <v>18</v>
      </c>
    </row>
    <row r="4900" spans="1:6">
      <c r="A4900" t="str">
        <f>"E1239-27"</f>
        <v>E1239-27</v>
      </c>
      <c r="B4900" t="str">
        <f t="shared" si="299"/>
        <v>VIA A. P. CECHOV  5-</v>
      </c>
      <c r="C4900" t="str">
        <f t="shared" si="294"/>
        <v>RIV</v>
      </c>
      <c r="D4900">
        <v>27</v>
      </c>
      <c r="E4900" t="str">
        <f t="shared" si="300"/>
        <v>1173</v>
      </c>
      <c r="F4900" t="str">
        <f>"17"</f>
        <v>17</v>
      </c>
    </row>
    <row r="4901" spans="1:6">
      <c r="A4901" t="str">
        <f>"E1239-28"</f>
        <v>E1239-28</v>
      </c>
      <c r="B4901" t="str">
        <f t="shared" si="299"/>
        <v>VIA A. P. CECHOV  5-</v>
      </c>
      <c r="C4901" t="str">
        <f t="shared" si="294"/>
        <v>RIV</v>
      </c>
      <c r="D4901">
        <v>27</v>
      </c>
      <c r="E4901" t="str">
        <f t="shared" si="300"/>
        <v>1173</v>
      </c>
      <c r="F4901" t="str">
        <f>"16"</f>
        <v>16</v>
      </c>
    </row>
    <row r="4902" spans="1:6">
      <c r="A4902" t="str">
        <f>"E1239-29"</f>
        <v>E1239-29</v>
      </c>
      <c r="B4902" t="str">
        <f t="shared" si="299"/>
        <v>VIA A. P. CECHOV  5-</v>
      </c>
      <c r="C4902" t="str">
        <f t="shared" si="294"/>
        <v>RIV</v>
      </c>
      <c r="D4902">
        <v>27</v>
      </c>
      <c r="E4902" t="str">
        <f t="shared" si="300"/>
        <v>1173</v>
      </c>
      <c r="F4902" t="str">
        <f>"15"</f>
        <v>15</v>
      </c>
    </row>
    <row r="4903" spans="1:6">
      <c r="A4903" t="str">
        <f>"E1239-30"</f>
        <v>E1239-30</v>
      </c>
      <c r="B4903" t="str">
        <f t="shared" si="299"/>
        <v>VIA A. P. CECHOV  5-</v>
      </c>
      <c r="C4903" t="str">
        <f t="shared" si="294"/>
        <v>RIV</v>
      </c>
      <c r="D4903">
        <v>27</v>
      </c>
      <c r="E4903" t="str">
        <f t="shared" si="300"/>
        <v>1173</v>
      </c>
      <c r="F4903" t="str">
        <f>"14"</f>
        <v>14</v>
      </c>
    </row>
    <row r="4904" spans="1:6">
      <c r="A4904" t="str">
        <f>"E1240-1"</f>
        <v>E1240-1</v>
      </c>
      <c r="B4904" t="str">
        <f t="shared" ref="B4904:B4914" si="301">"VIA A. P. CECHOV  26-"</f>
        <v>VIA A. P. CECHOV  26-</v>
      </c>
      <c r="C4904" t="str">
        <f t="shared" si="294"/>
        <v>RIV</v>
      </c>
      <c r="D4904">
        <v>27</v>
      </c>
      <c r="E4904" t="str">
        <f t="shared" ref="E4904:E4926" si="302">"1178"</f>
        <v>1178</v>
      </c>
      <c r="F4904" t="str">
        <f>"3"</f>
        <v>3</v>
      </c>
    </row>
    <row r="4905" spans="1:6">
      <c r="A4905" t="str">
        <f>"E1240-2"</f>
        <v>E1240-2</v>
      </c>
      <c r="B4905" t="str">
        <f t="shared" si="301"/>
        <v>VIA A. P. CECHOV  26-</v>
      </c>
      <c r="C4905" t="str">
        <f t="shared" si="294"/>
        <v>RIV</v>
      </c>
      <c r="D4905">
        <v>27</v>
      </c>
      <c r="E4905" t="str">
        <f t="shared" si="302"/>
        <v>1178</v>
      </c>
      <c r="F4905" t="str">
        <f>"2"</f>
        <v>2</v>
      </c>
    </row>
    <row r="4906" spans="1:6">
      <c r="A4906" t="str">
        <f>"E1240-3"</f>
        <v>E1240-3</v>
      </c>
      <c r="B4906" t="str">
        <f t="shared" si="301"/>
        <v>VIA A. P. CECHOV  26-</v>
      </c>
      <c r="C4906" t="str">
        <f t="shared" si="294"/>
        <v>RIV</v>
      </c>
      <c r="D4906">
        <v>27</v>
      </c>
      <c r="E4906" t="str">
        <f t="shared" si="302"/>
        <v>1178</v>
      </c>
      <c r="F4906" t="str">
        <f>"6"</f>
        <v>6</v>
      </c>
    </row>
    <row r="4907" spans="1:6">
      <c r="A4907" t="str">
        <f>"E1240-4"</f>
        <v>E1240-4</v>
      </c>
      <c r="B4907" t="str">
        <f t="shared" si="301"/>
        <v>VIA A. P. CECHOV  26-</v>
      </c>
      <c r="C4907" t="str">
        <f t="shared" si="294"/>
        <v>RIV</v>
      </c>
      <c r="D4907">
        <v>27</v>
      </c>
      <c r="E4907" t="str">
        <f t="shared" si="302"/>
        <v>1178</v>
      </c>
      <c r="F4907" t="str">
        <f>"5"</f>
        <v>5</v>
      </c>
    </row>
    <row r="4908" spans="1:6">
      <c r="A4908" t="str">
        <f>"E1240-5"</f>
        <v>E1240-5</v>
      </c>
      <c r="B4908" t="str">
        <f t="shared" si="301"/>
        <v>VIA A. P. CECHOV  26-</v>
      </c>
      <c r="C4908" t="str">
        <f t="shared" si="294"/>
        <v>RIV</v>
      </c>
      <c r="D4908">
        <v>27</v>
      </c>
      <c r="E4908" t="str">
        <f t="shared" si="302"/>
        <v>1178</v>
      </c>
      <c r="F4908" t="str">
        <f>"4"</f>
        <v>4</v>
      </c>
    </row>
    <row r="4909" spans="1:6">
      <c r="A4909" t="str">
        <f>"E1240-6"</f>
        <v>E1240-6</v>
      </c>
      <c r="B4909" t="str">
        <f t="shared" si="301"/>
        <v>VIA A. P. CECHOV  26-</v>
      </c>
      <c r="C4909" t="str">
        <f t="shared" si="294"/>
        <v>RIV</v>
      </c>
      <c r="D4909">
        <v>27</v>
      </c>
      <c r="E4909" t="str">
        <f t="shared" si="302"/>
        <v>1178</v>
      </c>
      <c r="F4909" t="str">
        <f>"9"</f>
        <v>9</v>
      </c>
    </row>
    <row r="4910" spans="1:6">
      <c r="A4910" t="str">
        <f>"E1240-7"</f>
        <v>E1240-7</v>
      </c>
      <c r="B4910" t="str">
        <f t="shared" si="301"/>
        <v>VIA A. P. CECHOV  26-</v>
      </c>
      <c r="C4910" t="str">
        <f t="shared" si="294"/>
        <v>RIV</v>
      </c>
      <c r="D4910">
        <v>27</v>
      </c>
      <c r="E4910" t="str">
        <f t="shared" si="302"/>
        <v>1178</v>
      </c>
      <c r="F4910" t="str">
        <f>"8"</f>
        <v>8</v>
      </c>
    </row>
    <row r="4911" spans="1:6">
      <c r="A4911" t="str">
        <f>"E1240-8"</f>
        <v>E1240-8</v>
      </c>
      <c r="B4911" t="str">
        <f t="shared" si="301"/>
        <v>VIA A. P. CECHOV  26-</v>
      </c>
      <c r="C4911" t="str">
        <f t="shared" si="294"/>
        <v>RIV</v>
      </c>
      <c r="D4911">
        <v>27</v>
      </c>
      <c r="E4911" t="str">
        <f t="shared" si="302"/>
        <v>1178</v>
      </c>
      <c r="F4911" t="str">
        <f>"7"</f>
        <v>7</v>
      </c>
    </row>
    <row r="4912" spans="1:6">
      <c r="A4912" t="str">
        <f>"E1240-9"</f>
        <v>E1240-9</v>
      </c>
      <c r="B4912" t="str">
        <f t="shared" si="301"/>
        <v>VIA A. P. CECHOV  26-</v>
      </c>
      <c r="C4912" t="str">
        <f t="shared" si="294"/>
        <v>RIV</v>
      </c>
      <c r="D4912">
        <v>27</v>
      </c>
      <c r="E4912" t="str">
        <f t="shared" si="302"/>
        <v>1178</v>
      </c>
      <c r="F4912" t="str">
        <f>"12"</f>
        <v>12</v>
      </c>
    </row>
    <row r="4913" spans="1:6">
      <c r="A4913" t="str">
        <f>"E1240-10"</f>
        <v>E1240-10</v>
      </c>
      <c r="B4913" t="str">
        <f t="shared" si="301"/>
        <v>VIA A. P. CECHOV  26-</v>
      </c>
      <c r="C4913" t="str">
        <f t="shared" si="294"/>
        <v>RIV</v>
      </c>
      <c r="D4913">
        <v>27</v>
      </c>
      <c r="E4913" t="str">
        <f t="shared" si="302"/>
        <v>1178</v>
      </c>
      <c r="F4913" t="str">
        <f>"11"</f>
        <v>11</v>
      </c>
    </row>
    <row r="4914" spans="1:6">
      <c r="A4914" t="str">
        <f>"E1240-11"</f>
        <v>E1240-11</v>
      </c>
      <c r="B4914" t="str">
        <f t="shared" si="301"/>
        <v>VIA A. P. CECHOV  26-</v>
      </c>
      <c r="C4914" t="str">
        <f t="shared" si="294"/>
        <v>RIV</v>
      </c>
      <c r="D4914">
        <v>27</v>
      </c>
      <c r="E4914" t="str">
        <f t="shared" si="302"/>
        <v>1178</v>
      </c>
      <c r="F4914" t="str">
        <f>"10"</f>
        <v>10</v>
      </c>
    </row>
    <row r="4915" spans="1:6">
      <c r="A4915" t="str">
        <f>"E1240-12"</f>
        <v>E1240-12</v>
      </c>
      <c r="B4915" t="str">
        <f t="shared" ref="B4915:B4925" si="303">"VIA A. P. CECHOV  28-"</f>
        <v>VIA A. P. CECHOV  28-</v>
      </c>
      <c r="C4915" t="str">
        <f t="shared" si="294"/>
        <v>RIV</v>
      </c>
      <c r="D4915">
        <v>27</v>
      </c>
      <c r="E4915" t="str">
        <f t="shared" si="302"/>
        <v>1178</v>
      </c>
      <c r="F4915" t="str">
        <f>"15"</f>
        <v>15</v>
      </c>
    </row>
    <row r="4916" spans="1:6">
      <c r="A4916" t="str">
        <f>"E1240-13"</f>
        <v>E1240-13</v>
      </c>
      <c r="B4916" t="str">
        <f t="shared" si="303"/>
        <v>VIA A. P. CECHOV  28-</v>
      </c>
      <c r="C4916" t="str">
        <f t="shared" si="294"/>
        <v>RIV</v>
      </c>
      <c r="D4916">
        <v>27</v>
      </c>
      <c r="E4916" t="str">
        <f t="shared" si="302"/>
        <v>1178</v>
      </c>
      <c r="F4916" t="str">
        <f>"14"</f>
        <v>14</v>
      </c>
    </row>
    <row r="4917" spans="1:6">
      <c r="A4917" t="str">
        <f>"E1240-14"</f>
        <v>E1240-14</v>
      </c>
      <c r="B4917" t="str">
        <f t="shared" si="303"/>
        <v>VIA A. P. CECHOV  28-</v>
      </c>
      <c r="C4917" t="str">
        <f t="shared" ref="C4917:C4980" si="304">"RIV"</f>
        <v>RIV</v>
      </c>
      <c r="D4917">
        <v>27</v>
      </c>
      <c r="E4917" t="str">
        <f t="shared" si="302"/>
        <v>1178</v>
      </c>
      <c r="F4917" t="str">
        <f>"18"</f>
        <v>18</v>
      </c>
    </row>
    <row r="4918" spans="1:6">
      <c r="A4918" t="str">
        <f>"E1240-15"</f>
        <v>E1240-15</v>
      </c>
      <c r="B4918" t="str">
        <f t="shared" si="303"/>
        <v>VIA A. P. CECHOV  28-</v>
      </c>
      <c r="C4918" t="str">
        <f t="shared" si="304"/>
        <v>RIV</v>
      </c>
      <c r="D4918">
        <v>27</v>
      </c>
      <c r="E4918" t="str">
        <f t="shared" si="302"/>
        <v>1178</v>
      </c>
      <c r="F4918" t="str">
        <f>"17"</f>
        <v>17</v>
      </c>
    </row>
    <row r="4919" spans="1:6">
      <c r="A4919" t="str">
        <f>"E1240-16"</f>
        <v>E1240-16</v>
      </c>
      <c r="B4919" t="str">
        <f t="shared" si="303"/>
        <v>VIA A. P. CECHOV  28-</v>
      </c>
      <c r="C4919" t="str">
        <f t="shared" si="304"/>
        <v>RIV</v>
      </c>
      <c r="D4919">
        <v>27</v>
      </c>
      <c r="E4919" t="str">
        <f t="shared" si="302"/>
        <v>1178</v>
      </c>
      <c r="F4919" t="str">
        <f>"16"</f>
        <v>16</v>
      </c>
    </row>
    <row r="4920" spans="1:6">
      <c r="A4920" t="str">
        <f>"E1240-17"</f>
        <v>E1240-17</v>
      </c>
      <c r="B4920" t="str">
        <f t="shared" si="303"/>
        <v>VIA A. P. CECHOV  28-</v>
      </c>
      <c r="C4920" t="str">
        <f t="shared" si="304"/>
        <v>RIV</v>
      </c>
      <c r="D4920">
        <v>27</v>
      </c>
      <c r="E4920" t="str">
        <f t="shared" si="302"/>
        <v>1178</v>
      </c>
      <c r="F4920" t="str">
        <f>"21"</f>
        <v>21</v>
      </c>
    </row>
    <row r="4921" spans="1:6">
      <c r="A4921" t="str">
        <f>"E1240-18"</f>
        <v>E1240-18</v>
      </c>
      <c r="B4921" t="str">
        <f t="shared" si="303"/>
        <v>VIA A. P. CECHOV  28-</v>
      </c>
      <c r="C4921" t="str">
        <f t="shared" si="304"/>
        <v>RIV</v>
      </c>
      <c r="D4921">
        <v>27</v>
      </c>
      <c r="E4921" t="str">
        <f t="shared" si="302"/>
        <v>1178</v>
      </c>
      <c r="F4921" t="str">
        <f>"20"</f>
        <v>20</v>
      </c>
    </row>
    <row r="4922" spans="1:6">
      <c r="A4922" t="str">
        <f>"E1240-19"</f>
        <v>E1240-19</v>
      </c>
      <c r="B4922" t="str">
        <f t="shared" si="303"/>
        <v>VIA A. P. CECHOV  28-</v>
      </c>
      <c r="C4922" t="str">
        <f t="shared" si="304"/>
        <v>RIV</v>
      </c>
      <c r="D4922">
        <v>27</v>
      </c>
      <c r="E4922" t="str">
        <f t="shared" si="302"/>
        <v>1178</v>
      </c>
      <c r="F4922" t="str">
        <f>"19"</f>
        <v>19</v>
      </c>
    </row>
    <row r="4923" spans="1:6">
      <c r="A4923" t="str">
        <f>"E1240-20"</f>
        <v>E1240-20</v>
      </c>
      <c r="B4923" t="str">
        <f t="shared" si="303"/>
        <v>VIA A. P. CECHOV  28-</v>
      </c>
      <c r="C4923" t="str">
        <f t="shared" si="304"/>
        <v>RIV</v>
      </c>
      <c r="D4923">
        <v>27</v>
      </c>
      <c r="E4923" t="str">
        <f t="shared" si="302"/>
        <v>1178</v>
      </c>
      <c r="F4923" t="str">
        <f>"24"</f>
        <v>24</v>
      </c>
    </row>
    <row r="4924" spans="1:6">
      <c r="A4924" t="str">
        <f>"E1240-21"</f>
        <v>E1240-21</v>
      </c>
      <c r="B4924" t="str">
        <f t="shared" si="303"/>
        <v>VIA A. P. CECHOV  28-</v>
      </c>
      <c r="C4924" t="str">
        <f t="shared" si="304"/>
        <v>RIV</v>
      </c>
      <c r="D4924">
        <v>27</v>
      </c>
      <c r="E4924" t="str">
        <f t="shared" si="302"/>
        <v>1178</v>
      </c>
      <c r="F4924" t="str">
        <f>"23"</f>
        <v>23</v>
      </c>
    </row>
    <row r="4925" spans="1:6">
      <c r="A4925" t="str">
        <f>"E1240-22"</f>
        <v>E1240-22</v>
      </c>
      <c r="B4925" t="str">
        <f t="shared" si="303"/>
        <v>VIA A. P. CECHOV  28-</v>
      </c>
      <c r="C4925" t="str">
        <f t="shared" si="304"/>
        <v>RIV</v>
      </c>
      <c r="D4925">
        <v>27</v>
      </c>
      <c r="E4925" t="str">
        <f t="shared" si="302"/>
        <v>1178</v>
      </c>
      <c r="F4925" t="str">
        <f>"22"</f>
        <v>22</v>
      </c>
    </row>
    <row r="4926" spans="1:6">
      <c r="A4926" t="str">
        <f>"E1240-23"</f>
        <v>E1240-23</v>
      </c>
      <c r="B4926" t="str">
        <f>"VIA A. P. CECHOV  30-"</f>
        <v>VIA A. P. CECHOV  30-</v>
      </c>
      <c r="C4926" t="str">
        <f t="shared" si="304"/>
        <v>RIV</v>
      </c>
      <c r="D4926">
        <v>27</v>
      </c>
      <c r="E4926" t="str">
        <f t="shared" si="302"/>
        <v>1178</v>
      </c>
      <c r="F4926" t="str">
        <f>"13"</f>
        <v>13</v>
      </c>
    </row>
    <row r="4927" spans="1:6">
      <c r="A4927" t="str">
        <f>"E1241-1"</f>
        <v>E1241-1</v>
      </c>
      <c r="B4927" t="str">
        <f t="shared" ref="B4927:B4937" si="305">"VIA A. P. CECHOV  20-"</f>
        <v>VIA A. P. CECHOV  20-</v>
      </c>
      <c r="C4927" t="str">
        <f t="shared" si="304"/>
        <v>RIV</v>
      </c>
      <c r="D4927">
        <v>27</v>
      </c>
      <c r="E4927" t="str">
        <f t="shared" ref="E4927:E4949" si="306">"1180"</f>
        <v>1180</v>
      </c>
      <c r="F4927" t="str">
        <f>"3"</f>
        <v>3</v>
      </c>
    </row>
    <row r="4928" spans="1:6">
      <c r="A4928" t="str">
        <f>"E1241-2"</f>
        <v>E1241-2</v>
      </c>
      <c r="B4928" t="str">
        <f t="shared" si="305"/>
        <v>VIA A. P. CECHOV  20-</v>
      </c>
      <c r="C4928" t="str">
        <f t="shared" si="304"/>
        <v>RIV</v>
      </c>
      <c r="D4928">
        <v>27</v>
      </c>
      <c r="E4928" t="str">
        <f t="shared" si="306"/>
        <v>1180</v>
      </c>
      <c r="F4928" t="str">
        <f>"2"</f>
        <v>2</v>
      </c>
    </row>
    <row r="4929" spans="1:6">
      <c r="A4929" t="str">
        <f>"E1241-3"</f>
        <v>E1241-3</v>
      </c>
      <c r="B4929" t="str">
        <f t="shared" si="305"/>
        <v>VIA A. P. CECHOV  20-</v>
      </c>
      <c r="C4929" t="str">
        <f t="shared" si="304"/>
        <v>RIV</v>
      </c>
      <c r="D4929">
        <v>27</v>
      </c>
      <c r="E4929" t="str">
        <f t="shared" si="306"/>
        <v>1180</v>
      </c>
      <c r="F4929" t="str">
        <f>"4"</f>
        <v>4</v>
      </c>
    </row>
    <row r="4930" spans="1:6">
      <c r="A4930" t="str">
        <f>"E1241-4"</f>
        <v>E1241-4</v>
      </c>
      <c r="B4930" t="str">
        <f t="shared" si="305"/>
        <v>VIA A. P. CECHOV  20-</v>
      </c>
      <c r="C4930" t="str">
        <f t="shared" si="304"/>
        <v>RIV</v>
      </c>
      <c r="D4930">
        <v>27</v>
      </c>
      <c r="E4930" t="str">
        <f t="shared" si="306"/>
        <v>1180</v>
      </c>
      <c r="F4930" t="str">
        <f>"5"</f>
        <v>5</v>
      </c>
    </row>
    <row r="4931" spans="1:6">
      <c r="A4931" t="str">
        <f>"E1241-5"</f>
        <v>E1241-5</v>
      </c>
      <c r="B4931" t="str">
        <f t="shared" si="305"/>
        <v>VIA A. P. CECHOV  20-</v>
      </c>
      <c r="C4931" t="str">
        <f t="shared" si="304"/>
        <v>RIV</v>
      </c>
      <c r="D4931">
        <v>27</v>
      </c>
      <c r="E4931" t="str">
        <f t="shared" si="306"/>
        <v>1180</v>
      </c>
      <c r="F4931" t="str">
        <f>"6"</f>
        <v>6</v>
      </c>
    </row>
    <row r="4932" spans="1:6">
      <c r="A4932" t="str">
        <f>"E1241-6"</f>
        <v>E1241-6</v>
      </c>
      <c r="B4932" t="str">
        <f t="shared" si="305"/>
        <v>VIA A. P. CECHOV  20-</v>
      </c>
      <c r="C4932" t="str">
        <f t="shared" si="304"/>
        <v>RIV</v>
      </c>
      <c r="D4932">
        <v>27</v>
      </c>
      <c r="E4932" t="str">
        <f t="shared" si="306"/>
        <v>1180</v>
      </c>
      <c r="F4932" t="str">
        <f>"9"</f>
        <v>9</v>
      </c>
    </row>
    <row r="4933" spans="1:6">
      <c r="A4933" t="str">
        <f>"E1241-7"</f>
        <v>E1241-7</v>
      </c>
      <c r="B4933" t="str">
        <f t="shared" si="305"/>
        <v>VIA A. P. CECHOV  20-</v>
      </c>
      <c r="C4933" t="str">
        <f t="shared" si="304"/>
        <v>RIV</v>
      </c>
      <c r="D4933">
        <v>27</v>
      </c>
      <c r="E4933" t="str">
        <f t="shared" si="306"/>
        <v>1180</v>
      </c>
      <c r="F4933" t="str">
        <f>"8"</f>
        <v>8</v>
      </c>
    </row>
    <row r="4934" spans="1:6">
      <c r="A4934" t="str">
        <f>"E1241-8"</f>
        <v>E1241-8</v>
      </c>
      <c r="B4934" t="str">
        <f t="shared" si="305"/>
        <v>VIA A. P. CECHOV  20-</v>
      </c>
      <c r="C4934" t="str">
        <f t="shared" si="304"/>
        <v>RIV</v>
      </c>
      <c r="D4934">
        <v>27</v>
      </c>
      <c r="E4934" t="str">
        <f t="shared" si="306"/>
        <v>1180</v>
      </c>
      <c r="F4934" t="str">
        <f>"7"</f>
        <v>7</v>
      </c>
    </row>
    <row r="4935" spans="1:6">
      <c r="A4935" t="str">
        <f>"E1241-9"</f>
        <v>E1241-9</v>
      </c>
      <c r="B4935" t="str">
        <f t="shared" si="305"/>
        <v>VIA A. P. CECHOV  20-</v>
      </c>
      <c r="C4935" t="str">
        <f t="shared" si="304"/>
        <v>RIV</v>
      </c>
      <c r="D4935">
        <v>27</v>
      </c>
      <c r="E4935" t="str">
        <f t="shared" si="306"/>
        <v>1180</v>
      </c>
      <c r="F4935" t="str">
        <f>"12"</f>
        <v>12</v>
      </c>
    </row>
    <row r="4936" spans="1:6">
      <c r="A4936" t="str">
        <f>"E1241-10"</f>
        <v>E1241-10</v>
      </c>
      <c r="B4936" t="str">
        <f t="shared" si="305"/>
        <v>VIA A. P. CECHOV  20-</v>
      </c>
      <c r="C4936" t="str">
        <f t="shared" si="304"/>
        <v>RIV</v>
      </c>
      <c r="D4936">
        <v>27</v>
      </c>
      <c r="E4936" t="str">
        <f t="shared" si="306"/>
        <v>1180</v>
      </c>
      <c r="F4936" t="str">
        <f>"11"</f>
        <v>11</v>
      </c>
    </row>
    <row r="4937" spans="1:6">
      <c r="A4937" t="str">
        <f>"E1241-11"</f>
        <v>E1241-11</v>
      </c>
      <c r="B4937" t="str">
        <f t="shared" si="305"/>
        <v>VIA A. P. CECHOV  20-</v>
      </c>
      <c r="C4937" t="str">
        <f t="shared" si="304"/>
        <v>RIV</v>
      </c>
      <c r="D4937">
        <v>27</v>
      </c>
      <c r="E4937" t="str">
        <f t="shared" si="306"/>
        <v>1180</v>
      </c>
      <c r="F4937" t="str">
        <f>"10"</f>
        <v>10</v>
      </c>
    </row>
    <row r="4938" spans="1:6">
      <c r="A4938" t="str">
        <f>"E1241-12"</f>
        <v>E1241-12</v>
      </c>
      <c r="B4938" t="str">
        <f t="shared" ref="B4938:B4948" si="307">"VIA A. P. CECHOV  22-"</f>
        <v>VIA A. P. CECHOV  22-</v>
      </c>
      <c r="C4938" t="str">
        <f t="shared" si="304"/>
        <v>RIV</v>
      </c>
      <c r="D4938">
        <v>27</v>
      </c>
      <c r="E4938" t="str">
        <f t="shared" si="306"/>
        <v>1180</v>
      </c>
      <c r="F4938" t="str">
        <f>"15"</f>
        <v>15</v>
      </c>
    </row>
    <row r="4939" spans="1:6">
      <c r="A4939" t="str">
        <f>"E1241-13"</f>
        <v>E1241-13</v>
      </c>
      <c r="B4939" t="str">
        <f t="shared" si="307"/>
        <v>VIA A. P. CECHOV  22-</v>
      </c>
      <c r="C4939" t="str">
        <f t="shared" si="304"/>
        <v>RIV</v>
      </c>
      <c r="D4939">
        <v>27</v>
      </c>
      <c r="E4939" t="str">
        <f t="shared" si="306"/>
        <v>1180</v>
      </c>
      <c r="F4939" t="str">
        <f>"14"</f>
        <v>14</v>
      </c>
    </row>
    <row r="4940" spans="1:6">
      <c r="A4940" t="str">
        <f>"E1241-14"</f>
        <v>E1241-14</v>
      </c>
      <c r="B4940" t="str">
        <f t="shared" si="307"/>
        <v>VIA A. P. CECHOV  22-</v>
      </c>
      <c r="C4940" t="str">
        <f t="shared" si="304"/>
        <v>RIV</v>
      </c>
      <c r="D4940">
        <v>27</v>
      </c>
      <c r="E4940" t="str">
        <f t="shared" si="306"/>
        <v>1180</v>
      </c>
      <c r="F4940" t="str">
        <f>"18"</f>
        <v>18</v>
      </c>
    </row>
    <row r="4941" spans="1:6">
      <c r="A4941" t="str">
        <f>"E1241-15"</f>
        <v>E1241-15</v>
      </c>
      <c r="B4941" t="str">
        <f t="shared" si="307"/>
        <v>VIA A. P. CECHOV  22-</v>
      </c>
      <c r="C4941" t="str">
        <f t="shared" si="304"/>
        <v>RIV</v>
      </c>
      <c r="D4941">
        <v>27</v>
      </c>
      <c r="E4941" t="str">
        <f t="shared" si="306"/>
        <v>1180</v>
      </c>
      <c r="F4941" t="str">
        <f>"17"</f>
        <v>17</v>
      </c>
    </row>
    <row r="4942" spans="1:6">
      <c r="A4942" t="str">
        <f>"E1241-16"</f>
        <v>E1241-16</v>
      </c>
      <c r="B4942" t="str">
        <f t="shared" si="307"/>
        <v>VIA A. P. CECHOV  22-</v>
      </c>
      <c r="C4942" t="str">
        <f t="shared" si="304"/>
        <v>RIV</v>
      </c>
      <c r="D4942">
        <v>27</v>
      </c>
      <c r="E4942" t="str">
        <f t="shared" si="306"/>
        <v>1180</v>
      </c>
      <c r="F4942" t="str">
        <f>"16"</f>
        <v>16</v>
      </c>
    </row>
    <row r="4943" spans="1:6">
      <c r="A4943" t="str">
        <f>"E1241-17"</f>
        <v>E1241-17</v>
      </c>
      <c r="B4943" t="str">
        <f t="shared" si="307"/>
        <v>VIA A. P. CECHOV  22-</v>
      </c>
      <c r="C4943" t="str">
        <f t="shared" si="304"/>
        <v>RIV</v>
      </c>
      <c r="D4943">
        <v>27</v>
      </c>
      <c r="E4943" t="str">
        <f t="shared" si="306"/>
        <v>1180</v>
      </c>
      <c r="F4943" t="str">
        <f>"21"</f>
        <v>21</v>
      </c>
    </row>
    <row r="4944" spans="1:6">
      <c r="A4944" t="str">
        <f>"E1241-18"</f>
        <v>E1241-18</v>
      </c>
      <c r="B4944" t="str">
        <f t="shared" si="307"/>
        <v>VIA A. P. CECHOV  22-</v>
      </c>
      <c r="C4944" t="str">
        <f t="shared" si="304"/>
        <v>RIV</v>
      </c>
      <c r="D4944">
        <v>27</v>
      </c>
      <c r="E4944" t="str">
        <f t="shared" si="306"/>
        <v>1180</v>
      </c>
      <c r="F4944" t="str">
        <f>"20"</f>
        <v>20</v>
      </c>
    </row>
    <row r="4945" spans="1:6">
      <c r="A4945" t="str">
        <f>"E1241-19"</f>
        <v>E1241-19</v>
      </c>
      <c r="B4945" t="str">
        <f t="shared" si="307"/>
        <v>VIA A. P. CECHOV  22-</v>
      </c>
      <c r="C4945" t="str">
        <f t="shared" si="304"/>
        <v>RIV</v>
      </c>
      <c r="D4945">
        <v>27</v>
      </c>
      <c r="E4945" t="str">
        <f t="shared" si="306"/>
        <v>1180</v>
      </c>
      <c r="F4945" t="str">
        <f>"19"</f>
        <v>19</v>
      </c>
    </row>
    <row r="4946" spans="1:6">
      <c r="A4946" t="str">
        <f>"E1241-20"</f>
        <v>E1241-20</v>
      </c>
      <c r="B4946" t="str">
        <f t="shared" si="307"/>
        <v>VIA A. P. CECHOV  22-</v>
      </c>
      <c r="C4946" t="str">
        <f t="shared" si="304"/>
        <v>RIV</v>
      </c>
      <c r="D4946">
        <v>27</v>
      </c>
      <c r="E4946" t="str">
        <f t="shared" si="306"/>
        <v>1180</v>
      </c>
      <c r="F4946" t="str">
        <f>"24"</f>
        <v>24</v>
      </c>
    </row>
    <row r="4947" spans="1:6">
      <c r="A4947" t="str">
        <f>"E1241-21"</f>
        <v>E1241-21</v>
      </c>
      <c r="B4947" t="str">
        <f t="shared" si="307"/>
        <v>VIA A. P. CECHOV  22-</v>
      </c>
      <c r="C4947" t="str">
        <f t="shared" si="304"/>
        <v>RIV</v>
      </c>
      <c r="D4947">
        <v>27</v>
      </c>
      <c r="E4947" t="str">
        <f t="shared" si="306"/>
        <v>1180</v>
      </c>
      <c r="F4947" t="str">
        <f>"23"</f>
        <v>23</v>
      </c>
    </row>
    <row r="4948" spans="1:6">
      <c r="A4948" t="str">
        <f>"E1241-22"</f>
        <v>E1241-22</v>
      </c>
      <c r="B4948" t="str">
        <f t="shared" si="307"/>
        <v>VIA A. P. CECHOV  22-</v>
      </c>
      <c r="C4948" t="str">
        <f t="shared" si="304"/>
        <v>RIV</v>
      </c>
      <c r="D4948">
        <v>27</v>
      </c>
      <c r="E4948" t="str">
        <f t="shared" si="306"/>
        <v>1180</v>
      </c>
      <c r="F4948" t="str">
        <f>"22"</f>
        <v>22</v>
      </c>
    </row>
    <row r="4949" spans="1:6">
      <c r="A4949" t="str">
        <f>"E1241-23"</f>
        <v>E1241-23</v>
      </c>
      <c r="B4949" t="str">
        <f>"VIA A. P. CECHOV  24-"</f>
        <v>VIA A. P. CECHOV  24-</v>
      </c>
      <c r="C4949" t="str">
        <f t="shared" si="304"/>
        <v>RIV</v>
      </c>
      <c r="D4949">
        <v>27</v>
      </c>
      <c r="E4949" t="str">
        <f t="shared" si="306"/>
        <v>1180</v>
      </c>
      <c r="F4949" t="str">
        <f>"13"</f>
        <v>13</v>
      </c>
    </row>
    <row r="4950" spans="1:6">
      <c r="A4950" t="str">
        <f>"E1242-1"</f>
        <v>E1242-1</v>
      </c>
      <c r="B4950" t="str">
        <f t="shared" ref="B4950:B4985" si="308">"VIA A. P. CECHOV  2-"</f>
        <v>VIA A. P. CECHOV  2-</v>
      </c>
      <c r="C4950" t="str">
        <f t="shared" si="304"/>
        <v>RIV</v>
      </c>
      <c r="D4950">
        <v>27</v>
      </c>
      <c r="E4950" t="str">
        <f t="shared" ref="E4950:E4985" si="309">"1708"</f>
        <v>1708</v>
      </c>
      <c r="F4950" t="str">
        <f>"2"</f>
        <v>2</v>
      </c>
    </row>
    <row r="4951" spans="1:6">
      <c r="A4951" t="str">
        <f>"E1242-2"</f>
        <v>E1242-2</v>
      </c>
      <c r="B4951" t="str">
        <f t="shared" si="308"/>
        <v>VIA A. P. CECHOV  2-</v>
      </c>
      <c r="C4951" t="str">
        <f t="shared" si="304"/>
        <v>RIV</v>
      </c>
      <c r="D4951">
        <v>27</v>
      </c>
      <c r="E4951" t="str">
        <f t="shared" si="309"/>
        <v>1708</v>
      </c>
      <c r="F4951" t="str">
        <f>"3"</f>
        <v>3</v>
      </c>
    </row>
    <row r="4952" spans="1:6">
      <c r="A4952" t="str">
        <f>"E1242-3"</f>
        <v>E1242-3</v>
      </c>
      <c r="B4952" t="str">
        <f t="shared" si="308"/>
        <v>VIA A. P. CECHOV  2-</v>
      </c>
      <c r="C4952" t="str">
        <f t="shared" si="304"/>
        <v>RIV</v>
      </c>
      <c r="D4952">
        <v>27</v>
      </c>
      <c r="E4952" t="str">
        <f t="shared" si="309"/>
        <v>1708</v>
      </c>
      <c r="F4952" t="str">
        <f>"4"</f>
        <v>4</v>
      </c>
    </row>
    <row r="4953" spans="1:6">
      <c r="A4953" t="str">
        <f>"E1242-4"</f>
        <v>E1242-4</v>
      </c>
      <c r="B4953" t="str">
        <f t="shared" si="308"/>
        <v>VIA A. P. CECHOV  2-</v>
      </c>
      <c r="C4953" t="str">
        <f t="shared" si="304"/>
        <v>RIV</v>
      </c>
      <c r="D4953">
        <v>27</v>
      </c>
      <c r="E4953" t="str">
        <f t="shared" si="309"/>
        <v>1708</v>
      </c>
      <c r="F4953" t="str">
        <f>"5"</f>
        <v>5</v>
      </c>
    </row>
    <row r="4954" spans="1:6">
      <c r="A4954" t="str">
        <f>"E1242-5"</f>
        <v>E1242-5</v>
      </c>
      <c r="B4954" t="str">
        <f t="shared" si="308"/>
        <v>VIA A. P. CECHOV  2-</v>
      </c>
      <c r="C4954" t="str">
        <f t="shared" si="304"/>
        <v>RIV</v>
      </c>
      <c r="D4954">
        <v>27</v>
      </c>
      <c r="E4954" t="str">
        <f t="shared" si="309"/>
        <v>1708</v>
      </c>
      <c r="F4954" t="str">
        <f>"6"</f>
        <v>6</v>
      </c>
    </row>
    <row r="4955" spans="1:6">
      <c r="A4955" t="str">
        <f>"E1242-6"</f>
        <v>E1242-6</v>
      </c>
      <c r="B4955" t="str">
        <f t="shared" si="308"/>
        <v>VIA A. P. CECHOV  2-</v>
      </c>
      <c r="C4955" t="str">
        <f t="shared" si="304"/>
        <v>RIV</v>
      </c>
      <c r="D4955">
        <v>27</v>
      </c>
      <c r="E4955" t="str">
        <f t="shared" si="309"/>
        <v>1708</v>
      </c>
      <c r="F4955" t="str">
        <f>"7"</f>
        <v>7</v>
      </c>
    </row>
    <row r="4956" spans="1:6">
      <c r="A4956" t="str">
        <f>"E1242-7"</f>
        <v>E1242-7</v>
      </c>
      <c r="B4956" t="str">
        <f t="shared" si="308"/>
        <v>VIA A. P. CECHOV  2-</v>
      </c>
      <c r="C4956" t="str">
        <f t="shared" si="304"/>
        <v>RIV</v>
      </c>
      <c r="D4956">
        <v>27</v>
      </c>
      <c r="E4956" t="str">
        <f t="shared" si="309"/>
        <v>1708</v>
      </c>
      <c r="F4956" t="str">
        <f>"8"</f>
        <v>8</v>
      </c>
    </row>
    <row r="4957" spans="1:6">
      <c r="A4957" t="str">
        <f>"E1242-8"</f>
        <v>E1242-8</v>
      </c>
      <c r="B4957" t="str">
        <f t="shared" si="308"/>
        <v>VIA A. P. CECHOV  2-</v>
      </c>
      <c r="C4957" t="str">
        <f t="shared" si="304"/>
        <v>RIV</v>
      </c>
      <c r="D4957">
        <v>27</v>
      </c>
      <c r="E4957" t="str">
        <f t="shared" si="309"/>
        <v>1708</v>
      </c>
      <c r="F4957" t="str">
        <f>"9"</f>
        <v>9</v>
      </c>
    </row>
    <row r="4958" spans="1:6">
      <c r="A4958" t="str">
        <f>"E1242-9"</f>
        <v>E1242-9</v>
      </c>
      <c r="B4958" t="str">
        <f t="shared" si="308"/>
        <v>VIA A. P. CECHOV  2-</v>
      </c>
      <c r="C4958" t="str">
        <f t="shared" si="304"/>
        <v>RIV</v>
      </c>
      <c r="D4958">
        <v>27</v>
      </c>
      <c r="E4958" t="str">
        <f t="shared" si="309"/>
        <v>1708</v>
      </c>
      <c r="F4958" t="str">
        <f>"10"</f>
        <v>10</v>
      </c>
    </row>
    <row r="4959" spans="1:6">
      <c r="A4959" t="str">
        <f>"E1242-10"</f>
        <v>E1242-10</v>
      </c>
      <c r="B4959" t="str">
        <f t="shared" si="308"/>
        <v>VIA A. P. CECHOV  2-</v>
      </c>
      <c r="C4959" t="str">
        <f t="shared" si="304"/>
        <v>RIV</v>
      </c>
      <c r="D4959">
        <v>27</v>
      </c>
      <c r="E4959" t="str">
        <f t="shared" si="309"/>
        <v>1708</v>
      </c>
      <c r="F4959" t="str">
        <f>"11"</f>
        <v>11</v>
      </c>
    </row>
    <row r="4960" spans="1:6">
      <c r="A4960" t="str">
        <f>"E1242-11"</f>
        <v>E1242-11</v>
      </c>
      <c r="B4960" t="str">
        <f t="shared" si="308"/>
        <v>VIA A. P. CECHOV  2-</v>
      </c>
      <c r="C4960" t="str">
        <f t="shared" si="304"/>
        <v>RIV</v>
      </c>
      <c r="D4960">
        <v>27</v>
      </c>
      <c r="E4960" t="str">
        <f t="shared" si="309"/>
        <v>1708</v>
      </c>
      <c r="F4960" t="str">
        <f>"12"</f>
        <v>12</v>
      </c>
    </row>
    <row r="4961" spans="1:6">
      <c r="A4961" t="str">
        <f>"E1242-12"</f>
        <v>E1242-12</v>
      </c>
      <c r="B4961" t="str">
        <f t="shared" si="308"/>
        <v>VIA A. P. CECHOV  2-</v>
      </c>
      <c r="C4961" t="str">
        <f t="shared" si="304"/>
        <v>RIV</v>
      </c>
      <c r="D4961">
        <v>27</v>
      </c>
      <c r="E4961" t="str">
        <f t="shared" si="309"/>
        <v>1708</v>
      </c>
      <c r="F4961" t="str">
        <f>"13"</f>
        <v>13</v>
      </c>
    </row>
    <row r="4962" spans="1:6">
      <c r="A4962" t="str">
        <f>"E1242-13"</f>
        <v>E1242-13</v>
      </c>
      <c r="B4962" t="str">
        <f t="shared" si="308"/>
        <v>VIA A. P. CECHOV  2-</v>
      </c>
      <c r="C4962" t="str">
        <f t="shared" si="304"/>
        <v>RIV</v>
      </c>
      <c r="D4962">
        <v>27</v>
      </c>
      <c r="E4962" t="str">
        <f t="shared" si="309"/>
        <v>1708</v>
      </c>
      <c r="F4962" t="str">
        <f>"14"</f>
        <v>14</v>
      </c>
    </row>
    <row r="4963" spans="1:6">
      <c r="A4963" t="str">
        <f>"E1242-14"</f>
        <v>E1242-14</v>
      </c>
      <c r="B4963" t="str">
        <f t="shared" si="308"/>
        <v>VIA A. P. CECHOV  2-</v>
      </c>
      <c r="C4963" t="str">
        <f t="shared" si="304"/>
        <v>RIV</v>
      </c>
      <c r="D4963">
        <v>27</v>
      </c>
      <c r="E4963" t="str">
        <f t="shared" si="309"/>
        <v>1708</v>
      </c>
      <c r="F4963" t="str">
        <f>"15"</f>
        <v>15</v>
      </c>
    </row>
    <row r="4964" spans="1:6">
      <c r="A4964" t="str">
        <f>"E1242-15"</f>
        <v>E1242-15</v>
      </c>
      <c r="B4964" t="str">
        <f t="shared" si="308"/>
        <v>VIA A. P. CECHOV  2-</v>
      </c>
      <c r="C4964" t="str">
        <f t="shared" si="304"/>
        <v>RIV</v>
      </c>
      <c r="D4964">
        <v>27</v>
      </c>
      <c r="E4964" t="str">
        <f t="shared" si="309"/>
        <v>1708</v>
      </c>
      <c r="F4964" t="str">
        <f>"16"</f>
        <v>16</v>
      </c>
    </row>
    <row r="4965" spans="1:6">
      <c r="A4965" t="str">
        <f>"E1242-16"</f>
        <v>E1242-16</v>
      </c>
      <c r="B4965" t="str">
        <f t="shared" si="308"/>
        <v>VIA A. P. CECHOV  2-</v>
      </c>
      <c r="C4965" t="str">
        <f t="shared" si="304"/>
        <v>RIV</v>
      </c>
      <c r="D4965">
        <v>27</v>
      </c>
      <c r="E4965" t="str">
        <f t="shared" si="309"/>
        <v>1708</v>
      </c>
      <c r="F4965" t="str">
        <f>"17"</f>
        <v>17</v>
      </c>
    </row>
    <row r="4966" spans="1:6">
      <c r="A4966" t="str">
        <f>"E1242-17"</f>
        <v>E1242-17</v>
      </c>
      <c r="B4966" t="str">
        <f t="shared" si="308"/>
        <v>VIA A. P. CECHOV  2-</v>
      </c>
      <c r="C4966" t="str">
        <f t="shared" si="304"/>
        <v>RIV</v>
      </c>
      <c r="D4966">
        <v>27</v>
      </c>
      <c r="E4966" t="str">
        <f t="shared" si="309"/>
        <v>1708</v>
      </c>
      <c r="F4966" t="str">
        <f>"18"</f>
        <v>18</v>
      </c>
    </row>
    <row r="4967" spans="1:6">
      <c r="A4967" t="str">
        <f>"E1242-18"</f>
        <v>E1242-18</v>
      </c>
      <c r="B4967" t="str">
        <f t="shared" si="308"/>
        <v>VIA A. P. CECHOV  2-</v>
      </c>
      <c r="C4967" t="str">
        <f t="shared" si="304"/>
        <v>RIV</v>
      </c>
      <c r="D4967">
        <v>27</v>
      </c>
      <c r="E4967" t="str">
        <f t="shared" si="309"/>
        <v>1708</v>
      </c>
      <c r="F4967" t="str">
        <f>"19"</f>
        <v>19</v>
      </c>
    </row>
    <row r="4968" spans="1:6">
      <c r="A4968" t="str">
        <f>"E1242-19"</f>
        <v>E1242-19</v>
      </c>
      <c r="B4968" t="str">
        <f t="shared" si="308"/>
        <v>VIA A. P. CECHOV  2-</v>
      </c>
      <c r="C4968" t="str">
        <f t="shared" si="304"/>
        <v>RIV</v>
      </c>
      <c r="D4968">
        <v>27</v>
      </c>
      <c r="E4968" t="str">
        <f t="shared" si="309"/>
        <v>1708</v>
      </c>
      <c r="F4968" t="str">
        <f>"20"</f>
        <v>20</v>
      </c>
    </row>
    <row r="4969" spans="1:6">
      <c r="A4969" t="str">
        <f>"E1242-20"</f>
        <v>E1242-20</v>
      </c>
      <c r="B4969" t="str">
        <f t="shared" si="308"/>
        <v>VIA A. P. CECHOV  2-</v>
      </c>
      <c r="C4969" t="str">
        <f t="shared" si="304"/>
        <v>RIV</v>
      </c>
      <c r="D4969">
        <v>27</v>
      </c>
      <c r="E4969" t="str">
        <f t="shared" si="309"/>
        <v>1708</v>
      </c>
      <c r="F4969" t="str">
        <f>"21"</f>
        <v>21</v>
      </c>
    </row>
    <row r="4970" spans="1:6">
      <c r="A4970" t="str">
        <f>"E1242-21"</f>
        <v>E1242-21</v>
      </c>
      <c r="B4970" t="str">
        <f t="shared" si="308"/>
        <v>VIA A. P. CECHOV  2-</v>
      </c>
      <c r="C4970" t="str">
        <f t="shared" si="304"/>
        <v>RIV</v>
      </c>
      <c r="D4970">
        <v>27</v>
      </c>
      <c r="E4970" t="str">
        <f t="shared" si="309"/>
        <v>1708</v>
      </c>
      <c r="F4970" t="str">
        <f>"22"</f>
        <v>22</v>
      </c>
    </row>
    <row r="4971" spans="1:6">
      <c r="A4971" t="str">
        <f>"E1242-22"</f>
        <v>E1242-22</v>
      </c>
      <c r="B4971" t="str">
        <f t="shared" si="308"/>
        <v>VIA A. P. CECHOV  2-</v>
      </c>
      <c r="C4971" t="str">
        <f t="shared" si="304"/>
        <v>RIV</v>
      </c>
      <c r="D4971">
        <v>27</v>
      </c>
      <c r="E4971" t="str">
        <f t="shared" si="309"/>
        <v>1708</v>
      </c>
      <c r="F4971" t="str">
        <f>"23"</f>
        <v>23</v>
      </c>
    </row>
    <row r="4972" spans="1:6">
      <c r="A4972" t="str">
        <f>"E1242-23"</f>
        <v>E1242-23</v>
      </c>
      <c r="B4972" t="str">
        <f t="shared" si="308"/>
        <v>VIA A. P. CECHOV  2-</v>
      </c>
      <c r="C4972" t="str">
        <f t="shared" si="304"/>
        <v>RIV</v>
      </c>
      <c r="D4972">
        <v>27</v>
      </c>
      <c r="E4972" t="str">
        <f t="shared" si="309"/>
        <v>1708</v>
      </c>
      <c r="F4972" t="str">
        <f>"24"</f>
        <v>24</v>
      </c>
    </row>
    <row r="4973" spans="1:6">
      <c r="A4973" t="str">
        <f>"E1242-24"</f>
        <v>E1242-24</v>
      </c>
      <c r="B4973" t="str">
        <f t="shared" si="308"/>
        <v>VIA A. P. CECHOV  2-</v>
      </c>
      <c r="C4973" t="str">
        <f t="shared" si="304"/>
        <v>RIV</v>
      </c>
      <c r="D4973">
        <v>27</v>
      </c>
      <c r="E4973" t="str">
        <f t="shared" si="309"/>
        <v>1708</v>
      </c>
      <c r="F4973" t="str">
        <f>"25"</f>
        <v>25</v>
      </c>
    </row>
    <row r="4974" spans="1:6">
      <c r="A4974" t="str">
        <f>"E1242-25"</f>
        <v>E1242-25</v>
      </c>
      <c r="B4974" t="str">
        <f t="shared" si="308"/>
        <v>VIA A. P. CECHOV  2-</v>
      </c>
      <c r="C4974" t="str">
        <f t="shared" si="304"/>
        <v>RIV</v>
      </c>
      <c r="D4974">
        <v>27</v>
      </c>
      <c r="E4974" t="str">
        <f t="shared" si="309"/>
        <v>1708</v>
      </c>
      <c r="F4974" t="str">
        <f>"26"</f>
        <v>26</v>
      </c>
    </row>
    <row r="4975" spans="1:6">
      <c r="A4975" t="str">
        <f>"E1242-26"</f>
        <v>E1242-26</v>
      </c>
      <c r="B4975" t="str">
        <f t="shared" si="308"/>
        <v>VIA A. P. CECHOV  2-</v>
      </c>
      <c r="C4975" t="str">
        <f t="shared" si="304"/>
        <v>RIV</v>
      </c>
      <c r="D4975">
        <v>27</v>
      </c>
      <c r="E4975" t="str">
        <f t="shared" si="309"/>
        <v>1708</v>
      </c>
      <c r="F4975" t="str">
        <f>"27"</f>
        <v>27</v>
      </c>
    </row>
    <row r="4976" spans="1:6">
      <c r="A4976" t="str">
        <f>"E1242-27"</f>
        <v>E1242-27</v>
      </c>
      <c r="B4976" t="str">
        <f t="shared" si="308"/>
        <v>VIA A. P. CECHOV  2-</v>
      </c>
      <c r="C4976" t="str">
        <f t="shared" si="304"/>
        <v>RIV</v>
      </c>
      <c r="D4976">
        <v>27</v>
      </c>
      <c r="E4976" t="str">
        <f t="shared" si="309"/>
        <v>1708</v>
      </c>
      <c r="F4976" t="str">
        <f>"28"</f>
        <v>28</v>
      </c>
    </row>
    <row r="4977" spans="1:6">
      <c r="A4977" t="str">
        <f>"E1242-28"</f>
        <v>E1242-28</v>
      </c>
      <c r="B4977" t="str">
        <f t="shared" si="308"/>
        <v>VIA A. P. CECHOV  2-</v>
      </c>
      <c r="C4977" t="str">
        <f t="shared" si="304"/>
        <v>RIV</v>
      </c>
      <c r="D4977">
        <v>27</v>
      </c>
      <c r="E4977" t="str">
        <f t="shared" si="309"/>
        <v>1708</v>
      </c>
      <c r="F4977" t="str">
        <f>"29"</f>
        <v>29</v>
      </c>
    </row>
    <row r="4978" spans="1:6">
      <c r="A4978" t="str">
        <f>"E1242-29"</f>
        <v>E1242-29</v>
      </c>
      <c r="B4978" t="str">
        <f t="shared" si="308"/>
        <v>VIA A. P. CECHOV  2-</v>
      </c>
      <c r="C4978" t="str">
        <f t="shared" si="304"/>
        <v>RIV</v>
      </c>
      <c r="D4978">
        <v>27</v>
      </c>
      <c r="E4978" t="str">
        <f t="shared" si="309"/>
        <v>1708</v>
      </c>
      <c r="F4978" t="str">
        <f>"30"</f>
        <v>30</v>
      </c>
    </row>
    <row r="4979" spans="1:6">
      <c r="A4979" t="str">
        <f>"E1242-30"</f>
        <v>E1242-30</v>
      </c>
      <c r="B4979" t="str">
        <f t="shared" si="308"/>
        <v>VIA A. P. CECHOV  2-</v>
      </c>
      <c r="C4979" t="str">
        <f t="shared" si="304"/>
        <v>RIV</v>
      </c>
      <c r="D4979">
        <v>27</v>
      </c>
      <c r="E4979" t="str">
        <f t="shared" si="309"/>
        <v>1708</v>
      </c>
      <c r="F4979" t="str">
        <f>"31"</f>
        <v>31</v>
      </c>
    </row>
    <row r="4980" spans="1:6">
      <c r="A4980" t="str">
        <f>"E1242-31"</f>
        <v>E1242-31</v>
      </c>
      <c r="B4980" t="str">
        <f t="shared" si="308"/>
        <v>VIA A. P. CECHOV  2-</v>
      </c>
      <c r="C4980" t="str">
        <f t="shared" si="304"/>
        <v>RIV</v>
      </c>
      <c r="D4980">
        <v>27</v>
      </c>
      <c r="E4980" t="str">
        <f t="shared" si="309"/>
        <v>1708</v>
      </c>
      <c r="F4980" t="str">
        <f>"32"</f>
        <v>32</v>
      </c>
    </row>
    <row r="4981" spans="1:6">
      <c r="A4981" t="str">
        <f>"E1242-32"</f>
        <v>E1242-32</v>
      </c>
      <c r="B4981" t="str">
        <f t="shared" si="308"/>
        <v>VIA A. P. CECHOV  2-</v>
      </c>
      <c r="C4981" t="str">
        <f t="shared" ref="C4981:C5044" si="310">"RIV"</f>
        <v>RIV</v>
      </c>
      <c r="D4981">
        <v>27</v>
      </c>
      <c r="E4981" t="str">
        <f t="shared" si="309"/>
        <v>1708</v>
      </c>
      <c r="F4981" t="str">
        <f>"33"</f>
        <v>33</v>
      </c>
    </row>
    <row r="4982" spans="1:6">
      <c r="A4982" t="str">
        <f>"E1242-33"</f>
        <v>E1242-33</v>
      </c>
      <c r="B4982" t="str">
        <f t="shared" si="308"/>
        <v>VIA A. P. CECHOV  2-</v>
      </c>
      <c r="C4982" t="str">
        <f t="shared" si="310"/>
        <v>RIV</v>
      </c>
      <c r="D4982">
        <v>27</v>
      </c>
      <c r="E4982" t="str">
        <f t="shared" si="309"/>
        <v>1708</v>
      </c>
      <c r="F4982" t="str">
        <f>"34"</f>
        <v>34</v>
      </c>
    </row>
    <row r="4983" spans="1:6">
      <c r="A4983" t="str">
        <f>"E1242-34"</f>
        <v>E1242-34</v>
      </c>
      <c r="B4983" t="str">
        <f t="shared" si="308"/>
        <v>VIA A. P. CECHOV  2-</v>
      </c>
      <c r="C4983" t="str">
        <f t="shared" si="310"/>
        <v>RIV</v>
      </c>
      <c r="D4983">
        <v>27</v>
      </c>
      <c r="E4983" t="str">
        <f t="shared" si="309"/>
        <v>1708</v>
      </c>
      <c r="F4983" t="str">
        <f>"35"</f>
        <v>35</v>
      </c>
    </row>
    <row r="4984" spans="1:6">
      <c r="A4984" t="str">
        <f>"E1242-35"</f>
        <v>E1242-35</v>
      </c>
      <c r="B4984" t="str">
        <f t="shared" si="308"/>
        <v>VIA A. P. CECHOV  2-</v>
      </c>
      <c r="C4984" t="str">
        <f t="shared" si="310"/>
        <v>RIV</v>
      </c>
      <c r="D4984">
        <v>27</v>
      </c>
      <c r="E4984" t="str">
        <f t="shared" si="309"/>
        <v>1708</v>
      </c>
      <c r="F4984" t="str">
        <f>"36"</f>
        <v>36</v>
      </c>
    </row>
    <row r="4985" spans="1:6">
      <c r="A4985" t="str">
        <f>"E1242-36"</f>
        <v>E1242-36</v>
      </c>
      <c r="B4985" t="str">
        <f t="shared" si="308"/>
        <v>VIA A. P. CECHOV  2-</v>
      </c>
      <c r="C4985" t="str">
        <f t="shared" si="310"/>
        <v>RIV</v>
      </c>
      <c r="D4985">
        <v>27</v>
      </c>
      <c r="E4985" t="str">
        <f t="shared" si="309"/>
        <v>1708</v>
      </c>
      <c r="F4985" t="str">
        <f>"37"</f>
        <v>37</v>
      </c>
    </row>
    <row r="4986" spans="1:6">
      <c r="A4986" t="str">
        <f>"E1245-1"</f>
        <v>E1245-1</v>
      </c>
      <c r="B4986" t="str">
        <f t="shared" ref="B4986:B4998" si="311">"VIA A. P. CECHOV  16-"</f>
        <v>VIA A. P. CECHOV  16-</v>
      </c>
      <c r="C4986" t="str">
        <f t="shared" si="310"/>
        <v>RIV</v>
      </c>
      <c r="D4986">
        <v>27</v>
      </c>
      <c r="E4986" t="str">
        <f t="shared" ref="E4986:E5017" si="312">"1710"</f>
        <v>1710</v>
      </c>
      <c r="F4986" t="str">
        <f>"2"</f>
        <v>2</v>
      </c>
    </row>
    <row r="4987" spans="1:6">
      <c r="A4987" t="str">
        <f>"E1245-2"</f>
        <v>E1245-2</v>
      </c>
      <c r="B4987" t="str">
        <f t="shared" si="311"/>
        <v>VIA A. P. CECHOV  16-</v>
      </c>
      <c r="C4987" t="str">
        <f t="shared" si="310"/>
        <v>RIV</v>
      </c>
      <c r="D4987">
        <v>27</v>
      </c>
      <c r="E4987" t="str">
        <f t="shared" si="312"/>
        <v>1710</v>
      </c>
      <c r="F4987" t="str">
        <f>"3"</f>
        <v>3</v>
      </c>
    </row>
    <row r="4988" spans="1:6">
      <c r="A4988" t="str">
        <f>"E1245-3"</f>
        <v>E1245-3</v>
      </c>
      <c r="B4988" t="str">
        <f t="shared" si="311"/>
        <v>VIA A. P. CECHOV  16-</v>
      </c>
      <c r="C4988" t="str">
        <f t="shared" si="310"/>
        <v>RIV</v>
      </c>
      <c r="D4988">
        <v>27</v>
      </c>
      <c r="E4988" t="str">
        <f t="shared" si="312"/>
        <v>1710</v>
      </c>
      <c r="F4988" t="str">
        <f>"4"</f>
        <v>4</v>
      </c>
    </row>
    <row r="4989" spans="1:6">
      <c r="A4989" t="str">
        <f>"E1245-4"</f>
        <v>E1245-4</v>
      </c>
      <c r="B4989" t="str">
        <f t="shared" si="311"/>
        <v>VIA A. P. CECHOV  16-</v>
      </c>
      <c r="C4989" t="str">
        <f t="shared" si="310"/>
        <v>RIV</v>
      </c>
      <c r="D4989">
        <v>27</v>
      </c>
      <c r="E4989" t="str">
        <f t="shared" si="312"/>
        <v>1710</v>
      </c>
      <c r="F4989" t="str">
        <f>"5"</f>
        <v>5</v>
      </c>
    </row>
    <row r="4990" spans="1:6">
      <c r="A4990" t="str">
        <f>"E1245-5"</f>
        <v>E1245-5</v>
      </c>
      <c r="B4990" t="str">
        <f t="shared" si="311"/>
        <v>VIA A. P. CECHOV  16-</v>
      </c>
      <c r="C4990" t="str">
        <f t="shared" si="310"/>
        <v>RIV</v>
      </c>
      <c r="D4990">
        <v>27</v>
      </c>
      <c r="E4990" t="str">
        <f t="shared" si="312"/>
        <v>1710</v>
      </c>
      <c r="F4990" t="str">
        <f>"6"</f>
        <v>6</v>
      </c>
    </row>
    <row r="4991" spans="1:6">
      <c r="A4991" t="str">
        <f>"E1245-6"</f>
        <v>E1245-6</v>
      </c>
      <c r="B4991" t="str">
        <f t="shared" si="311"/>
        <v>VIA A. P. CECHOV  16-</v>
      </c>
      <c r="C4991" t="str">
        <f t="shared" si="310"/>
        <v>RIV</v>
      </c>
      <c r="D4991">
        <v>27</v>
      </c>
      <c r="E4991" t="str">
        <f t="shared" si="312"/>
        <v>1710</v>
      </c>
      <c r="F4991" t="str">
        <f>"7"</f>
        <v>7</v>
      </c>
    </row>
    <row r="4992" spans="1:6">
      <c r="A4992" t="str">
        <f>"E1245-7"</f>
        <v>E1245-7</v>
      </c>
      <c r="B4992" t="str">
        <f t="shared" si="311"/>
        <v>VIA A. P. CECHOV  16-</v>
      </c>
      <c r="C4992" t="str">
        <f t="shared" si="310"/>
        <v>RIV</v>
      </c>
      <c r="D4992">
        <v>27</v>
      </c>
      <c r="E4992" t="str">
        <f t="shared" si="312"/>
        <v>1710</v>
      </c>
      <c r="F4992" t="str">
        <f>"8"</f>
        <v>8</v>
      </c>
    </row>
    <row r="4993" spans="1:6">
      <c r="A4993" t="str">
        <f>"E1245-8"</f>
        <v>E1245-8</v>
      </c>
      <c r="B4993" t="str">
        <f t="shared" si="311"/>
        <v>VIA A. P. CECHOV  16-</v>
      </c>
      <c r="C4993" t="str">
        <f t="shared" si="310"/>
        <v>RIV</v>
      </c>
      <c r="D4993">
        <v>27</v>
      </c>
      <c r="E4993" t="str">
        <f t="shared" si="312"/>
        <v>1710</v>
      </c>
      <c r="F4993" t="str">
        <f>"9"</f>
        <v>9</v>
      </c>
    </row>
    <row r="4994" spans="1:6">
      <c r="A4994" t="str">
        <f>"E1245-9"</f>
        <v>E1245-9</v>
      </c>
      <c r="B4994" t="str">
        <f t="shared" si="311"/>
        <v>VIA A. P. CECHOV  16-</v>
      </c>
      <c r="C4994" t="str">
        <f t="shared" si="310"/>
        <v>RIV</v>
      </c>
      <c r="D4994">
        <v>27</v>
      </c>
      <c r="E4994" t="str">
        <f t="shared" si="312"/>
        <v>1710</v>
      </c>
      <c r="F4994" t="str">
        <f>"10"</f>
        <v>10</v>
      </c>
    </row>
    <row r="4995" spans="1:6">
      <c r="A4995" t="str">
        <f>"E1245-10"</f>
        <v>E1245-10</v>
      </c>
      <c r="B4995" t="str">
        <f t="shared" si="311"/>
        <v>VIA A. P. CECHOV  16-</v>
      </c>
      <c r="C4995" t="str">
        <f t="shared" si="310"/>
        <v>RIV</v>
      </c>
      <c r="D4995">
        <v>27</v>
      </c>
      <c r="E4995" t="str">
        <f t="shared" si="312"/>
        <v>1710</v>
      </c>
      <c r="F4995" t="str">
        <f>"11"</f>
        <v>11</v>
      </c>
    </row>
    <row r="4996" spans="1:6">
      <c r="A4996" t="str">
        <f>"E1245-11"</f>
        <v>E1245-11</v>
      </c>
      <c r="B4996" t="str">
        <f t="shared" si="311"/>
        <v>VIA A. P. CECHOV  16-</v>
      </c>
      <c r="C4996" t="str">
        <f t="shared" si="310"/>
        <v>RIV</v>
      </c>
      <c r="D4996">
        <v>27</v>
      </c>
      <c r="E4996" t="str">
        <f t="shared" si="312"/>
        <v>1710</v>
      </c>
      <c r="F4996" t="str">
        <f>"12"</f>
        <v>12</v>
      </c>
    </row>
    <row r="4997" spans="1:6">
      <c r="A4997" t="str">
        <f>"E1245-12"</f>
        <v>E1245-12</v>
      </c>
      <c r="B4997" t="str">
        <f t="shared" si="311"/>
        <v>VIA A. P. CECHOV  16-</v>
      </c>
      <c r="C4997" t="str">
        <f t="shared" si="310"/>
        <v>RIV</v>
      </c>
      <c r="D4997">
        <v>27</v>
      </c>
      <c r="E4997" t="str">
        <f t="shared" si="312"/>
        <v>1710</v>
      </c>
      <c r="F4997" t="str">
        <f>"13"</f>
        <v>13</v>
      </c>
    </row>
    <row r="4998" spans="1:6">
      <c r="A4998" t="str">
        <f>"E1245-13"</f>
        <v>E1245-13</v>
      </c>
      <c r="B4998" t="str">
        <f t="shared" si="311"/>
        <v>VIA A. P. CECHOV  16-</v>
      </c>
      <c r="C4998" t="str">
        <f t="shared" si="310"/>
        <v>RIV</v>
      </c>
      <c r="D4998">
        <v>27</v>
      </c>
      <c r="E4998" t="str">
        <f t="shared" si="312"/>
        <v>1710</v>
      </c>
      <c r="F4998" t="str">
        <f>"14"</f>
        <v>14</v>
      </c>
    </row>
    <row r="4999" spans="1:6">
      <c r="A4999" t="str">
        <f>"E1245-14"</f>
        <v>E1245-14</v>
      </c>
      <c r="B4999" t="str">
        <f t="shared" ref="B4999:B5011" si="313">"VIA A. P. CECHOV  18-"</f>
        <v>VIA A. P. CECHOV  18-</v>
      </c>
      <c r="C4999" t="str">
        <f t="shared" si="310"/>
        <v>RIV</v>
      </c>
      <c r="D4999">
        <v>27</v>
      </c>
      <c r="E4999" t="str">
        <f t="shared" si="312"/>
        <v>1710</v>
      </c>
      <c r="F4999" t="str">
        <f>"15"</f>
        <v>15</v>
      </c>
    </row>
    <row r="5000" spans="1:6">
      <c r="A5000" t="str">
        <f>"E1245-15"</f>
        <v>E1245-15</v>
      </c>
      <c r="B5000" t="str">
        <f t="shared" si="313"/>
        <v>VIA A. P. CECHOV  18-</v>
      </c>
      <c r="C5000" t="str">
        <f t="shared" si="310"/>
        <v>RIV</v>
      </c>
      <c r="D5000">
        <v>27</v>
      </c>
      <c r="E5000" t="str">
        <f t="shared" si="312"/>
        <v>1710</v>
      </c>
      <c r="F5000" t="str">
        <f>"16"</f>
        <v>16</v>
      </c>
    </row>
    <row r="5001" spans="1:6">
      <c r="A5001" t="str">
        <f>"E1245-16"</f>
        <v>E1245-16</v>
      </c>
      <c r="B5001" t="str">
        <f t="shared" si="313"/>
        <v>VIA A. P. CECHOV  18-</v>
      </c>
      <c r="C5001" t="str">
        <f t="shared" si="310"/>
        <v>RIV</v>
      </c>
      <c r="D5001">
        <v>27</v>
      </c>
      <c r="E5001" t="str">
        <f t="shared" si="312"/>
        <v>1710</v>
      </c>
      <c r="F5001" t="str">
        <f>"17"</f>
        <v>17</v>
      </c>
    </row>
    <row r="5002" spans="1:6">
      <c r="A5002" t="str">
        <f>"E1245-17"</f>
        <v>E1245-17</v>
      </c>
      <c r="B5002" t="str">
        <f t="shared" si="313"/>
        <v>VIA A. P. CECHOV  18-</v>
      </c>
      <c r="C5002" t="str">
        <f t="shared" si="310"/>
        <v>RIV</v>
      </c>
      <c r="D5002">
        <v>27</v>
      </c>
      <c r="E5002" t="str">
        <f t="shared" si="312"/>
        <v>1710</v>
      </c>
      <c r="F5002" t="str">
        <f>"18"</f>
        <v>18</v>
      </c>
    </row>
    <row r="5003" spans="1:6">
      <c r="A5003" t="str">
        <f>"E1245-18"</f>
        <v>E1245-18</v>
      </c>
      <c r="B5003" t="str">
        <f t="shared" si="313"/>
        <v>VIA A. P. CECHOV  18-</v>
      </c>
      <c r="C5003" t="str">
        <f t="shared" si="310"/>
        <v>RIV</v>
      </c>
      <c r="D5003">
        <v>27</v>
      </c>
      <c r="E5003" t="str">
        <f t="shared" si="312"/>
        <v>1710</v>
      </c>
      <c r="F5003" t="str">
        <f>"19"</f>
        <v>19</v>
      </c>
    </row>
    <row r="5004" spans="1:6">
      <c r="A5004" t="str">
        <f>"E1245-19"</f>
        <v>E1245-19</v>
      </c>
      <c r="B5004" t="str">
        <f t="shared" si="313"/>
        <v>VIA A. P. CECHOV  18-</v>
      </c>
      <c r="C5004" t="str">
        <f t="shared" si="310"/>
        <v>RIV</v>
      </c>
      <c r="D5004">
        <v>27</v>
      </c>
      <c r="E5004" t="str">
        <f t="shared" si="312"/>
        <v>1710</v>
      </c>
      <c r="F5004" t="str">
        <f>"20"</f>
        <v>20</v>
      </c>
    </row>
    <row r="5005" spans="1:6">
      <c r="A5005" t="str">
        <f>"E1245-20"</f>
        <v>E1245-20</v>
      </c>
      <c r="B5005" t="str">
        <f t="shared" si="313"/>
        <v>VIA A. P. CECHOV  18-</v>
      </c>
      <c r="C5005" t="str">
        <f t="shared" si="310"/>
        <v>RIV</v>
      </c>
      <c r="D5005">
        <v>27</v>
      </c>
      <c r="E5005" t="str">
        <f t="shared" si="312"/>
        <v>1710</v>
      </c>
      <c r="F5005" t="str">
        <f>"21"</f>
        <v>21</v>
      </c>
    </row>
    <row r="5006" spans="1:6">
      <c r="A5006" t="str">
        <f>"E1245-21"</f>
        <v>E1245-21</v>
      </c>
      <c r="B5006" t="str">
        <f t="shared" si="313"/>
        <v>VIA A. P. CECHOV  18-</v>
      </c>
      <c r="C5006" t="str">
        <f t="shared" si="310"/>
        <v>RIV</v>
      </c>
      <c r="D5006">
        <v>27</v>
      </c>
      <c r="E5006" t="str">
        <f t="shared" si="312"/>
        <v>1710</v>
      </c>
      <c r="F5006" t="str">
        <f>"22"</f>
        <v>22</v>
      </c>
    </row>
    <row r="5007" spans="1:6">
      <c r="A5007" t="str">
        <f>"E1245-22"</f>
        <v>E1245-22</v>
      </c>
      <c r="B5007" t="str">
        <f t="shared" si="313"/>
        <v>VIA A. P. CECHOV  18-</v>
      </c>
      <c r="C5007" t="str">
        <f t="shared" si="310"/>
        <v>RIV</v>
      </c>
      <c r="D5007">
        <v>27</v>
      </c>
      <c r="E5007" t="str">
        <f t="shared" si="312"/>
        <v>1710</v>
      </c>
      <c r="F5007" t="str">
        <f>"23"</f>
        <v>23</v>
      </c>
    </row>
    <row r="5008" spans="1:6">
      <c r="A5008" t="str">
        <f>"E1245-23"</f>
        <v>E1245-23</v>
      </c>
      <c r="B5008" t="str">
        <f t="shared" si="313"/>
        <v>VIA A. P. CECHOV  18-</v>
      </c>
      <c r="C5008" t="str">
        <f t="shared" si="310"/>
        <v>RIV</v>
      </c>
      <c r="D5008">
        <v>27</v>
      </c>
      <c r="E5008" t="str">
        <f t="shared" si="312"/>
        <v>1710</v>
      </c>
      <c r="F5008" t="str">
        <f>"24"</f>
        <v>24</v>
      </c>
    </row>
    <row r="5009" spans="1:6">
      <c r="A5009" t="str">
        <f>"E1245-24"</f>
        <v>E1245-24</v>
      </c>
      <c r="B5009" t="str">
        <f t="shared" si="313"/>
        <v>VIA A. P. CECHOV  18-</v>
      </c>
      <c r="C5009" t="str">
        <f t="shared" si="310"/>
        <v>RIV</v>
      </c>
      <c r="D5009">
        <v>27</v>
      </c>
      <c r="E5009" t="str">
        <f t="shared" si="312"/>
        <v>1710</v>
      </c>
      <c r="F5009" t="str">
        <f>"25"</f>
        <v>25</v>
      </c>
    </row>
    <row r="5010" spans="1:6">
      <c r="A5010" t="str">
        <f>"E1245-25"</f>
        <v>E1245-25</v>
      </c>
      <c r="B5010" t="str">
        <f t="shared" si="313"/>
        <v>VIA A. P. CECHOV  18-</v>
      </c>
      <c r="C5010" t="str">
        <f t="shared" si="310"/>
        <v>RIV</v>
      </c>
      <c r="D5010">
        <v>27</v>
      </c>
      <c r="E5010" t="str">
        <f t="shared" si="312"/>
        <v>1710</v>
      </c>
      <c r="F5010" t="str">
        <f>"26"</f>
        <v>26</v>
      </c>
    </row>
    <row r="5011" spans="1:6">
      <c r="A5011" t="str">
        <f>"E1245-26"</f>
        <v>E1245-26</v>
      </c>
      <c r="B5011" t="str">
        <f t="shared" si="313"/>
        <v>VIA A. P. CECHOV  18-</v>
      </c>
      <c r="C5011" t="str">
        <f t="shared" si="310"/>
        <v>RIV</v>
      </c>
      <c r="D5011">
        <v>27</v>
      </c>
      <c r="E5011" t="str">
        <f t="shared" si="312"/>
        <v>1710</v>
      </c>
      <c r="F5011" t="str">
        <f>"27"</f>
        <v>27</v>
      </c>
    </row>
    <row r="5012" spans="1:6">
      <c r="A5012" t="str">
        <f>"E1245-27"</f>
        <v>E1245-27</v>
      </c>
      <c r="B5012" t="str">
        <f t="shared" ref="B5012:B5019" si="314">"VIA A. P. CECHOV  16-"</f>
        <v>VIA A. P. CECHOV  16-</v>
      </c>
      <c r="C5012" t="str">
        <f t="shared" si="310"/>
        <v>RIV</v>
      </c>
      <c r="D5012">
        <v>27</v>
      </c>
      <c r="E5012" t="str">
        <f t="shared" si="312"/>
        <v>1710</v>
      </c>
      <c r="F5012" t="str">
        <f>"28"</f>
        <v>28</v>
      </c>
    </row>
    <row r="5013" spans="1:6">
      <c r="A5013" t="str">
        <f>"E1245-28"</f>
        <v>E1245-28</v>
      </c>
      <c r="B5013" t="str">
        <f t="shared" si="314"/>
        <v>VIA A. P. CECHOV  16-</v>
      </c>
      <c r="C5013" t="str">
        <f t="shared" si="310"/>
        <v>RIV</v>
      </c>
      <c r="D5013">
        <v>27</v>
      </c>
      <c r="E5013" t="str">
        <f t="shared" si="312"/>
        <v>1710</v>
      </c>
      <c r="F5013" t="str">
        <f>"29"</f>
        <v>29</v>
      </c>
    </row>
    <row r="5014" spans="1:6">
      <c r="A5014" t="str">
        <f>"E1245-29"</f>
        <v>E1245-29</v>
      </c>
      <c r="B5014" t="str">
        <f t="shared" si="314"/>
        <v>VIA A. P. CECHOV  16-</v>
      </c>
      <c r="C5014" t="str">
        <f t="shared" si="310"/>
        <v>RIV</v>
      </c>
      <c r="D5014">
        <v>27</v>
      </c>
      <c r="E5014" t="str">
        <f t="shared" si="312"/>
        <v>1710</v>
      </c>
      <c r="F5014" t="str">
        <f>"30"</f>
        <v>30</v>
      </c>
    </row>
    <row r="5015" spans="1:6">
      <c r="A5015" t="str">
        <f>"E1245-30"</f>
        <v>E1245-30</v>
      </c>
      <c r="B5015" t="str">
        <f t="shared" si="314"/>
        <v>VIA A. P. CECHOV  16-</v>
      </c>
      <c r="C5015" t="str">
        <f t="shared" si="310"/>
        <v>RIV</v>
      </c>
      <c r="D5015">
        <v>27</v>
      </c>
      <c r="E5015" t="str">
        <f t="shared" si="312"/>
        <v>1710</v>
      </c>
      <c r="F5015" t="str">
        <f>"31"</f>
        <v>31</v>
      </c>
    </row>
    <row r="5016" spans="1:6">
      <c r="A5016" t="str">
        <f>"E1245-31"</f>
        <v>E1245-31</v>
      </c>
      <c r="B5016" t="str">
        <f t="shared" si="314"/>
        <v>VIA A. P. CECHOV  16-</v>
      </c>
      <c r="C5016" t="str">
        <f t="shared" si="310"/>
        <v>RIV</v>
      </c>
      <c r="D5016">
        <v>27</v>
      </c>
      <c r="E5016" t="str">
        <f t="shared" si="312"/>
        <v>1710</v>
      </c>
      <c r="F5016" t="str">
        <f>"32"</f>
        <v>32</v>
      </c>
    </row>
    <row r="5017" spans="1:6">
      <c r="A5017" t="str">
        <f>"E1245-32"</f>
        <v>E1245-32</v>
      </c>
      <c r="B5017" t="str">
        <f t="shared" si="314"/>
        <v>VIA A. P. CECHOV  16-</v>
      </c>
      <c r="C5017" t="str">
        <f t="shared" si="310"/>
        <v>RIV</v>
      </c>
      <c r="D5017">
        <v>27</v>
      </c>
      <c r="E5017" t="str">
        <f t="shared" si="312"/>
        <v>1710</v>
      </c>
      <c r="F5017" t="str">
        <f>"33"</f>
        <v>33</v>
      </c>
    </row>
    <row r="5018" spans="1:6">
      <c r="A5018" t="str">
        <f>"E1245-33"</f>
        <v>E1245-33</v>
      </c>
      <c r="B5018" t="str">
        <f t="shared" si="314"/>
        <v>VIA A. P. CECHOV  16-</v>
      </c>
      <c r="C5018" t="str">
        <f t="shared" si="310"/>
        <v>RIV</v>
      </c>
      <c r="D5018">
        <v>27</v>
      </c>
      <c r="E5018" t="str">
        <f t="shared" ref="E5018:E5037" si="315">"1710"</f>
        <v>1710</v>
      </c>
      <c r="F5018" t="str">
        <f>"34"</f>
        <v>34</v>
      </c>
    </row>
    <row r="5019" spans="1:6">
      <c r="A5019" t="str">
        <f>"E1245-34"</f>
        <v>E1245-34</v>
      </c>
      <c r="B5019" t="str">
        <f t="shared" si="314"/>
        <v>VIA A. P. CECHOV  16-</v>
      </c>
      <c r="C5019" t="str">
        <f t="shared" si="310"/>
        <v>RIV</v>
      </c>
      <c r="D5019">
        <v>27</v>
      </c>
      <c r="E5019" t="str">
        <f t="shared" si="315"/>
        <v>1710</v>
      </c>
      <c r="F5019" t="str">
        <f>"35"</f>
        <v>35</v>
      </c>
    </row>
    <row r="5020" spans="1:6">
      <c r="A5020" t="str">
        <f>"E1245-35"</f>
        <v>E1245-35</v>
      </c>
      <c r="B5020" t="str">
        <f t="shared" ref="B5020:B5037" si="316">"VIA A. P. CECHOV  18-"</f>
        <v>VIA A. P. CECHOV  18-</v>
      </c>
      <c r="C5020" t="str">
        <f t="shared" si="310"/>
        <v>RIV</v>
      </c>
      <c r="D5020">
        <v>36</v>
      </c>
      <c r="E5020" t="str">
        <f t="shared" si="315"/>
        <v>1710</v>
      </c>
      <c r="F5020" t="str">
        <f>"36"</f>
        <v>36</v>
      </c>
    </row>
    <row r="5021" spans="1:6">
      <c r="A5021" t="str">
        <f>"E1245-36"</f>
        <v>E1245-36</v>
      </c>
      <c r="B5021" t="str">
        <f t="shared" si="316"/>
        <v>VIA A. P. CECHOV  18-</v>
      </c>
      <c r="C5021" t="str">
        <f t="shared" si="310"/>
        <v>RIV</v>
      </c>
      <c r="D5021">
        <v>27</v>
      </c>
      <c r="E5021" t="str">
        <f t="shared" si="315"/>
        <v>1710</v>
      </c>
      <c r="F5021" t="str">
        <f>"37"</f>
        <v>37</v>
      </c>
    </row>
    <row r="5022" spans="1:6">
      <c r="A5022" t="str">
        <f>"E1245-37"</f>
        <v>E1245-37</v>
      </c>
      <c r="B5022" t="str">
        <f t="shared" si="316"/>
        <v>VIA A. P. CECHOV  18-</v>
      </c>
      <c r="C5022" t="str">
        <f t="shared" si="310"/>
        <v>RIV</v>
      </c>
      <c r="D5022">
        <v>27</v>
      </c>
      <c r="E5022" t="str">
        <f t="shared" si="315"/>
        <v>1710</v>
      </c>
      <c r="F5022" t="str">
        <f>"38"</f>
        <v>38</v>
      </c>
    </row>
    <row r="5023" spans="1:6">
      <c r="A5023" t="str">
        <f>"E1245-38"</f>
        <v>E1245-38</v>
      </c>
      <c r="B5023" t="str">
        <f t="shared" si="316"/>
        <v>VIA A. P. CECHOV  18-</v>
      </c>
      <c r="C5023" t="str">
        <f t="shared" si="310"/>
        <v>RIV</v>
      </c>
      <c r="D5023">
        <v>27</v>
      </c>
      <c r="E5023" t="str">
        <f t="shared" si="315"/>
        <v>1710</v>
      </c>
      <c r="F5023" t="str">
        <f>"39"</f>
        <v>39</v>
      </c>
    </row>
    <row r="5024" spans="1:6">
      <c r="A5024" t="str">
        <f>"E1245-39"</f>
        <v>E1245-39</v>
      </c>
      <c r="B5024" t="str">
        <f t="shared" si="316"/>
        <v>VIA A. P. CECHOV  18-</v>
      </c>
      <c r="C5024" t="str">
        <f t="shared" si="310"/>
        <v>RIV</v>
      </c>
      <c r="D5024">
        <v>27</v>
      </c>
      <c r="E5024" t="str">
        <f t="shared" si="315"/>
        <v>1710</v>
      </c>
      <c r="F5024" t="str">
        <f>"40"</f>
        <v>40</v>
      </c>
    </row>
    <row r="5025" spans="1:6">
      <c r="A5025" t="str">
        <f>"E1245-40"</f>
        <v>E1245-40</v>
      </c>
      <c r="B5025" t="str">
        <f t="shared" si="316"/>
        <v>VIA A. P. CECHOV  18-</v>
      </c>
      <c r="C5025" t="str">
        <f t="shared" si="310"/>
        <v>RIV</v>
      </c>
      <c r="D5025">
        <v>27</v>
      </c>
      <c r="E5025" t="str">
        <f t="shared" si="315"/>
        <v>1710</v>
      </c>
      <c r="F5025" t="str">
        <f>"41"</f>
        <v>41</v>
      </c>
    </row>
    <row r="5026" spans="1:6">
      <c r="A5026" t="str">
        <f>"E1245-41"</f>
        <v>E1245-41</v>
      </c>
      <c r="B5026" t="str">
        <f t="shared" si="316"/>
        <v>VIA A. P. CECHOV  18-</v>
      </c>
      <c r="C5026" t="str">
        <f t="shared" si="310"/>
        <v>RIV</v>
      </c>
      <c r="D5026">
        <v>27</v>
      </c>
      <c r="E5026" t="str">
        <f t="shared" si="315"/>
        <v>1710</v>
      </c>
      <c r="F5026" t="str">
        <f>"42"</f>
        <v>42</v>
      </c>
    </row>
    <row r="5027" spans="1:6">
      <c r="A5027" t="str">
        <f>"E1245-42"</f>
        <v>E1245-42</v>
      </c>
      <c r="B5027" t="str">
        <f t="shared" si="316"/>
        <v>VIA A. P. CECHOV  18-</v>
      </c>
      <c r="C5027" t="str">
        <f t="shared" si="310"/>
        <v>RIV</v>
      </c>
      <c r="D5027">
        <v>27</v>
      </c>
      <c r="E5027" t="str">
        <f t="shared" si="315"/>
        <v>1710</v>
      </c>
      <c r="F5027" t="str">
        <f>"43"</f>
        <v>43</v>
      </c>
    </row>
    <row r="5028" spans="1:6">
      <c r="A5028" t="str">
        <f>"E1245-43"</f>
        <v>E1245-43</v>
      </c>
      <c r="B5028" t="str">
        <f t="shared" si="316"/>
        <v>VIA A. P. CECHOV  18-</v>
      </c>
      <c r="C5028" t="str">
        <f t="shared" si="310"/>
        <v>RIV</v>
      </c>
      <c r="D5028">
        <v>27</v>
      </c>
      <c r="E5028" t="str">
        <f t="shared" si="315"/>
        <v>1710</v>
      </c>
      <c r="F5028" t="str">
        <f>"44"</f>
        <v>44</v>
      </c>
    </row>
    <row r="5029" spans="1:6">
      <c r="A5029" t="str">
        <f>"E1245-44"</f>
        <v>E1245-44</v>
      </c>
      <c r="B5029" t="str">
        <f t="shared" si="316"/>
        <v>VIA A. P. CECHOV  18-</v>
      </c>
      <c r="C5029" t="str">
        <f t="shared" si="310"/>
        <v>RIV</v>
      </c>
      <c r="D5029">
        <v>27</v>
      </c>
      <c r="E5029" t="str">
        <f t="shared" si="315"/>
        <v>1710</v>
      </c>
      <c r="F5029" t="str">
        <f>"45"</f>
        <v>45</v>
      </c>
    </row>
    <row r="5030" spans="1:6">
      <c r="A5030" t="str">
        <f>"E1245-45"</f>
        <v>E1245-45</v>
      </c>
      <c r="B5030" t="str">
        <f t="shared" si="316"/>
        <v>VIA A. P. CECHOV  18-</v>
      </c>
      <c r="C5030" t="str">
        <f t="shared" si="310"/>
        <v>RIV</v>
      </c>
      <c r="D5030">
        <v>27</v>
      </c>
      <c r="E5030" t="str">
        <f t="shared" si="315"/>
        <v>1710</v>
      </c>
      <c r="F5030" t="str">
        <f>"46"</f>
        <v>46</v>
      </c>
    </row>
    <row r="5031" spans="1:6">
      <c r="A5031" t="str">
        <f>"E1245-46"</f>
        <v>E1245-46</v>
      </c>
      <c r="B5031" t="str">
        <f t="shared" si="316"/>
        <v>VIA A. P. CECHOV  18-</v>
      </c>
      <c r="C5031" t="str">
        <f t="shared" si="310"/>
        <v>RIV</v>
      </c>
      <c r="D5031">
        <v>27</v>
      </c>
      <c r="E5031" t="str">
        <f t="shared" si="315"/>
        <v>1710</v>
      </c>
      <c r="F5031" t="str">
        <f>"47"</f>
        <v>47</v>
      </c>
    </row>
    <row r="5032" spans="1:6">
      <c r="A5032" t="str">
        <f>"E1245-47"</f>
        <v>E1245-47</v>
      </c>
      <c r="B5032" t="str">
        <f t="shared" si="316"/>
        <v>VIA A. P. CECHOV  18-</v>
      </c>
      <c r="C5032" t="str">
        <f t="shared" si="310"/>
        <v>RIV</v>
      </c>
      <c r="D5032">
        <v>27</v>
      </c>
      <c r="E5032" t="str">
        <f t="shared" si="315"/>
        <v>1710</v>
      </c>
      <c r="F5032" t="str">
        <f>"48"</f>
        <v>48</v>
      </c>
    </row>
    <row r="5033" spans="1:6">
      <c r="A5033" t="str">
        <f>"E1245-48"</f>
        <v>E1245-48</v>
      </c>
      <c r="B5033" t="str">
        <f t="shared" si="316"/>
        <v>VIA A. P. CECHOV  18-</v>
      </c>
      <c r="C5033" t="str">
        <f t="shared" si="310"/>
        <v>RIV</v>
      </c>
      <c r="D5033">
        <v>27</v>
      </c>
      <c r="E5033" t="str">
        <f t="shared" si="315"/>
        <v>1710</v>
      </c>
      <c r="F5033" t="str">
        <f>"49"</f>
        <v>49</v>
      </c>
    </row>
    <row r="5034" spans="1:6">
      <c r="A5034" t="str">
        <f>"E1245-49"</f>
        <v>E1245-49</v>
      </c>
      <c r="B5034" t="str">
        <f t="shared" si="316"/>
        <v>VIA A. P. CECHOV  18-</v>
      </c>
      <c r="C5034" t="str">
        <f t="shared" si="310"/>
        <v>RIV</v>
      </c>
      <c r="D5034">
        <v>27</v>
      </c>
      <c r="E5034" t="str">
        <f t="shared" si="315"/>
        <v>1710</v>
      </c>
      <c r="F5034" t="str">
        <f>"50"</f>
        <v>50</v>
      </c>
    </row>
    <row r="5035" spans="1:6">
      <c r="A5035" t="str">
        <f>"E1245-50"</f>
        <v>E1245-50</v>
      </c>
      <c r="B5035" t="str">
        <f t="shared" si="316"/>
        <v>VIA A. P. CECHOV  18-</v>
      </c>
      <c r="C5035" t="str">
        <f t="shared" si="310"/>
        <v>RIV</v>
      </c>
      <c r="D5035">
        <v>27</v>
      </c>
      <c r="E5035" t="str">
        <f t="shared" si="315"/>
        <v>1710</v>
      </c>
      <c r="F5035" t="str">
        <f>"51"</f>
        <v>51</v>
      </c>
    </row>
    <row r="5036" spans="1:6">
      <c r="A5036" t="str">
        <f>"E1245-51"</f>
        <v>E1245-51</v>
      </c>
      <c r="B5036" t="str">
        <f t="shared" si="316"/>
        <v>VIA A. P. CECHOV  18-</v>
      </c>
      <c r="C5036" t="str">
        <f t="shared" si="310"/>
        <v>RIV</v>
      </c>
      <c r="D5036">
        <v>27</v>
      </c>
      <c r="E5036" t="str">
        <f t="shared" si="315"/>
        <v>1710</v>
      </c>
      <c r="F5036" t="str">
        <f>"52"</f>
        <v>52</v>
      </c>
    </row>
    <row r="5037" spans="1:6">
      <c r="A5037" t="str">
        <f>"E1245-52"</f>
        <v>E1245-52</v>
      </c>
      <c r="B5037" t="str">
        <f t="shared" si="316"/>
        <v>VIA A. P. CECHOV  18-</v>
      </c>
      <c r="C5037" t="str">
        <f t="shared" si="310"/>
        <v>RIV</v>
      </c>
      <c r="D5037">
        <v>27</v>
      </c>
      <c r="E5037" t="str">
        <f t="shared" si="315"/>
        <v>1710</v>
      </c>
      <c r="F5037" t="str">
        <f>"53"</f>
        <v>53</v>
      </c>
    </row>
    <row r="5038" spans="1:6">
      <c r="A5038" t="str">
        <f>"E1246-1"</f>
        <v>E1246-1</v>
      </c>
      <c r="B5038" t="str">
        <f t="shared" ref="B5038:B5061" si="317">"VIA A. P. CECHOV  1-"</f>
        <v>VIA A. P. CECHOV  1-</v>
      </c>
      <c r="C5038" t="str">
        <f t="shared" si="310"/>
        <v>RIV</v>
      </c>
      <c r="D5038">
        <v>27</v>
      </c>
      <c r="E5038" t="str">
        <f t="shared" ref="E5038:E5069" si="318">"1709"</f>
        <v>1709</v>
      </c>
      <c r="F5038" t="str">
        <f>"2"</f>
        <v>2</v>
      </c>
    </row>
    <row r="5039" spans="1:6">
      <c r="A5039" t="str">
        <f>"E1246-2"</f>
        <v>E1246-2</v>
      </c>
      <c r="B5039" t="str">
        <f t="shared" si="317"/>
        <v>VIA A. P. CECHOV  1-</v>
      </c>
      <c r="C5039" t="str">
        <f t="shared" si="310"/>
        <v>RIV</v>
      </c>
      <c r="D5039">
        <v>27</v>
      </c>
      <c r="E5039" t="str">
        <f t="shared" si="318"/>
        <v>1709</v>
      </c>
      <c r="F5039" t="str">
        <f>"3"</f>
        <v>3</v>
      </c>
    </row>
    <row r="5040" spans="1:6">
      <c r="A5040" t="str">
        <f>"E1246-3"</f>
        <v>E1246-3</v>
      </c>
      <c r="B5040" t="str">
        <f t="shared" si="317"/>
        <v>VIA A. P. CECHOV  1-</v>
      </c>
      <c r="C5040" t="str">
        <f t="shared" si="310"/>
        <v>RIV</v>
      </c>
      <c r="D5040">
        <v>27</v>
      </c>
      <c r="E5040" t="str">
        <f t="shared" si="318"/>
        <v>1709</v>
      </c>
      <c r="F5040" t="str">
        <f>"4"</f>
        <v>4</v>
      </c>
    </row>
    <row r="5041" spans="1:6">
      <c r="A5041" t="str">
        <f>"E1246-4"</f>
        <v>E1246-4</v>
      </c>
      <c r="B5041" t="str">
        <f t="shared" si="317"/>
        <v>VIA A. P. CECHOV  1-</v>
      </c>
      <c r="C5041" t="str">
        <f t="shared" si="310"/>
        <v>RIV</v>
      </c>
      <c r="D5041">
        <v>27</v>
      </c>
      <c r="E5041" t="str">
        <f t="shared" si="318"/>
        <v>1709</v>
      </c>
      <c r="F5041" t="str">
        <f>"5"</f>
        <v>5</v>
      </c>
    </row>
    <row r="5042" spans="1:6">
      <c r="A5042" t="str">
        <f>"E1246-5"</f>
        <v>E1246-5</v>
      </c>
      <c r="B5042" t="str">
        <f t="shared" si="317"/>
        <v>VIA A. P. CECHOV  1-</v>
      </c>
      <c r="C5042" t="str">
        <f t="shared" si="310"/>
        <v>RIV</v>
      </c>
      <c r="D5042">
        <v>27</v>
      </c>
      <c r="E5042" t="str">
        <f t="shared" si="318"/>
        <v>1709</v>
      </c>
      <c r="F5042" t="str">
        <f>"6"</f>
        <v>6</v>
      </c>
    </row>
    <row r="5043" spans="1:6">
      <c r="A5043" t="str">
        <f>"E1246-6"</f>
        <v>E1246-6</v>
      </c>
      <c r="B5043" t="str">
        <f t="shared" si="317"/>
        <v>VIA A. P. CECHOV  1-</v>
      </c>
      <c r="C5043" t="str">
        <f t="shared" si="310"/>
        <v>RIV</v>
      </c>
      <c r="D5043">
        <v>27</v>
      </c>
      <c r="E5043" t="str">
        <f t="shared" si="318"/>
        <v>1709</v>
      </c>
      <c r="F5043" t="str">
        <f>"7"</f>
        <v>7</v>
      </c>
    </row>
    <row r="5044" spans="1:6">
      <c r="A5044" t="str">
        <f>"E1246-7"</f>
        <v>E1246-7</v>
      </c>
      <c r="B5044" t="str">
        <f t="shared" si="317"/>
        <v>VIA A. P. CECHOV  1-</v>
      </c>
      <c r="C5044" t="str">
        <f t="shared" si="310"/>
        <v>RIV</v>
      </c>
      <c r="D5044">
        <v>27</v>
      </c>
      <c r="E5044" t="str">
        <f t="shared" si="318"/>
        <v>1709</v>
      </c>
      <c r="F5044" t="str">
        <f>"8"</f>
        <v>8</v>
      </c>
    </row>
    <row r="5045" spans="1:6">
      <c r="A5045" t="str">
        <f>"E1246-8"</f>
        <v>E1246-8</v>
      </c>
      <c r="B5045" t="str">
        <f t="shared" si="317"/>
        <v>VIA A. P. CECHOV  1-</v>
      </c>
      <c r="C5045" t="str">
        <f t="shared" ref="C5045:C5108" si="319">"RIV"</f>
        <v>RIV</v>
      </c>
      <c r="D5045">
        <v>27</v>
      </c>
      <c r="E5045" t="str">
        <f t="shared" si="318"/>
        <v>1709</v>
      </c>
      <c r="F5045" t="str">
        <f>"9"</f>
        <v>9</v>
      </c>
    </row>
    <row r="5046" spans="1:6">
      <c r="A5046" t="str">
        <f>"E1246-9"</f>
        <v>E1246-9</v>
      </c>
      <c r="B5046" t="str">
        <f t="shared" si="317"/>
        <v>VIA A. P. CECHOV  1-</v>
      </c>
      <c r="C5046" t="str">
        <f t="shared" si="319"/>
        <v>RIV</v>
      </c>
      <c r="D5046">
        <v>27</v>
      </c>
      <c r="E5046" t="str">
        <f t="shared" si="318"/>
        <v>1709</v>
      </c>
      <c r="F5046" t="str">
        <f>"10"</f>
        <v>10</v>
      </c>
    </row>
    <row r="5047" spans="1:6">
      <c r="A5047" t="str">
        <f>"E1246-10"</f>
        <v>E1246-10</v>
      </c>
      <c r="B5047" t="str">
        <f t="shared" si="317"/>
        <v>VIA A. P. CECHOV  1-</v>
      </c>
      <c r="C5047" t="str">
        <f t="shared" si="319"/>
        <v>RIV</v>
      </c>
      <c r="D5047">
        <v>27</v>
      </c>
      <c r="E5047" t="str">
        <f t="shared" si="318"/>
        <v>1709</v>
      </c>
      <c r="F5047" t="str">
        <f>"11"</f>
        <v>11</v>
      </c>
    </row>
    <row r="5048" spans="1:6">
      <c r="A5048" t="str">
        <f>"E1246-11"</f>
        <v>E1246-11</v>
      </c>
      <c r="B5048" t="str">
        <f t="shared" si="317"/>
        <v>VIA A. P. CECHOV  1-</v>
      </c>
      <c r="C5048" t="str">
        <f t="shared" si="319"/>
        <v>RIV</v>
      </c>
      <c r="D5048">
        <v>27</v>
      </c>
      <c r="E5048" t="str">
        <f t="shared" si="318"/>
        <v>1709</v>
      </c>
      <c r="F5048" t="str">
        <f>"12"</f>
        <v>12</v>
      </c>
    </row>
    <row r="5049" spans="1:6">
      <c r="A5049" t="str">
        <f>"E1246-12"</f>
        <v>E1246-12</v>
      </c>
      <c r="B5049" t="str">
        <f t="shared" si="317"/>
        <v>VIA A. P. CECHOV  1-</v>
      </c>
      <c r="C5049" t="str">
        <f t="shared" si="319"/>
        <v>RIV</v>
      </c>
      <c r="D5049">
        <v>27</v>
      </c>
      <c r="E5049" t="str">
        <f t="shared" si="318"/>
        <v>1709</v>
      </c>
      <c r="F5049" t="str">
        <f>"13"</f>
        <v>13</v>
      </c>
    </row>
    <row r="5050" spans="1:6">
      <c r="A5050" t="str">
        <f>"E1246-13"</f>
        <v>E1246-13</v>
      </c>
      <c r="B5050" t="str">
        <f t="shared" si="317"/>
        <v>VIA A. P. CECHOV  1-</v>
      </c>
      <c r="C5050" t="str">
        <f t="shared" si="319"/>
        <v>RIV</v>
      </c>
      <c r="D5050">
        <v>27</v>
      </c>
      <c r="E5050" t="str">
        <f t="shared" si="318"/>
        <v>1709</v>
      </c>
      <c r="F5050" t="str">
        <f>"14"</f>
        <v>14</v>
      </c>
    </row>
    <row r="5051" spans="1:6">
      <c r="A5051" t="str">
        <f>"E1246-14"</f>
        <v>E1246-14</v>
      </c>
      <c r="B5051" t="str">
        <f t="shared" si="317"/>
        <v>VIA A. P. CECHOV  1-</v>
      </c>
      <c r="C5051" t="str">
        <f t="shared" si="319"/>
        <v>RIV</v>
      </c>
      <c r="D5051">
        <v>27</v>
      </c>
      <c r="E5051" t="str">
        <f t="shared" si="318"/>
        <v>1709</v>
      </c>
      <c r="F5051" t="str">
        <f>"15"</f>
        <v>15</v>
      </c>
    </row>
    <row r="5052" spans="1:6">
      <c r="A5052" t="str">
        <f>"E1246-15"</f>
        <v>E1246-15</v>
      </c>
      <c r="B5052" t="str">
        <f t="shared" si="317"/>
        <v>VIA A. P. CECHOV  1-</v>
      </c>
      <c r="C5052" t="str">
        <f t="shared" si="319"/>
        <v>RIV</v>
      </c>
      <c r="D5052">
        <v>27</v>
      </c>
      <c r="E5052" t="str">
        <f t="shared" si="318"/>
        <v>1709</v>
      </c>
      <c r="F5052" t="str">
        <f>"16"</f>
        <v>16</v>
      </c>
    </row>
    <row r="5053" spans="1:6">
      <c r="A5053" t="str">
        <f>"E1246-16"</f>
        <v>E1246-16</v>
      </c>
      <c r="B5053" t="str">
        <f t="shared" si="317"/>
        <v>VIA A. P. CECHOV  1-</v>
      </c>
      <c r="C5053" t="str">
        <f t="shared" si="319"/>
        <v>RIV</v>
      </c>
      <c r="D5053">
        <v>27</v>
      </c>
      <c r="E5053" t="str">
        <f t="shared" si="318"/>
        <v>1709</v>
      </c>
      <c r="F5053" t="str">
        <f>"17"</f>
        <v>17</v>
      </c>
    </row>
    <row r="5054" spans="1:6">
      <c r="A5054" t="str">
        <f>"E1246-17"</f>
        <v>E1246-17</v>
      </c>
      <c r="B5054" t="str">
        <f t="shared" si="317"/>
        <v>VIA A. P. CECHOV  1-</v>
      </c>
      <c r="C5054" t="str">
        <f t="shared" si="319"/>
        <v>RIV</v>
      </c>
      <c r="D5054">
        <v>27</v>
      </c>
      <c r="E5054" t="str">
        <f t="shared" si="318"/>
        <v>1709</v>
      </c>
      <c r="F5054" t="str">
        <f>"18"</f>
        <v>18</v>
      </c>
    </row>
    <row r="5055" spans="1:6">
      <c r="A5055" t="str">
        <f>"E1246-18"</f>
        <v>E1246-18</v>
      </c>
      <c r="B5055" t="str">
        <f t="shared" si="317"/>
        <v>VIA A. P. CECHOV  1-</v>
      </c>
      <c r="C5055" t="str">
        <f t="shared" si="319"/>
        <v>RIV</v>
      </c>
      <c r="D5055">
        <v>27</v>
      </c>
      <c r="E5055" t="str">
        <f t="shared" si="318"/>
        <v>1709</v>
      </c>
      <c r="F5055" t="str">
        <f>"19"</f>
        <v>19</v>
      </c>
    </row>
    <row r="5056" spans="1:6">
      <c r="A5056" t="str">
        <f>"E1246-19"</f>
        <v>E1246-19</v>
      </c>
      <c r="B5056" t="str">
        <f t="shared" si="317"/>
        <v>VIA A. P. CECHOV  1-</v>
      </c>
      <c r="C5056" t="str">
        <f t="shared" si="319"/>
        <v>RIV</v>
      </c>
      <c r="D5056">
        <v>27</v>
      </c>
      <c r="E5056" t="str">
        <f t="shared" si="318"/>
        <v>1709</v>
      </c>
      <c r="F5056" t="str">
        <f>"20"</f>
        <v>20</v>
      </c>
    </row>
    <row r="5057" spans="1:6">
      <c r="A5057" t="str">
        <f>"E1246-20"</f>
        <v>E1246-20</v>
      </c>
      <c r="B5057" t="str">
        <f t="shared" si="317"/>
        <v>VIA A. P. CECHOV  1-</v>
      </c>
      <c r="C5057" t="str">
        <f t="shared" si="319"/>
        <v>RIV</v>
      </c>
      <c r="D5057">
        <v>27</v>
      </c>
      <c r="E5057" t="str">
        <f t="shared" si="318"/>
        <v>1709</v>
      </c>
      <c r="F5057" t="str">
        <f>"21"</f>
        <v>21</v>
      </c>
    </row>
    <row r="5058" spans="1:6">
      <c r="A5058" t="str">
        <f>"E1246-21"</f>
        <v>E1246-21</v>
      </c>
      <c r="B5058" t="str">
        <f t="shared" si="317"/>
        <v>VIA A. P. CECHOV  1-</v>
      </c>
      <c r="C5058" t="str">
        <f t="shared" si="319"/>
        <v>RIV</v>
      </c>
      <c r="D5058">
        <v>27</v>
      </c>
      <c r="E5058" t="str">
        <f t="shared" si="318"/>
        <v>1709</v>
      </c>
      <c r="F5058" t="str">
        <f>"22"</f>
        <v>22</v>
      </c>
    </row>
    <row r="5059" spans="1:6">
      <c r="A5059" t="str">
        <f>"E1246-22"</f>
        <v>E1246-22</v>
      </c>
      <c r="B5059" t="str">
        <f t="shared" si="317"/>
        <v>VIA A. P. CECHOV  1-</v>
      </c>
      <c r="C5059" t="str">
        <f t="shared" si="319"/>
        <v>RIV</v>
      </c>
      <c r="D5059">
        <v>27</v>
      </c>
      <c r="E5059" t="str">
        <f t="shared" si="318"/>
        <v>1709</v>
      </c>
      <c r="F5059" t="str">
        <f>"23"</f>
        <v>23</v>
      </c>
    </row>
    <row r="5060" spans="1:6">
      <c r="A5060" t="str">
        <f>"E1246-23"</f>
        <v>E1246-23</v>
      </c>
      <c r="B5060" t="str">
        <f t="shared" si="317"/>
        <v>VIA A. P. CECHOV  1-</v>
      </c>
      <c r="C5060" t="str">
        <f t="shared" si="319"/>
        <v>RIV</v>
      </c>
      <c r="D5060">
        <v>27</v>
      </c>
      <c r="E5060" t="str">
        <f t="shared" si="318"/>
        <v>1709</v>
      </c>
      <c r="F5060" t="str">
        <f>"24"</f>
        <v>24</v>
      </c>
    </row>
    <row r="5061" spans="1:6">
      <c r="A5061" t="str">
        <f>"E1246-24"</f>
        <v>E1246-24</v>
      </c>
      <c r="B5061" t="str">
        <f t="shared" si="317"/>
        <v>VIA A. P. CECHOV  1-</v>
      </c>
      <c r="C5061" t="str">
        <f t="shared" si="319"/>
        <v>RIV</v>
      </c>
      <c r="D5061">
        <v>27</v>
      </c>
      <c r="E5061" t="str">
        <f t="shared" si="318"/>
        <v>1709</v>
      </c>
      <c r="F5061" t="str">
        <f>"25"</f>
        <v>25</v>
      </c>
    </row>
    <row r="5062" spans="1:6">
      <c r="A5062" t="str">
        <f>"E1246-25"</f>
        <v>E1246-25</v>
      </c>
      <c r="B5062" t="str">
        <f t="shared" ref="B5062:B5094" si="320">"VIA A. P. CECHOV  8-"</f>
        <v>VIA A. P. CECHOV  8-</v>
      </c>
      <c r="C5062" t="str">
        <f t="shared" si="319"/>
        <v>RIV</v>
      </c>
      <c r="D5062">
        <v>27</v>
      </c>
      <c r="E5062" t="str">
        <f t="shared" si="318"/>
        <v>1709</v>
      </c>
      <c r="F5062" t="str">
        <f>"26"</f>
        <v>26</v>
      </c>
    </row>
    <row r="5063" spans="1:6">
      <c r="A5063" t="str">
        <f>"E1246-26"</f>
        <v>E1246-26</v>
      </c>
      <c r="B5063" t="str">
        <f t="shared" si="320"/>
        <v>VIA A. P. CECHOV  8-</v>
      </c>
      <c r="C5063" t="str">
        <f t="shared" si="319"/>
        <v>RIV</v>
      </c>
      <c r="D5063">
        <v>27</v>
      </c>
      <c r="E5063" t="str">
        <f t="shared" si="318"/>
        <v>1709</v>
      </c>
      <c r="F5063" t="str">
        <f>"27"</f>
        <v>27</v>
      </c>
    </row>
    <row r="5064" spans="1:6">
      <c r="A5064" t="str">
        <f>"E1246-27"</f>
        <v>E1246-27</v>
      </c>
      <c r="B5064" t="str">
        <f t="shared" si="320"/>
        <v>VIA A. P. CECHOV  8-</v>
      </c>
      <c r="C5064" t="str">
        <f t="shared" si="319"/>
        <v>RIV</v>
      </c>
      <c r="D5064">
        <v>27</v>
      </c>
      <c r="E5064" t="str">
        <f t="shared" si="318"/>
        <v>1709</v>
      </c>
      <c r="F5064" t="str">
        <f>"28"</f>
        <v>28</v>
      </c>
    </row>
    <row r="5065" spans="1:6">
      <c r="A5065" t="str">
        <f>"E1246-28"</f>
        <v>E1246-28</v>
      </c>
      <c r="B5065" t="str">
        <f t="shared" si="320"/>
        <v>VIA A. P. CECHOV  8-</v>
      </c>
      <c r="C5065" t="str">
        <f t="shared" si="319"/>
        <v>RIV</v>
      </c>
      <c r="D5065">
        <v>27</v>
      </c>
      <c r="E5065" t="str">
        <f t="shared" si="318"/>
        <v>1709</v>
      </c>
      <c r="F5065" t="str">
        <f>"29"</f>
        <v>29</v>
      </c>
    </row>
    <row r="5066" spans="1:6">
      <c r="A5066" t="str">
        <f>"E1246-29"</f>
        <v>E1246-29</v>
      </c>
      <c r="B5066" t="str">
        <f t="shared" si="320"/>
        <v>VIA A. P. CECHOV  8-</v>
      </c>
      <c r="C5066" t="str">
        <f t="shared" si="319"/>
        <v>RIV</v>
      </c>
      <c r="D5066">
        <v>27</v>
      </c>
      <c r="E5066" t="str">
        <f t="shared" si="318"/>
        <v>1709</v>
      </c>
      <c r="F5066" t="str">
        <f>"30"</f>
        <v>30</v>
      </c>
    </row>
    <row r="5067" spans="1:6">
      <c r="A5067" t="str">
        <f>"E1246-30"</f>
        <v>E1246-30</v>
      </c>
      <c r="B5067" t="str">
        <f t="shared" si="320"/>
        <v>VIA A. P. CECHOV  8-</v>
      </c>
      <c r="C5067" t="str">
        <f t="shared" si="319"/>
        <v>RIV</v>
      </c>
      <c r="D5067">
        <v>27</v>
      </c>
      <c r="E5067" t="str">
        <f t="shared" si="318"/>
        <v>1709</v>
      </c>
      <c r="F5067" t="str">
        <f>"31"</f>
        <v>31</v>
      </c>
    </row>
    <row r="5068" spans="1:6">
      <c r="A5068" t="str">
        <f>"E1246-31"</f>
        <v>E1246-31</v>
      </c>
      <c r="B5068" t="str">
        <f t="shared" si="320"/>
        <v>VIA A. P. CECHOV  8-</v>
      </c>
      <c r="C5068" t="str">
        <f t="shared" si="319"/>
        <v>RIV</v>
      </c>
      <c r="D5068">
        <v>27</v>
      </c>
      <c r="E5068" t="str">
        <f t="shared" si="318"/>
        <v>1709</v>
      </c>
      <c r="F5068" t="str">
        <f>"32"</f>
        <v>32</v>
      </c>
    </row>
    <row r="5069" spans="1:6">
      <c r="A5069" t="str">
        <f>"E1246-32"</f>
        <v>E1246-32</v>
      </c>
      <c r="B5069" t="str">
        <f t="shared" si="320"/>
        <v>VIA A. P. CECHOV  8-</v>
      </c>
      <c r="C5069" t="str">
        <f t="shared" si="319"/>
        <v>RIV</v>
      </c>
      <c r="D5069">
        <v>27</v>
      </c>
      <c r="E5069" t="str">
        <f t="shared" si="318"/>
        <v>1709</v>
      </c>
      <c r="F5069" t="str">
        <f>"33"</f>
        <v>33</v>
      </c>
    </row>
    <row r="5070" spans="1:6">
      <c r="A5070" t="str">
        <f>"E1246-33"</f>
        <v>E1246-33</v>
      </c>
      <c r="B5070" t="str">
        <f t="shared" si="320"/>
        <v>VIA A. P. CECHOV  8-</v>
      </c>
      <c r="C5070" t="str">
        <f t="shared" si="319"/>
        <v>RIV</v>
      </c>
      <c r="D5070">
        <v>27</v>
      </c>
      <c r="E5070" t="str">
        <f t="shared" ref="E5070:E5101" si="321">"1709"</f>
        <v>1709</v>
      </c>
      <c r="F5070" t="str">
        <f>"34"</f>
        <v>34</v>
      </c>
    </row>
    <row r="5071" spans="1:6">
      <c r="A5071" t="str">
        <f>"E1246-34"</f>
        <v>E1246-34</v>
      </c>
      <c r="B5071" t="str">
        <f t="shared" si="320"/>
        <v>VIA A. P. CECHOV  8-</v>
      </c>
      <c r="C5071" t="str">
        <f t="shared" si="319"/>
        <v>RIV</v>
      </c>
      <c r="D5071">
        <v>27</v>
      </c>
      <c r="E5071" t="str">
        <f t="shared" si="321"/>
        <v>1709</v>
      </c>
      <c r="F5071" t="str">
        <f>"35"</f>
        <v>35</v>
      </c>
    </row>
    <row r="5072" spans="1:6">
      <c r="A5072" t="str">
        <f>"E1246-35"</f>
        <v>E1246-35</v>
      </c>
      <c r="B5072" t="str">
        <f t="shared" si="320"/>
        <v>VIA A. P. CECHOV  8-</v>
      </c>
      <c r="C5072" t="str">
        <f t="shared" si="319"/>
        <v>RIV</v>
      </c>
      <c r="D5072">
        <v>27</v>
      </c>
      <c r="E5072" t="str">
        <f t="shared" si="321"/>
        <v>1709</v>
      </c>
      <c r="F5072" t="str">
        <f>"36"</f>
        <v>36</v>
      </c>
    </row>
    <row r="5073" spans="1:6">
      <c r="A5073" t="str">
        <f>"E1246-36"</f>
        <v>E1246-36</v>
      </c>
      <c r="B5073" t="str">
        <f t="shared" si="320"/>
        <v>VIA A. P. CECHOV  8-</v>
      </c>
      <c r="C5073" t="str">
        <f t="shared" si="319"/>
        <v>RIV</v>
      </c>
      <c r="D5073">
        <v>27</v>
      </c>
      <c r="E5073" t="str">
        <f t="shared" si="321"/>
        <v>1709</v>
      </c>
      <c r="F5073" t="str">
        <f>"37"</f>
        <v>37</v>
      </c>
    </row>
    <row r="5074" spans="1:6">
      <c r="A5074" t="str">
        <f>"E1246-37"</f>
        <v>E1246-37</v>
      </c>
      <c r="B5074" t="str">
        <f t="shared" si="320"/>
        <v>VIA A. P. CECHOV  8-</v>
      </c>
      <c r="C5074" t="str">
        <f t="shared" si="319"/>
        <v>RIV</v>
      </c>
      <c r="D5074">
        <v>27</v>
      </c>
      <c r="E5074" t="str">
        <f t="shared" si="321"/>
        <v>1709</v>
      </c>
      <c r="F5074" t="str">
        <f>"38"</f>
        <v>38</v>
      </c>
    </row>
    <row r="5075" spans="1:6">
      <c r="A5075" t="str">
        <f>"E1246-38"</f>
        <v>E1246-38</v>
      </c>
      <c r="B5075" t="str">
        <f t="shared" si="320"/>
        <v>VIA A. P. CECHOV  8-</v>
      </c>
      <c r="C5075" t="str">
        <f t="shared" si="319"/>
        <v>RIV</v>
      </c>
      <c r="D5075">
        <v>27</v>
      </c>
      <c r="E5075" t="str">
        <f t="shared" si="321"/>
        <v>1709</v>
      </c>
      <c r="F5075" t="str">
        <f>"39"</f>
        <v>39</v>
      </c>
    </row>
    <row r="5076" spans="1:6">
      <c r="A5076" t="str">
        <f>"E1246-39"</f>
        <v>E1246-39</v>
      </c>
      <c r="B5076" t="str">
        <f t="shared" si="320"/>
        <v>VIA A. P. CECHOV  8-</v>
      </c>
      <c r="C5076" t="str">
        <f t="shared" si="319"/>
        <v>RIV</v>
      </c>
      <c r="D5076">
        <v>27</v>
      </c>
      <c r="E5076" t="str">
        <f t="shared" si="321"/>
        <v>1709</v>
      </c>
      <c r="F5076" t="str">
        <f>"40"</f>
        <v>40</v>
      </c>
    </row>
    <row r="5077" spans="1:6">
      <c r="A5077" t="str">
        <f>"E1246-40"</f>
        <v>E1246-40</v>
      </c>
      <c r="B5077" t="str">
        <f t="shared" si="320"/>
        <v>VIA A. P. CECHOV  8-</v>
      </c>
      <c r="C5077" t="str">
        <f t="shared" si="319"/>
        <v>RIV</v>
      </c>
      <c r="D5077">
        <v>27</v>
      </c>
      <c r="E5077" t="str">
        <f t="shared" si="321"/>
        <v>1709</v>
      </c>
      <c r="F5077" t="str">
        <f>"41"</f>
        <v>41</v>
      </c>
    </row>
    <row r="5078" spans="1:6">
      <c r="A5078" t="str">
        <f>"E1246-41"</f>
        <v>E1246-41</v>
      </c>
      <c r="B5078" t="str">
        <f t="shared" si="320"/>
        <v>VIA A. P. CECHOV  8-</v>
      </c>
      <c r="C5078" t="str">
        <f t="shared" si="319"/>
        <v>RIV</v>
      </c>
      <c r="D5078">
        <v>27</v>
      </c>
      <c r="E5078" t="str">
        <f t="shared" si="321"/>
        <v>1709</v>
      </c>
      <c r="F5078" t="str">
        <f>"42"</f>
        <v>42</v>
      </c>
    </row>
    <row r="5079" spans="1:6">
      <c r="A5079" t="str">
        <f>"E1246-42"</f>
        <v>E1246-42</v>
      </c>
      <c r="B5079" t="str">
        <f t="shared" si="320"/>
        <v>VIA A. P. CECHOV  8-</v>
      </c>
      <c r="C5079" t="str">
        <f t="shared" si="319"/>
        <v>RIV</v>
      </c>
      <c r="D5079">
        <v>27</v>
      </c>
      <c r="E5079" t="str">
        <f t="shared" si="321"/>
        <v>1709</v>
      </c>
      <c r="F5079" t="str">
        <f>"43"</f>
        <v>43</v>
      </c>
    </row>
    <row r="5080" spans="1:6">
      <c r="A5080" t="str">
        <f>"E1246-43"</f>
        <v>E1246-43</v>
      </c>
      <c r="B5080" t="str">
        <f t="shared" si="320"/>
        <v>VIA A. P. CECHOV  8-</v>
      </c>
      <c r="C5080" t="str">
        <f t="shared" si="319"/>
        <v>RIV</v>
      </c>
      <c r="D5080">
        <v>27</v>
      </c>
      <c r="E5080" t="str">
        <f t="shared" si="321"/>
        <v>1709</v>
      </c>
      <c r="F5080" t="str">
        <f>"44"</f>
        <v>44</v>
      </c>
    </row>
    <row r="5081" spans="1:6">
      <c r="A5081" t="str">
        <f>"E1246-44"</f>
        <v>E1246-44</v>
      </c>
      <c r="B5081" t="str">
        <f t="shared" si="320"/>
        <v>VIA A. P. CECHOV  8-</v>
      </c>
      <c r="C5081" t="str">
        <f t="shared" si="319"/>
        <v>RIV</v>
      </c>
      <c r="D5081">
        <v>27</v>
      </c>
      <c r="E5081" t="str">
        <f t="shared" si="321"/>
        <v>1709</v>
      </c>
      <c r="F5081" t="str">
        <f>"45"</f>
        <v>45</v>
      </c>
    </row>
    <row r="5082" spans="1:6">
      <c r="A5082" t="str">
        <f>"E1246-45"</f>
        <v>E1246-45</v>
      </c>
      <c r="B5082" t="str">
        <f t="shared" si="320"/>
        <v>VIA A. P. CECHOV  8-</v>
      </c>
      <c r="C5082" t="str">
        <f t="shared" si="319"/>
        <v>RIV</v>
      </c>
      <c r="D5082">
        <v>27</v>
      </c>
      <c r="E5082" t="str">
        <f t="shared" si="321"/>
        <v>1709</v>
      </c>
      <c r="F5082" t="str">
        <f>"46"</f>
        <v>46</v>
      </c>
    </row>
    <row r="5083" spans="1:6">
      <c r="A5083" t="str">
        <f>"E1246-46"</f>
        <v>E1246-46</v>
      </c>
      <c r="B5083" t="str">
        <f t="shared" si="320"/>
        <v>VIA A. P. CECHOV  8-</v>
      </c>
      <c r="C5083" t="str">
        <f t="shared" si="319"/>
        <v>RIV</v>
      </c>
      <c r="D5083">
        <v>27</v>
      </c>
      <c r="E5083" t="str">
        <f t="shared" si="321"/>
        <v>1709</v>
      </c>
      <c r="F5083" t="str">
        <f>"47"</f>
        <v>47</v>
      </c>
    </row>
    <row r="5084" spans="1:6">
      <c r="A5084" t="str">
        <f>"E1246-47"</f>
        <v>E1246-47</v>
      </c>
      <c r="B5084" t="str">
        <f t="shared" si="320"/>
        <v>VIA A. P. CECHOV  8-</v>
      </c>
      <c r="C5084" t="str">
        <f t="shared" si="319"/>
        <v>RIV</v>
      </c>
      <c r="D5084">
        <v>27</v>
      </c>
      <c r="E5084" t="str">
        <f t="shared" si="321"/>
        <v>1709</v>
      </c>
      <c r="F5084" t="str">
        <f>"48"</f>
        <v>48</v>
      </c>
    </row>
    <row r="5085" spans="1:6">
      <c r="A5085" t="str">
        <f>"E1246-48"</f>
        <v>E1246-48</v>
      </c>
      <c r="B5085" t="str">
        <f t="shared" si="320"/>
        <v>VIA A. P. CECHOV  8-</v>
      </c>
      <c r="C5085" t="str">
        <f t="shared" si="319"/>
        <v>RIV</v>
      </c>
      <c r="D5085">
        <v>27</v>
      </c>
      <c r="E5085" t="str">
        <f t="shared" si="321"/>
        <v>1709</v>
      </c>
      <c r="F5085" t="str">
        <f>"49"</f>
        <v>49</v>
      </c>
    </row>
    <row r="5086" spans="1:6">
      <c r="A5086" t="str">
        <f>"E1246-49"</f>
        <v>E1246-49</v>
      </c>
      <c r="B5086" t="str">
        <f t="shared" si="320"/>
        <v>VIA A. P. CECHOV  8-</v>
      </c>
      <c r="C5086" t="str">
        <f t="shared" si="319"/>
        <v>RIV</v>
      </c>
      <c r="D5086">
        <v>27</v>
      </c>
      <c r="E5086" t="str">
        <f t="shared" si="321"/>
        <v>1709</v>
      </c>
      <c r="F5086" t="str">
        <f>"50"</f>
        <v>50</v>
      </c>
    </row>
    <row r="5087" spans="1:6">
      <c r="A5087" t="str">
        <f>"E1246-50"</f>
        <v>E1246-50</v>
      </c>
      <c r="B5087" t="str">
        <f t="shared" si="320"/>
        <v>VIA A. P. CECHOV  8-</v>
      </c>
      <c r="C5087" t="str">
        <f t="shared" si="319"/>
        <v>RIV</v>
      </c>
      <c r="D5087">
        <v>27</v>
      </c>
      <c r="E5087" t="str">
        <f t="shared" si="321"/>
        <v>1709</v>
      </c>
      <c r="F5087" t="str">
        <f>"51"</f>
        <v>51</v>
      </c>
    </row>
    <row r="5088" spans="1:6">
      <c r="A5088" t="str">
        <f>"E1246-51"</f>
        <v>E1246-51</v>
      </c>
      <c r="B5088" t="str">
        <f t="shared" si="320"/>
        <v>VIA A. P. CECHOV  8-</v>
      </c>
      <c r="C5088" t="str">
        <f t="shared" si="319"/>
        <v>RIV</v>
      </c>
      <c r="D5088">
        <v>27</v>
      </c>
      <c r="E5088" t="str">
        <f t="shared" si="321"/>
        <v>1709</v>
      </c>
      <c r="F5088" t="str">
        <f>"52"</f>
        <v>52</v>
      </c>
    </row>
    <row r="5089" spans="1:6">
      <c r="A5089" t="str">
        <f>"E1246-52"</f>
        <v>E1246-52</v>
      </c>
      <c r="B5089" t="str">
        <f t="shared" si="320"/>
        <v>VIA A. P. CECHOV  8-</v>
      </c>
      <c r="C5089" t="str">
        <f t="shared" si="319"/>
        <v>RIV</v>
      </c>
      <c r="D5089">
        <v>27</v>
      </c>
      <c r="E5089" t="str">
        <f t="shared" si="321"/>
        <v>1709</v>
      </c>
      <c r="F5089" t="str">
        <f>"53"</f>
        <v>53</v>
      </c>
    </row>
    <row r="5090" spans="1:6">
      <c r="A5090" t="str">
        <f>"E1246-53"</f>
        <v>E1246-53</v>
      </c>
      <c r="B5090" t="str">
        <f t="shared" si="320"/>
        <v>VIA A. P. CECHOV  8-</v>
      </c>
      <c r="C5090" t="str">
        <f t="shared" si="319"/>
        <v>RIV</v>
      </c>
      <c r="D5090">
        <v>27</v>
      </c>
      <c r="E5090" t="str">
        <f t="shared" si="321"/>
        <v>1709</v>
      </c>
      <c r="F5090" t="str">
        <f>"54"</f>
        <v>54</v>
      </c>
    </row>
    <row r="5091" spans="1:6">
      <c r="A5091" t="str">
        <f>"E1246-54"</f>
        <v>E1246-54</v>
      </c>
      <c r="B5091" t="str">
        <f t="shared" si="320"/>
        <v>VIA A. P. CECHOV  8-</v>
      </c>
      <c r="C5091" t="str">
        <f t="shared" si="319"/>
        <v>RIV</v>
      </c>
      <c r="D5091">
        <v>27</v>
      </c>
      <c r="E5091" t="str">
        <f t="shared" si="321"/>
        <v>1709</v>
      </c>
      <c r="F5091" t="str">
        <f>"55"</f>
        <v>55</v>
      </c>
    </row>
    <row r="5092" spans="1:6">
      <c r="A5092" t="str">
        <f>"E1246-55"</f>
        <v>E1246-55</v>
      </c>
      <c r="B5092" t="str">
        <f t="shared" si="320"/>
        <v>VIA A. P. CECHOV  8-</v>
      </c>
      <c r="C5092" t="str">
        <f t="shared" si="319"/>
        <v>RIV</v>
      </c>
      <c r="D5092">
        <v>27</v>
      </c>
      <c r="E5092" t="str">
        <f t="shared" si="321"/>
        <v>1709</v>
      </c>
      <c r="F5092" t="str">
        <f>"56"</f>
        <v>56</v>
      </c>
    </row>
    <row r="5093" spans="1:6">
      <c r="A5093" t="str">
        <f>"E1246-56"</f>
        <v>E1246-56</v>
      </c>
      <c r="B5093" t="str">
        <f t="shared" si="320"/>
        <v>VIA A. P. CECHOV  8-</v>
      </c>
      <c r="C5093" t="str">
        <f t="shared" si="319"/>
        <v>RIV</v>
      </c>
      <c r="D5093">
        <v>27</v>
      </c>
      <c r="E5093" t="str">
        <f t="shared" si="321"/>
        <v>1709</v>
      </c>
      <c r="F5093" t="str">
        <f>"57"</f>
        <v>57</v>
      </c>
    </row>
    <row r="5094" spans="1:6">
      <c r="A5094" t="str">
        <f>"E1246-57"</f>
        <v>E1246-57</v>
      </c>
      <c r="B5094" t="str">
        <f t="shared" si="320"/>
        <v>VIA A. P. CECHOV  8-</v>
      </c>
      <c r="C5094" t="str">
        <f t="shared" si="319"/>
        <v>RIV</v>
      </c>
      <c r="D5094">
        <v>27</v>
      </c>
      <c r="E5094" t="str">
        <f t="shared" si="321"/>
        <v>1709</v>
      </c>
      <c r="F5094" t="str">
        <f>"58"</f>
        <v>58</v>
      </c>
    </row>
    <row r="5095" spans="1:6">
      <c r="A5095" t="str">
        <f>"E1246-58"</f>
        <v>E1246-58</v>
      </c>
      <c r="B5095" t="str">
        <f t="shared" ref="B5095:B5117" si="322">"VIA A. P. CECHOV  10-"</f>
        <v>VIA A. P. CECHOV  10-</v>
      </c>
      <c r="C5095" t="str">
        <f t="shared" si="319"/>
        <v>RIV</v>
      </c>
      <c r="D5095">
        <v>27</v>
      </c>
      <c r="E5095" t="str">
        <f t="shared" si="321"/>
        <v>1709</v>
      </c>
      <c r="F5095" t="str">
        <f>"59"</f>
        <v>59</v>
      </c>
    </row>
    <row r="5096" spans="1:6">
      <c r="A5096" t="str">
        <f>"E1246-59"</f>
        <v>E1246-59</v>
      </c>
      <c r="B5096" t="str">
        <f t="shared" si="322"/>
        <v>VIA A. P. CECHOV  10-</v>
      </c>
      <c r="C5096" t="str">
        <f t="shared" si="319"/>
        <v>RIV</v>
      </c>
      <c r="D5096">
        <v>27</v>
      </c>
      <c r="E5096" t="str">
        <f t="shared" si="321"/>
        <v>1709</v>
      </c>
      <c r="F5096" t="str">
        <f>"60"</f>
        <v>60</v>
      </c>
    </row>
    <row r="5097" spans="1:6">
      <c r="A5097" t="str">
        <f>"E1246-60"</f>
        <v>E1246-60</v>
      </c>
      <c r="B5097" t="str">
        <f t="shared" si="322"/>
        <v>VIA A. P. CECHOV  10-</v>
      </c>
      <c r="C5097" t="str">
        <f t="shared" si="319"/>
        <v>RIV</v>
      </c>
      <c r="D5097">
        <v>27</v>
      </c>
      <c r="E5097" t="str">
        <f t="shared" si="321"/>
        <v>1709</v>
      </c>
      <c r="F5097" t="str">
        <f>"61"</f>
        <v>61</v>
      </c>
    </row>
    <row r="5098" spans="1:6">
      <c r="A5098" t="str">
        <f>"E1246-61"</f>
        <v>E1246-61</v>
      </c>
      <c r="B5098" t="str">
        <f t="shared" si="322"/>
        <v>VIA A. P. CECHOV  10-</v>
      </c>
      <c r="C5098" t="str">
        <f t="shared" si="319"/>
        <v>RIV</v>
      </c>
      <c r="D5098">
        <v>27</v>
      </c>
      <c r="E5098" t="str">
        <f t="shared" si="321"/>
        <v>1709</v>
      </c>
      <c r="F5098" t="str">
        <f>"62"</f>
        <v>62</v>
      </c>
    </row>
    <row r="5099" spans="1:6">
      <c r="A5099" t="str">
        <f>"E1246-62"</f>
        <v>E1246-62</v>
      </c>
      <c r="B5099" t="str">
        <f t="shared" si="322"/>
        <v>VIA A. P. CECHOV  10-</v>
      </c>
      <c r="C5099" t="str">
        <f t="shared" si="319"/>
        <v>RIV</v>
      </c>
      <c r="D5099">
        <v>27</v>
      </c>
      <c r="E5099" t="str">
        <f t="shared" si="321"/>
        <v>1709</v>
      </c>
      <c r="F5099" t="str">
        <f>"63"</f>
        <v>63</v>
      </c>
    </row>
    <row r="5100" spans="1:6">
      <c r="A5100" t="str">
        <f>"E1246-63"</f>
        <v>E1246-63</v>
      </c>
      <c r="B5100" t="str">
        <f t="shared" si="322"/>
        <v>VIA A. P. CECHOV  10-</v>
      </c>
      <c r="C5100" t="str">
        <f t="shared" si="319"/>
        <v>RIV</v>
      </c>
      <c r="D5100">
        <v>27</v>
      </c>
      <c r="E5100" t="str">
        <f t="shared" si="321"/>
        <v>1709</v>
      </c>
      <c r="F5100" t="str">
        <f>"64"</f>
        <v>64</v>
      </c>
    </row>
    <row r="5101" spans="1:6">
      <c r="A5101" t="str">
        <f>"E1246-64"</f>
        <v>E1246-64</v>
      </c>
      <c r="B5101" t="str">
        <f t="shared" si="322"/>
        <v>VIA A. P. CECHOV  10-</v>
      </c>
      <c r="C5101" t="str">
        <f t="shared" si="319"/>
        <v>RIV</v>
      </c>
      <c r="D5101">
        <v>27</v>
      </c>
      <c r="E5101" t="str">
        <f t="shared" si="321"/>
        <v>1709</v>
      </c>
      <c r="F5101" t="str">
        <f>"65"</f>
        <v>65</v>
      </c>
    </row>
    <row r="5102" spans="1:6">
      <c r="A5102" t="str">
        <f>"E1246-65"</f>
        <v>E1246-65</v>
      </c>
      <c r="B5102" t="str">
        <f t="shared" si="322"/>
        <v>VIA A. P. CECHOV  10-</v>
      </c>
      <c r="C5102" t="str">
        <f t="shared" si="319"/>
        <v>RIV</v>
      </c>
      <c r="D5102">
        <v>27</v>
      </c>
      <c r="E5102" t="str">
        <f t="shared" ref="E5102:E5133" si="323">"1709"</f>
        <v>1709</v>
      </c>
      <c r="F5102" t="str">
        <f>"66"</f>
        <v>66</v>
      </c>
    </row>
    <row r="5103" spans="1:6">
      <c r="A5103" t="str">
        <f>"E1246-66"</f>
        <v>E1246-66</v>
      </c>
      <c r="B5103" t="str">
        <f t="shared" si="322"/>
        <v>VIA A. P. CECHOV  10-</v>
      </c>
      <c r="C5103" t="str">
        <f t="shared" si="319"/>
        <v>RIV</v>
      </c>
      <c r="D5103">
        <v>27</v>
      </c>
      <c r="E5103" t="str">
        <f t="shared" si="323"/>
        <v>1709</v>
      </c>
      <c r="F5103" t="str">
        <f>"67"</f>
        <v>67</v>
      </c>
    </row>
    <row r="5104" spans="1:6">
      <c r="A5104" t="str">
        <f>"E1246-67"</f>
        <v>E1246-67</v>
      </c>
      <c r="B5104" t="str">
        <f t="shared" si="322"/>
        <v>VIA A. P. CECHOV  10-</v>
      </c>
      <c r="C5104" t="str">
        <f t="shared" si="319"/>
        <v>RIV</v>
      </c>
      <c r="D5104">
        <v>27</v>
      </c>
      <c r="E5104" t="str">
        <f t="shared" si="323"/>
        <v>1709</v>
      </c>
      <c r="F5104" t="str">
        <f>"68"</f>
        <v>68</v>
      </c>
    </row>
    <row r="5105" spans="1:6">
      <c r="A5105" t="str">
        <f>"E1246-68"</f>
        <v>E1246-68</v>
      </c>
      <c r="B5105" t="str">
        <f t="shared" si="322"/>
        <v>VIA A. P. CECHOV  10-</v>
      </c>
      <c r="C5105" t="str">
        <f t="shared" si="319"/>
        <v>RIV</v>
      </c>
      <c r="D5105">
        <v>27</v>
      </c>
      <c r="E5105" t="str">
        <f t="shared" si="323"/>
        <v>1709</v>
      </c>
      <c r="F5105" t="str">
        <f>"69"</f>
        <v>69</v>
      </c>
    </row>
    <row r="5106" spans="1:6">
      <c r="A5106" t="str">
        <f>"E1246-69"</f>
        <v>E1246-69</v>
      </c>
      <c r="B5106" t="str">
        <f t="shared" si="322"/>
        <v>VIA A. P. CECHOV  10-</v>
      </c>
      <c r="C5106" t="str">
        <f t="shared" si="319"/>
        <v>RIV</v>
      </c>
      <c r="D5106">
        <v>27</v>
      </c>
      <c r="E5106" t="str">
        <f t="shared" si="323"/>
        <v>1709</v>
      </c>
      <c r="F5106" t="str">
        <f>"70"</f>
        <v>70</v>
      </c>
    </row>
    <row r="5107" spans="1:6">
      <c r="A5107" t="str">
        <f>"E1246-70"</f>
        <v>E1246-70</v>
      </c>
      <c r="B5107" t="str">
        <f t="shared" si="322"/>
        <v>VIA A. P. CECHOV  10-</v>
      </c>
      <c r="C5107" t="str">
        <f t="shared" si="319"/>
        <v>RIV</v>
      </c>
      <c r="D5107">
        <v>27</v>
      </c>
      <c r="E5107" t="str">
        <f t="shared" si="323"/>
        <v>1709</v>
      </c>
      <c r="F5107" t="str">
        <f>"71"</f>
        <v>71</v>
      </c>
    </row>
    <row r="5108" spans="1:6">
      <c r="A5108" t="str">
        <f>"E1246-71"</f>
        <v>E1246-71</v>
      </c>
      <c r="B5108" t="str">
        <f t="shared" si="322"/>
        <v>VIA A. P. CECHOV  10-</v>
      </c>
      <c r="C5108" t="str">
        <f t="shared" si="319"/>
        <v>RIV</v>
      </c>
      <c r="D5108">
        <v>27</v>
      </c>
      <c r="E5108" t="str">
        <f t="shared" si="323"/>
        <v>1709</v>
      </c>
      <c r="F5108" t="str">
        <f>"72"</f>
        <v>72</v>
      </c>
    </row>
    <row r="5109" spans="1:6">
      <c r="A5109" t="str">
        <f>"E1246-72"</f>
        <v>E1246-72</v>
      </c>
      <c r="B5109" t="str">
        <f t="shared" si="322"/>
        <v>VIA A. P. CECHOV  10-</v>
      </c>
      <c r="C5109" t="str">
        <f t="shared" ref="C5109:C5172" si="324">"RIV"</f>
        <v>RIV</v>
      </c>
      <c r="D5109">
        <v>27</v>
      </c>
      <c r="E5109" t="str">
        <f t="shared" si="323"/>
        <v>1709</v>
      </c>
      <c r="F5109" t="str">
        <f>"73"</f>
        <v>73</v>
      </c>
    </row>
    <row r="5110" spans="1:6">
      <c r="A5110" t="str">
        <f>"E1246-73"</f>
        <v>E1246-73</v>
      </c>
      <c r="B5110" t="str">
        <f t="shared" si="322"/>
        <v>VIA A. P. CECHOV  10-</v>
      </c>
      <c r="C5110" t="str">
        <f t="shared" si="324"/>
        <v>RIV</v>
      </c>
      <c r="D5110">
        <v>27</v>
      </c>
      <c r="E5110" t="str">
        <f t="shared" si="323"/>
        <v>1709</v>
      </c>
      <c r="F5110" t="str">
        <f>"74"</f>
        <v>74</v>
      </c>
    </row>
    <row r="5111" spans="1:6">
      <c r="A5111" t="str">
        <f>"E1246-74"</f>
        <v>E1246-74</v>
      </c>
      <c r="B5111" t="str">
        <f t="shared" si="322"/>
        <v>VIA A. P. CECHOV  10-</v>
      </c>
      <c r="C5111" t="str">
        <f t="shared" si="324"/>
        <v>RIV</v>
      </c>
      <c r="D5111">
        <v>27</v>
      </c>
      <c r="E5111" t="str">
        <f t="shared" si="323"/>
        <v>1709</v>
      </c>
      <c r="F5111" t="str">
        <f>"75"</f>
        <v>75</v>
      </c>
    </row>
    <row r="5112" spans="1:6">
      <c r="A5112" t="str">
        <f>"E1246-75"</f>
        <v>E1246-75</v>
      </c>
      <c r="B5112" t="str">
        <f t="shared" si="322"/>
        <v>VIA A. P. CECHOV  10-</v>
      </c>
      <c r="C5112" t="str">
        <f t="shared" si="324"/>
        <v>RIV</v>
      </c>
      <c r="D5112">
        <v>27</v>
      </c>
      <c r="E5112" t="str">
        <f t="shared" si="323"/>
        <v>1709</v>
      </c>
      <c r="F5112" t="str">
        <f>"76"</f>
        <v>76</v>
      </c>
    </row>
    <row r="5113" spans="1:6">
      <c r="A5113" t="str">
        <f>"E1246-76"</f>
        <v>E1246-76</v>
      </c>
      <c r="B5113" t="str">
        <f t="shared" si="322"/>
        <v>VIA A. P. CECHOV  10-</v>
      </c>
      <c r="C5113" t="str">
        <f t="shared" si="324"/>
        <v>RIV</v>
      </c>
      <c r="D5113">
        <v>27</v>
      </c>
      <c r="E5113" t="str">
        <f t="shared" si="323"/>
        <v>1709</v>
      </c>
      <c r="F5113" t="str">
        <f>"77"</f>
        <v>77</v>
      </c>
    </row>
    <row r="5114" spans="1:6">
      <c r="A5114" t="str">
        <f>"E1246-77"</f>
        <v>E1246-77</v>
      </c>
      <c r="B5114" t="str">
        <f t="shared" si="322"/>
        <v>VIA A. P. CECHOV  10-</v>
      </c>
      <c r="C5114" t="str">
        <f t="shared" si="324"/>
        <v>RIV</v>
      </c>
      <c r="D5114">
        <v>27</v>
      </c>
      <c r="E5114" t="str">
        <f t="shared" si="323"/>
        <v>1709</v>
      </c>
      <c r="F5114" t="str">
        <f>"78"</f>
        <v>78</v>
      </c>
    </row>
    <row r="5115" spans="1:6">
      <c r="A5115" t="str">
        <f>"E1246-78"</f>
        <v>E1246-78</v>
      </c>
      <c r="B5115" t="str">
        <f t="shared" si="322"/>
        <v>VIA A. P. CECHOV  10-</v>
      </c>
      <c r="C5115" t="str">
        <f t="shared" si="324"/>
        <v>RIV</v>
      </c>
      <c r="D5115">
        <v>27</v>
      </c>
      <c r="E5115" t="str">
        <f t="shared" si="323"/>
        <v>1709</v>
      </c>
      <c r="F5115" t="str">
        <f>"79"</f>
        <v>79</v>
      </c>
    </row>
    <row r="5116" spans="1:6">
      <c r="A5116" t="str">
        <f>"E1246-79"</f>
        <v>E1246-79</v>
      </c>
      <c r="B5116" t="str">
        <f t="shared" si="322"/>
        <v>VIA A. P. CECHOV  10-</v>
      </c>
      <c r="C5116" t="str">
        <f t="shared" si="324"/>
        <v>RIV</v>
      </c>
      <c r="D5116">
        <v>27</v>
      </c>
      <c r="E5116" t="str">
        <f t="shared" si="323"/>
        <v>1709</v>
      </c>
      <c r="F5116" t="str">
        <f>"80"</f>
        <v>80</v>
      </c>
    </row>
    <row r="5117" spans="1:6">
      <c r="A5117" t="str">
        <f>"E1246-80"</f>
        <v>E1246-80</v>
      </c>
      <c r="B5117" t="str">
        <f t="shared" si="322"/>
        <v>VIA A. P. CECHOV  10-</v>
      </c>
      <c r="C5117" t="str">
        <f t="shared" si="324"/>
        <v>RIV</v>
      </c>
      <c r="D5117">
        <v>27</v>
      </c>
      <c r="E5117" t="str">
        <f t="shared" si="323"/>
        <v>1709</v>
      </c>
      <c r="F5117" t="str">
        <f>"81"</f>
        <v>81</v>
      </c>
    </row>
    <row r="5118" spans="1:6">
      <c r="A5118" t="str">
        <f>"E1246-81"</f>
        <v>E1246-81</v>
      </c>
      <c r="B5118" t="str">
        <f t="shared" ref="B5118:B5138" si="325">"VIA A. P. CECHOV  6-"</f>
        <v>VIA A. P. CECHOV  6-</v>
      </c>
      <c r="C5118" t="str">
        <f t="shared" si="324"/>
        <v>RIV</v>
      </c>
      <c r="D5118">
        <v>27</v>
      </c>
      <c r="E5118" t="str">
        <f t="shared" si="323"/>
        <v>1709</v>
      </c>
      <c r="F5118" t="str">
        <f>"82"</f>
        <v>82</v>
      </c>
    </row>
    <row r="5119" spans="1:6">
      <c r="A5119" t="str">
        <f>"E1246-82"</f>
        <v>E1246-82</v>
      </c>
      <c r="B5119" t="str">
        <f t="shared" si="325"/>
        <v>VIA A. P. CECHOV  6-</v>
      </c>
      <c r="C5119" t="str">
        <f t="shared" si="324"/>
        <v>RIV</v>
      </c>
      <c r="D5119">
        <v>27</v>
      </c>
      <c r="E5119" t="str">
        <f t="shared" si="323"/>
        <v>1709</v>
      </c>
      <c r="F5119" t="str">
        <f>"83"</f>
        <v>83</v>
      </c>
    </row>
    <row r="5120" spans="1:6">
      <c r="A5120" t="str">
        <f>"E1246-83"</f>
        <v>E1246-83</v>
      </c>
      <c r="B5120" t="str">
        <f t="shared" si="325"/>
        <v>VIA A. P. CECHOV  6-</v>
      </c>
      <c r="C5120" t="str">
        <f t="shared" si="324"/>
        <v>RIV</v>
      </c>
      <c r="D5120">
        <v>27</v>
      </c>
      <c r="E5120" t="str">
        <f t="shared" si="323"/>
        <v>1709</v>
      </c>
      <c r="F5120" t="str">
        <f>"84"</f>
        <v>84</v>
      </c>
    </row>
    <row r="5121" spans="1:6">
      <c r="A5121" t="str">
        <f>"E1246-84"</f>
        <v>E1246-84</v>
      </c>
      <c r="B5121" t="str">
        <f t="shared" si="325"/>
        <v>VIA A. P. CECHOV  6-</v>
      </c>
      <c r="C5121" t="str">
        <f t="shared" si="324"/>
        <v>RIV</v>
      </c>
      <c r="D5121">
        <v>27</v>
      </c>
      <c r="E5121" t="str">
        <f t="shared" si="323"/>
        <v>1709</v>
      </c>
      <c r="F5121" t="str">
        <f>"85"</f>
        <v>85</v>
      </c>
    </row>
    <row r="5122" spans="1:6">
      <c r="A5122" t="str">
        <f>"E1246-85"</f>
        <v>E1246-85</v>
      </c>
      <c r="B5122" t="str">
        <f t="shared" si="325"/>
        <v>VIA A. P. CECHOV  6-</v>
      </c>
      <c r="C5122" t="str">
        <f t="shared" si="324"/>
        <v>RIV</v>
      </c>
      <c r="D5122">
        <v>27</v>
      </c>
      <c r="E5122" t="str">
        <f t="shared" si="323"/>
        <v>1709</v>
      </c>
      <c r="F5122" t="str">
        <f>"86"</f>
        <v>86</v>
      </c>
    </row>
    <row r="5123" spans="1:6">
      <c r="A5123" t="str">
        <f>"E1246-86"</f>
        <v>E1246-86</v>
      </c>
      <c r="B5123" t="str">
        <f t="shared" si="325"/>
        <v>VIA A. P. CECHOV  6-</v>
      </c>
      <c r="C5123" t="str">
        <f t="shared" si="324"/>
        <v>RIV</v>
      </c>
      <c r="D5123">
        <v>27</v>
      </c>
      <c r="E5123" t="str">
        <f t="shared" si="323"/>
        <v>1709</v>
      </c>
      <c r="F5123" t="str">
        <f>"87"</f>
        <v>87</v>
      </c>
    </row>
    <row r="5124" spans="1:6">
      <c r="A5124" t="str">
        <f>"E1246-87"</f>
        <v>E1246-87</v>
      </c>
      <c r="B5124" t="str">
        <f t="shared" si="325"/>
        <v>VIA A. P. CECHOV  6-</v>
      </c>
      <c r="C5124" t="str">
        <f t="shared" si="324"/>
        <v>RIV</v>
      </c>
      <c r="D5124">
        <v>27</v>
      </c>
      <c r="E5124" t="str">
        <f t="shared" si="323"/>
        <v>1709</v>
      </c>
      <c r="F5124" t="str">
        <f>"88"</f>
        <v>88</v>
      </c>
    </row>
    <row r="5125" spans="1:6">
      <c r="A5125" t="str">
        <f>"E1246-88"</f>
        <v>E1246-88</v>
      </c>
      <c r="B5125" t="str">
        <f t="shared" si="325"/>
        <v>VIA A. P. CECHOV  6-</v>
      </c>
      <c r="C5125" t="str">
        <f t="shared" si="324"/>
        <v>RIV</v>
      </c>
      <c r="D5125">
        <v>27</v>
      </c>
      <c r="E5125" t="str">
        <f t="shared" si="323"/>
        <v>1709</v>
      </c>
      <c r="F5125" t="str">
        <f>"89"</f>
        <v>89</v>
      </c>
    </row>
    <row r="5126" spans="1:6">
      <c r="A5126" t="str">
        <f>"E1246-89"</f>
        <v>E1246-89</v>
      </c>
      <c r="B5126" t="str">
        <f t="shared" si="325"/>
        <v>VIA A. P. CECHOV  6-</v>
      </c>
      <c r="C5126" t="str">
        <f t="shared" si="324"/>
        <v>RIV</v>
      </c>
      <c r="D5126">
        <v>27</v>
      </c>
      <c r="E5126" t="str">
        <f t="shared" si="323"/>
        <v>1709</v>
      </c>
      <c r="F5126" t="str">
        <f>"90"</f>
        <v>90</v>
      </c>
    </row>
    <row r="5127" spans="1:6">
      <c r="A5127" t="str">
        <f>"E1246-90"</f>
        <v>E1246-90</v>
      </c>
      <c r="B5127" t="str">
        <f t="shared" si="325"/>
        <v>VIA A. P. CECHOV  6-</v>
      </c>
      <c r="C5127" t="str">
        <f t="shared" si="324"/>
        <v>RIV</v>
      </c>
      <c r="D5127">
        <v>27</v>
      </c>
      <c r="E5127" t="str">
        <f t="shared" si="323"/>
        <v>1709</v>
      </c>
      <c r="F5127" t="str">
        <f>"91"</f>
        <v>91</v>
      </c>
    </row>
    <row r="5128" spans="1:6">
      <c r="A5128" t="str">
        <f>"E1246-91"</f>
        <v>E1246-91</v>
      </c>
      <c r="B5128" t="str">
        <f t="shared" si="325"/>
        <v>VIA A. P. CECHOV  6-</v>
      </c>
      <c r="C5128" t="str">
        <f t="shared" si="324"/>
        <v>RIV</v>
      </c>
      <c r="D5128">
        <v>27</v>
      </c>
      <c r="E5128" t="str">
        <f t="shared" si="323"/>
        <v>1709</v>
      </c>
      <c r="F5128" t="str">
        <f>"92"</f>
        <v>92</v>
      </c>
    </row>
    <row r="5129" spans="1:6">
      <c r="A5129" t="str">
        <f>"E1246-92"</f>
        <v>E1246-92</v>
      </c>
      <c r="B5129" t="str">
        <f t="shared" si="325"/>
        <v>VIA A. P. CECHOV  6-</v>
      </c>
      <c r="C5129" t="str">
        <f t="shared" si="324"/>
        <v>RIV</v>
      </c>
      <c r="D5129">
        <v>27</v>
      </c>
      <c r="E5129" t="str">
        <f t="shared" si="323"/>
        <v>1709</v>
      </c>
      <c r="F5129" t="str">
        <f>"93"</f>
        <v>93</v>
      </c>
    </row>
    <row r="5130" spans="1:6">
      <c r="A5130" t="str">
        <f>"E1246-93"</f>
        <v>E1246-93</v>
      </c>
      <c r="B5130" t="str">
        <f t="shared" si="325"/>
        <v>VIA A. P. CECHOV  6-</v>
      </c>
      <c r="C5130" t="str">
        <f t="shared" si="324"/>
        <v>RIV</v>
      </c>
      <c r="D5130">
        <v>27</v>
      </c>
      <c r="E5130" t="str">
        <f t="shared" si="323"/>
        <v>1709</v>
      </c>
      <c r="F5130" t="str">
        <f>"94"</f>
        <v>94</v>
      </c>
    </row>
    <row r="5131" spans="1:6">
      <c r="A5131" t="str">
        <f>"E1246-94"</f>
        <v>E1246-94</v>
      </c>
      <c r="B5131" t="str">
        <f t="shared" si="325"/>
        <v>VIA A. P. CECHOV  6-</v>
      </c>
      <c r="C5131" t="str">
        <f t="shared" si="324"/>
        <v>RIV</v>
      </c>
      <c r="D5131">
        <v>27</v>
      </c>
      <c r="E5131" t="str">
        <f t="shared" si="323"/>
        <v>1709</v>
      </c>
      <c r="F5131" t="str">
        <f>"95"</f>
        <v>95</v>
      </c>
    </row>
    <row r="5132" spans="1:6">
      <c r="A5132" t="str">
        <f>"E1246-95"</f>
        <v>E1246-95</v>
      </c>
      <c r="B5132" t="str">
        <f t="shared" si="325"/>
        <v>VIA A. P. CECHOV  6-</v>
      </c>
      <c r="C5132" t="str">
        <f t="shared" si="324"/>
        <v>RIV</v>
      </c>
      <c r="D5132">
        <v>27</v>
      </c>
      <c r="E5132" t="str">
        <f t="shared" si="323"/>
        <v>1709</v>
      </c>
      <c r="F5132" t="str">
        <f>"96"</f>
        <v>96</v>
      </c>
    </row>
    <row r="5133" spans="1:6">
      <c r="A5133" t="str">
        <f>"E1246-96"</f>
        <v>E1246-96</v>
      </c>
      <c r="B5133" t="str">
        <f t="shared" si="325"/>
        <v>VIA A. P. CECHOV  6-</v>
      </c>
      <c r="C5133" t="str">
        <f t="shared" si="324"/>
        <v>RIV</v>
      </c>
      <c r="D5133">
        <v>27</v>
      </c>
      <c r="E5133" t="str">
        <f t="shared" si="323"/>
        <v>1709</v>
      </c>
      <c r="F5133" t="str">
        <f>"97"</f>
        <v>97</v>
      </c>
    </row>
    <row r="5134" spans="1:6">
      <c r="A5134" t="str">
        <f>"E1246-97"</f>
        <v>E1246-97</v>
      </c>
      <c r="B5134" t="str">
        <f t="shared" si="325"/>
        <v>VIA A. P. CECHOV  6-</v>
      </c>
      <c r="C5134" t="str">
        <f t="shared" si="324"/>
        <v>RIV</v>
      </c>
      <c r="D5134">
        <v>27</v>
      </c>
      <c r="E5134" t="str">
        <f t="shared" ref="E5134:E5165" si="326">"1709"</f>
        <v>1709</v>
      </c>
      <c r="F5134" t="str">
        <f>"98"</f>
        <v>98</v>
      </c>
    </row>
    <row r="5135" spans="1:6">
      <c r="A5135" t="str">
        <f>"E1246-98"</f>
        <v>E1246-98</v>
      </c>
      <c r="B5135" t="str">
        <f t="shared" si="325"/>
        <v>VIA A. P. CECHOV  6-</v>
      </c>
      <c r="C5135" t="str">
        <f t="shared" si="324"/>
        <v>RIV</v>
      </c>
      <c r="D5135">
        <v>27</v>
      </c>
      <c r="E5135" t="str">
        <f t="shared" si="326"/>
        <v>1709</v>
      </c>
      <c r="F5135" t="str">
        <f>"99"</f>
        <v>99</v>
      </c>
    </row>
    <row r="5136" spans="1:6">
      <c r="A5136" t="str">
        <f>"E1246-99"</f>
        <v>E1246-99</v>
      </c>
      <c r="B5136" t="str">
        <f t="shared" si="325"/>
        <v>VIA A. P. CECHOV  6-</v>
      </c>
      <c r="C5136" t="str">
        <f t="shared" si="324"/>
        <v>RIV</v>
      </c>
      <c r="D5136">
        <v>27</v>
      </c>
      <c r="E5136" t="str">
        <f t="shared" si="326"/>
        <v>1709</v>
      </c>
      <c r="F5136" t="str">
        <f>"100"</f>
        <v>100</v>
      </c>
    </row>
    <row r="5137" spans="1:6">
      <c r="A5137" t="str">
        <f>"E1246-100"</f>
        <v>E1246-100</v>
      </c>
      <c r="B5137" t="str">
        <f t="shared" si="325"/>
        <v>VIA A. P. CECHOV  6-</v>
      </c>
      <c r="C5137" t="str">
        <f t="shared" si="324"/>
        <v>RIV</v>
      </c>
      <c r="D5137">
        <v>27</v>
      </c>
      <c r="E5137" t="str">
        <f t="shared" si="326"/>
        <v>1709</v>
      </c>
      <c r="F5137" t="str">
        <f>"101"</f>
        <v>101</v>
      </c>
    </row>
    <row r="5138" spans="1:6">
      <c r="A5138" t="str">
        <f>"E1246-101"</f>
        <v>E1246-101</v>
      </c>
      <c r="B5138" t="str">
        <f t="shared" si="325"/>
        <v>VIA A. P. CECHOV  6-</v>
      </c>
      <c r="C5138" t="str">
        <f t="shared" si="324"/>
        <v>RIV</v>
      </c>
      <c r="D5138">
        <v>27</v>
      </c>
      <c r="E5138" t="str">
        <f t="shared" si="326"/>
        <v>1709</v>
      </c>
      <c r="F5138" t="str">
        <f>"102"</f>
        <v>102</v>
      </c>
    </row>
    <row r="5139" spans="1:6">
      <c r="A5139" t="str">
        <f>"E1246-102"</f>
        <v>E1246-102</v>
      </c>
      <c r="B5139" t="str">
        <f t="shared" ref="B5139:B5152" si="327">"VIA A. P. CECHOV  4-"</f>
        <v>VIA A. P. CECHOV  4-</v>
      </c>
      <c r="C5139" t="str">
        <f t="shared" si="324"/>
        <v>RIV</v>
      </c>
      <c r="D5139">
        <v>27</v>
      </c>
      <c r="E5139" t="str">
        <f t="shared" si="326"/>
        <v>1709</v>
      </c>
      <c r="F5139" t="str">
        <f>"103"</f>
        <v>103</v>
      </c>
    </row>
    <row r="5140" spans="1:6">
      <c r="A5140" t="str">
        <f>"E1246-103"</f>
        <v>E1246-103</v>
      </c>
      <c r="B5140" t="str">
        <f t="shared" si="327"/>
        <v>VIA A. P. CECHOV  4-</v>
      </c>
      <c r="C5140" t="str">
        <f t="shared" si="324"/>
        <v>RIV</v>
      </c>
      <c r="D5140">
        <v>27</v>
      </c>
      <c r="E5140" t="str">
        <f t="shared" si="326"/>
        <v>1709</v>
      </c>
      <c r="F5140" t="str">
        <f>"104"</f>
        <v>104</v>
      </c>
    </row>
    <row r="5141" spans="1:6">
      <c r="A5141" t="str">
        <f>"E1246-104"</f>
        <v>E1246-104</v>
      </c>
      <c r="B5141" t="str">
        <f t="shared" si="327"/>
        <v>VIA A. P. CECHOV  4-</v>
      </c>
      <c r="C5141" t="str">
        <f t="shared" si="324"/>
        <v>RIV</v>
      </c>
      <c r="D5141">
        <v>27</v>
      </c>
      <c r="E5141" t="str">
        <f t="shared" si="326"/>
        <v>1709</v>
      </c>
      <c r="F5141" t="str">
        <f>"0000"</f>
        <v>0000</v>
      </c>
    </row>
    <row r="5142" spans="1:6">
      <c r="A5142" t="str">
        <f>"E1246-105"</f>
        <v>E1246-105</v>
      </c>
      <c r="B5142" t="str">
        <f t="shared" si="327"/>
        <v>VIA A. P. CECHOV  4-</v>
      </c>
      <c r="C5142" t="str">
        <f t="shared" si="324"/>
        <v>RIV</v>
      </c>
      <c r="D5142">
        <v>27</v>
      </c>
      <c r="E5142" t="str">
        <f t="shared" si="326"/>
        <v>1709</v>
      </c>
      <c r="F5142" t="str">
        <f>"106"</f>
        <v>106</v>
      </c>
    </row>
    <row r="5143" spans="1:6">
      <c r="A5143" t="str">
        <f>"E1246-106"</f>
        <v>E1246-106</v>
      </c>
      <c r="B5143" t="str">
        <f t="shared" si="327"/>
        <v>VIA A. P. CECHOV  4-</v>
      </c>
      <c r="C5143" t="str">
        <f t="shared" si="324"/>
        <v>RIV</v>
      </c>
      <c r="D5143">
        <v>27</v>
      </c>
      <c r="E5143" t="str">
        <f t="shared" si="326"/>
        <v>1709</v>
      </c>
      <c r="F5143" t="str">
        <f>"107"</f>
        <v>107</v>
      </c>
    </row>
    <row r="5144" spans="1:6">
      <c r="A5144" t="str">
        <f>"E1246-107"</f>
        <v>E1246-107</v>
      </c>
      <c r="B5144" t="str">
        <f t="shared" si="327"/>
        <v>VIA A. P. CECHOV  4-</v>
      </c>
      <c r="C5144" t="str">
        <f t="shared" si="324"/>
        <v>RIV</v>
      </c>
      <c r="D5144">
        <v>27</v>
      </c>
      <c r="E5144" t="str">
        <f t="shared" si="326"/>
        <v>1709</v>
      </c>
      <c r="F5144" t="str">
        <f>"108"</f>
        <v>108</v>
      </c>
    </row>
    <row r="5145" spans="1:6">
      <c r="A5145" t="str">
        <f>"E1246-108"</f>
        <v>E1246-108</v>
      </c>
      <c r="B5145" t="str">
        <f t="shared" si="327"/>
        <v>VIA A. P. CECHOV  4-</v>
      </c>
      <c r="C5145" t="str">
        <f t="shared" si="324"/>
        <v>RIV</v>
      </c>
      <c r="D5145">
        <v>27</v>
      </c>
      <c r="E5145" t="str">
        <f t="shared" si="326"/>
        <v>1709</v>
      </c>
      <c r="F5145" t="str">
        <f>"109"</f>
        <v>109</v>
      </c>
    </row>
    <row r="5146" spans="1:6">
      <c r="A5146" t="str">
        <f>"E1246-109"</f>
        <v>E1246-109</v>
      </c>
      <c r="B5146" t="str">
        <f t="shared" si="327"/>
        <v>VIA A. P. CECHOV  4-</v>
      </c>
      <c r="C5146" t="str">
        <f t="shared" si="324"/>
        <v>RIV</v>
      </c>
      <c r="D5146">
        <v>27</v>
      </c>
      <c r="E5146" t="str">
        <f t="shared" si="326"/>
        <v>1709</v>
      </c>
      <c r="F5146" t="str">
        <f>"110"</f>
        <v>110</v>
      </c>
    </row>
    <row r="5147" spans="1:6">
      <c r="A5147" t="str">
        <f>"E1246-110"</f>
        <v>E1246-110</v>
      </c>
      <c r="B5147" t="str">
        <f t="shared" si="327"/>
        <v>VIA A. P. CECHOV  4-</v>
      </c>
      <c r="C5147" t="str">
        <f t="shared" si="324"/>
        <v>RIV</v>
      </c>
      <c r="D5147">
        <v>27</v>
      </c>
      <c r="E5147" t="str">
        <f t="shared" si="326"/>
        <v>1709</v>
      </c>
      <c r="F5147" t="str">
        <f>"111"</f>
        <v>111</v>
      </c>
    </row>
    <row r="5148" spans="1:6">
      <c r="A5148" t="str">
        <f>"E1246-111"</f>
        <v>E1246-111</v>
      </c>
      <c r="B5148" t="str">
        <f t="shared" si="327"/>
        <v>VIA A. P. CECHOV  4-</v>
      </c>
      <c r="C5148" t="str">
        <f t="shared" si="324"/>
        <v>RIV</v>
      </c>
      <c r="D5148">
        <v>27</v>
      </c>
      <c r="E5148" t="str">
        <f t="shared" si="326"/>
        <v>1709</v>
      </c>
      <c r="F5148" t="str">
        <f>"112"</f>
        <v>112</v>
      </c>
    </row>
    <row r="5149" spans="1:6">
      <c r="A5149" t="str">
        <f>"E1246-112"</f>
        <v>E1246-112</v>
      </c>
      <c r="B5149" t="str">
        <f t="shared" si="327"/>
        <v>VIA A. P. CECHOV  4-</v>
      </c>
      <c r="C5149" t="str">
        <f t="shared" si="324"/>
        <v>RIV</v>
      </c>
      <c r="D5149">
        <v>27</v>
      </c>
      <c r="E5149" t="str">
        <f t="shared" si="326"/>
        <v>1709</v>
      </c>
      <c r="F5149" t="str">
        <f>"113"</f>
        <v>113</v>
      </c>
    </row>
    <row r="5150" spans="1:6">
      <c r="A5150" t="str">
        <f>"E1246-113"</f>
        <v>E1246-113</v>
      </c>
      <c r="B5150" t="str">
        <f t="shared" si="327"/>
        <v>VIA A. P. CECHOV  4-</v>
      </c>
      <c r="C5150" t="str">
        <f t="shared" si="324"/>
        <v>RIV</v>
      </c>
      <c r="D5150">
        <v>27</v>
      </c>
      <c r="E5150" t="str">
        <f t="shared" si="326"/>
        <v>1709</v>
      </c>
      <c r="F5150" t="str">
        <f>"114"</f>
        <v>114</v>
      </c>
    </row>
    <row r="5151" spans="1:6">
      <c r="A5151" t="str">
        <f>"E1246-114"</f>
        <v>E1246-114</v>
      </c>
      <c r="B5151" t="str">
        <f t="shared" si="327"/>
        <v>VIA A. P. CECHOV  4-</v>
      </c>
      <c r="C5151" t="str">
        <f t="shared" si="324"/>
        <v>RIV</v>
      </c>
      <c r="D5151">
        <v>27</v>
      </c>
      <c r="E5151" t="str">
        <f t="shared" si="326"/>
        <v>1709</v>
      </c>
      <c r="F5151" t="str">
        <f>"115"</f>
        <v>115</v>
      </c>
    </row>
    <row r="5152" spans="1:6">
      <c r="A5152" t="str">
        <f>"E1246-115"</f>
        <v>E1246-115</v>
      </c>
      <c r="B5152" t="str">
        <f t="shared" si="327"/>
        <v>VIA A. P. CECHOV  4-</v>
      </c>
      <c r="C5152" t="str">
        <f t="shared" si="324"/>
        <v>RIV</v>
      </c>
      <c r="D5152">
        <v>27</v>
      </c>
      <c r="E5152" t="str">
        <f t="shared" si="326"/>
        <v>1709</v>
      </c>
      <c r="F5152" t="str">
        <f>"116"</f>
        <v>116</v>
      </c>
    </row>
    <row r="5153" spans="1:6">
      <c r="A5153" t="str">
        <f>"E1246-116"</f>
        <v>E1246-116</v>
      </c>
      <c r="B5153" t="str">
        <f t="shared" ref="B5153:B5168" si="328">"VIA A. P. CECHOV  1-"</f>
        <v>VIA A. P. CECHOV  1-</v>
      </c>
      <c r="C5153" t="str">
        <f t="shared" si="324"/>
        <v>RIV</v>
      </c>
      <c r="D5153">
        <v>27</v>
      </c>
      <c r="E5153" t="str">
        <f t="shared" si="326"/>
        <v>1709</v>
      </c>
      <c r="F5153" t="str">
        <f>"117"</f>
        <v>117</v>
      </c>
    </row>
    <row r="5154" spans="1:6">
      <c r="A5154" t="str">
        <f>"E1246-117"</f>
        <v>E1246-117</v>
      </c>
      <c r="B5154" t="str">
        <f t="shared" si="328"/>
        <v>VIA A. P. CECHOV  1-</v>
      </c>
      <c r="C5154" t="str">
        <f t="shared" si="324"/>
        <v>RIV</v>
      </c>
      <c r="D5154">
        <v>27</v>
      </c>
      <c r="E5154" t="str">
        <f t="shared" si="326"/>
        <v>1709</v>
      </c>
      <c r="F5154" t="str">
        <f>"118"</f>
        <v>118</v>
      </c>
    </row>
    <row r="5155" spans="1:6">
      <c r="A5155" t="str">
        <f>"E1246-118"</f>
        <v>E1246-118</v>
      </c>
      <c r="B5155" t="str">
        <f t="shared" si="328"/>
        <v>VIA A. P. CECHOV  1-</v>
      </c>
      <c r="C5155" t="str">
        <f t="shared" si="324"/>
        <v>RIV</v>
      </c>
      <c r="D5155">
        <v>27</v>
      </c>
      <c r="E5155" t="str">
        <f t="shared" si="326"/>
        <v>1709</v>
      </c>
      <c r="F5155" t="str">
        <f>"119"</f>
        <v>119</v>
      </c>
    </row>
    <row r="5156" spans="1:6">
      <c r="A5156" t="str">
        <f>"E1246-119"</f>
        <v>E1246-119</v>
      </c>
      <c r="B5156" t="str">
        <f t="shared" si="328"/>
        <v>VIA A. P. CECHOV  1-</v>
      </c>
      <c r="C5156" t="str">
        <f t="shared" si="324"/>
        <v>RIV</v>
      </c>
      <c r="D5156">
        <v>27</v>
      </c>
      <c r="E5156" t="str">
        <f t="shared" si="326"/>
        <v>1709</v>
      </c>
      <c r="F5156" t="str">
        <f>"120"</f>
        <v>120</v>
      </c>
    </row>
    <row r="5157" spans="1:6">
      <c r="A5157" t="str">
        <f>"E1246-120"</f>
        <v>E1246-120</v>
      </c>
      <c r="B5157" t="str">
        <f t="shared" si="328"/>
        <v>VIA A. P. CECHOV  1-</v>
      </c>
      <c r="C5157" t="str">
        <f t="shared" si="324"/>
        <v>RIV</v>
      </c>
      <c r="D5157">
        <v>27</v>
      </c>
      <c r="E5157" t="str">
        <f t="shared" si="326"/>
        <v>1709</v>
      </c>
      <c r="F5157" t="str">
        <f>"121"</f>
        <v>121</v>
      </c>
    </row>
    <row r="5158" spans="1:6">
      <c r="A5158" t="str">
        <f>"E1246-121"</f>
        <v>E1246-121</v>
      </c>
      <c r="B5158" t="str">
        <f t="shared" si="328"/>
        <v>VIA A. P. CECHOV  1-</v>
      </c>
      <c r="C5158" t="str">
        <f t="shared" si="324"/>
        <v>RIV</v>
      </c>
      <c r="D5158">
        <v>27</v>
      </c>
      <c r="E5158" t="str">
        <f t="shared" si="326"/>
        <v>1709</v>
      </c>
      <c r="F5158" t="str">
        <f>"122"</f>
        <v>122</v>
      </c>
    </row>
    <row r="5159" spans="1:6">
      <c r="A5159" t="str">
        <f>"E1246-122"</f>
        <v>E1246-122</v>
      </c>
      <c r="B5159" t="str">
        <f t="shared" si="328"/>
        <v>VIA A. P. CECHOV  1-</v>
      </c>
      <c r="C5159" t="str">
        <f t="shared" si="324"/>
        <v>RIV</v>
      </c>
      <c r="D5159">
        <v>27</v>
      </c>
      <c r="E5159" t="str">
        <f t="shared" si="326"/>
        <v>1709</v>
      </c>
      <c r="F5159" t="str">
        <f>"123"</f>
        <v>123</v>
      </c>
    </row>
    <row r="5160" spans="1:6">
      <c r="A5160" t="str">
        <f>"E1246-123"</f>
        <v>E1246-123</v>
      </c>
      <c r="B5160" t="str">
        <f t="shared" si="328"/>
        <v>VIA A. P. CECHOV  1-</v>
      </c>
      <c r="C5160" t="str">
        <f t="shared" si="324"/>
        <v>RIV</v>
      </c>
      <c r="D5160">
        <v>27</v>
      </c>
      <c r="E5160" t="str">
        <f t="shared" si="326"/>
        <v>1709</v>
      </c>
      <c r="F5160" t="str">
        <f>"124"</f>
        <v>124</v>
      </c>
    </row>
    <row r="5161" spans="1:6">
      <c r="A5161" t="str">
        <f>"E1246-124"</f>
        <v>E1246-124</v>
      </c>
      <c r="B5161" t="str">
        <f t="shared" si="328"/>
        <v>VIA A. P. CECHOV  1-</v>
      </c>
      <c r="C5161" t="str">
        <f t="shared" si="324"/>
        <v>RIV</v>
      </c>
      <c r="D5161">
        <v>27</v>
      </c>
      <c r="E5161" t="str">
        <f t="shared" si="326"/>
        <v>1709</v>
      </c>
      <c r="F5161" t="str">
        <f>"125"</f>
        <v>125</v>
      </c>
    </row>
    <row r="5162" spans="1:6">
      <c r="A5162" t="str">
        <f>"E1246-125"</f>
        <v>E1246-125</v>
      </c>
      <c r="B5162" t="str">
        <f t="shared" si="328"/>
        <v>VIA A. P. CECHOV  1-</v>
      </c>
      <c r="C5162" t="str">
        <f t="shared" si="324"/>
        <v>RIV</v>
      </c>
      <c r="D5162">
        <v>27</v>
      </c>
      <c r="E5162" t="str">
        <f t="shared" si="326"/>
        <v>1709</v>
      </c>
      <c r="F5162" t="str">
        <f>"126"</f>
        <v>126</v>
      </c>
    </row>
    <row r="5163" spans="1:6">
      <c r="A5163" t="str">
        <f>"E1246-126"</f>
        <v>E1246-126</v>
      </c>
      <c r="B5163" t="str">
        <f t="shared" si="328"/>
        <v>VIA A. P. CECHOV  1-</v>
      </c>
      <c r="C5163" t="str">
        <f t="shared" si="324"/>
        <v>RIV</v>
      </c>
      <c r="D5163">
        <v>27</v>
      </c>
      <c r="E5163" t="str">
        <f t="shared" si="326"/>
        <v>1709</v>
      </c>
      <c r="F5163" t="str">
        <f>"127"</f>
        <v>127</v>
      </c>
    </row>
    <row r="5164" spans="1:6">
      <c r="A5164" t="str">
        <f>"E1246-127"</f>
        <v>E1246-127</v>
      </c>
      <c r="B5164" t="str">
        <f t="shared" si="328"/>
        <v>VIA A. P. CECHOV  1-</v>
      </c>
      <c r="C5164" t="str">
        <f t="shared" si="324"/>
        <v>RIV</v>
      </c>
      <c r="D5164">
        <v>27</v>
      </c>
      <c r="E5164" t="str">
        <f t="shared" si="326"/>
        <v>1709</v>
      </c>
      <c r="F5164" t="str">
        <f>"128"</f>
        <v>128</v>
      </c>
    </row>
    <row r="5165" spans="1:6">
      <c r="A5165" t="str">
        <f>"E1246-128"</f>
        <v>E1246-128</v>
      </c>
      <c r="B5165" t="str">
        <f t="shared" si="328"/>
        <v>VIA A. P. CECHOV  1-</v>
      </c>
      <c r="C5165" t="str">
        <f t="shared" si="324"/>
        <v>RIV</v>
      </c>
      <c r="D5165">
        <v>27</v>
      </c>
      <c r="E5165" t="str">
        <f t="shared" si="326"/>
        <v>1709</v>
      </c>
      <c r="F5165" t="str">
        <f>"129"</f>
        <v>129</v>
      </c>
    </row>
    <row r="5166" spans="1:6">
      <c r="A5166" t="str">
        <f>"E1246-129"</f>
        <v>E1246-129</v>
      </c>
      <c r="B5166" t="str">
        <f t="shared" si="328"/>
        <v>VIA A. P. CECHOV  1-</v>
      </c>
      <c r="C5166" t="str">
        <f t="shared" si="324"/>
        <v>RIV</v>
      </c>
      <c r="D5166">
        <v>27</v>
      </c>
      <c r="E5166" t="str">
        <f t="shared" ref="E5166:E5197" si="329">"1709"</f>
        <v>1709</v>
      </c>
      <c r="F5166" t="str">
        <f>"130"</f>
        <v>130</v>
      </c>
    </row>
    <row r="5167" spans="1:6">
      <c r="A5167" t="str">
        <f>"E1246-130"</f>
        <v>E1246-130</v>
      </c>
      <c r="B5167" t="str">
        <f t="shared" si="328"/>
        <v>VIA A. P. CECHOV  1-</v>
      </c>
      <c r="C5167" t="str">
        <f t="shared" si="324"/>
        <v>RIV</v>
      </c>
      <c r="D5167">
        <v>27</v>
      </c>
      <c r="E5167" t="str">
        <f t="shared" si="329"/>
        <v>1709</v>
      </c>
      <c r="F5167" t="str">
        <f>"131"</f>
        <v>131</v>
      </c>
    </row>
    <row r="5168" spans="1:6">
      <c r="A5168" t="str">
        <f>"E1246-131"</f>
        <v>E1246-131</v>
      </c>
      <c r="B5168" t="str">
        <f t="shared" si="328"/>
        <v>VIA A. P. CECHOV  1-</v>
      </c>
      <c r="C5168" t="str">
        <f t="shared" si="324"/>
        <v>RIV</v>
      </c>
      <c r="D5168">
        <v>27</v>
      </c>
      <c r="E5168" t="str">
        <f t="shared" si="329"/>
        <v>1709</v>
      </c>
      <c r="F5168" t="str">
        <f>"132"</f>
        <v>132</v>
      </c>
    </row>
    <row r="5169" spans="1:6">
      <c r="A5169" t="str">
        <f>"E1246-132"</f>
        <v>E1246-132</v>
      </c>
      <c r="B5169" t="str">
        <f t="shared" ref="B5169:B5180" si="330">"VIA A. P. CECHOV  10-"</f>
        <v>VIA A. P. CECHOV  10-</v>
      </c>
      <c r="C5169" t="str">
        <f t="shared" si="324"/>
        <v>RIV</v>
      </c>
      <c r="D5169">
        <v>27</v>
      </c>
      <c r="E5169" t="str">
        <f t="shared" si="329"/>
        <v>1709</v>
      </c>
      <c r="F5169" t="str">
        <f>"133"</f>
        <v>133</v>
      </c>
    </row>
    <row r="5170" spans="1:6">
      <c r="A5170" t="str">
        <f>"E1246-133"</f>
        <v>E1246-133</v>
      </c>
      <c r="B5170" t="str">
        <f t="shared" si="330"/>
        <v>VIA A. P. CECHOV  10-</v>
      </c>
      <c r="C5170" t="str">
        <f t="shared" si="324"/>
        <v>RIV</v>
      </c>
      <c r="D5170">
        <v>27</v>
      </c>
      <c r="E5170" t="str">
        <f t="shared" si="329"/>
        <v>1709</v>
      </c>
      <c r="F5170" t="str">
        <f>"134"</f>
        <v>134</v>
      </c>
    </row>
    <row r="5171" spans="1:6">
      <c r="A5171" t="str">
        <f>"E1246-134"</f>
        <v>E1246-134</v>
      </c>
      <c r="B5171" t="str">
        <f t="shared" si="330"/>
        <v>VIA A. P. CECHOV  10-</v>
      </c>
      <c r="C5171" t="str">
        <f t="shared" si="324"/>
        <v>RIV</v>
      </c>
      <c r="D5171">
        <v>27</v>
      </c>
      <c r="E5171" t="str">
        <f t="shared" si="329"/>
        <v>1709</v>
      </c>
      <c r="F5171" t="str">
        <f>"135"</f>
        <v>135</v>
      </c>
    </row>
    <row r="5172" spans="1:6">
      <c r="A5172" t="str">
        <f>"E1246-135"</f>
        <v>E1246-135</v>
      </c>
      <c r="B5172" t="str">
        <f t="shared" si="330"/>
        <v>VIA A. P. CECHOV  10-</v>
      </c>
      <c r="C5172" t="str">
        <f t="shared" si="324"/>
        <v>RIV</v>
      </c>
      <c r="D5172">
        <v>27</v>
      </c>
      <c r="E5172" t="str">
        <f t="shared" si="329"/>
        <v>1709</v>
      </c>
      <c r="F5172" t="str">
        <f>"136"</f>
        <v>136</v>
      </c>
    </row>
    <row r="5173" spans="1:6">
      <c r="A5173" t="str">
        <f>"E1246-136"</f>
        <v>E1246-136</v>
      </c>
      <c r="B5173" t="str">
        <f t="shared" si="330"/>
        <v>VIA A. P. CECHOV  10-</v>
      </c>
      <c r="C5173" t="str">
        <f t="shared" ref="C5173:C5236" si="331">"RIV"</f>
        <v>RIV</v>
      </c>
      <c r="D5173">
        <v>27</v>
      </c>
      <c r="E5173" t="str">
        <f t="shared" si="329"/>
        <v>1709</v>
      </c>
      <c r="F5173" t="str">
        <f>"137"</f>
        <v>137</v>
      </c>
    </row>
    <row r="5174" spans="1:6">
      <c r="A5174" t="str">
        <f>"E1246-137"</f>
        <v>E1246-137</v>
      </c>
      <c r="B5174" t="str">
        <f t="shared" si="330"/>
        <v>VIA A. P. CECHOV  10-</v>
      </c>
      <c r="C5174" t="str">
        <f t="shared" si="331"/>
        <v>RIV</v>
      </c>
      <c r="D5174">
        <v>27</v>
      </c>
      <c r="E5174" t="str">
        <f t="shared" si="329"/>
        <v>1709</v>
      </c>
      <c r="F5174" t="str">
        <f>"138"</f>
        <v>138</v>
      </c>
    </row>
    <row r="5175" spans="1:6">
      <c r="A5175" t="str">
        <f>"E1246-138"</f>
        <v>E1246-138</v>
      </c>
      <c r="B5175" t="str">
        <f t="shared" si="330"/>
        <v>VIA A. P. CECHOV  10-</v>
      </c>
      <c r="C5175" t="str">
        <f t="shared" si="331"/>
        <v>RIV</v>
      </c>
      <c r="D5175">
        <v>27</v>
      </c>
      <c r="E5175" t="str">
        <f t="shared" si="329"/>
        <v>1709</v>
      </c>
      <c r="F5175" t="str">
        <f>"139"</f>
        <v>139</v>
      </c>
    </row>
    <row r="5176" spans="1:6">
      <c r="A5176" t="str">
        <f>"E1246-139"</f>
        <v>E1246-139</v>
      </c>
      <c r="B5176" t="str">
        <f t="shared" si="330"/>
        <v>VIA A. P. CECHOV  10-</v>
      </c>
      <c r="C5176" t="str">
        <f t="shared" si="331"/>
        <v>RIV</v>
      </c>
      <c r="D5176">
        <v>27</v>
      </c>
      <c r="E5176" t="str">
        <f t="shared" si="329"/>
        <v>1709</v>
      </c>
      <c r="F5176" t="str">
        <f>"140"</f>
        <v>140</v>
      </c>
    </row>
    <row r="5177" spans="1:6">
      <c r="A5177" t="str">
        <f>"E1246-140"</f>
        <v>E1246-140</v>
      </c>
      <c r="B5177" t="str">
        <f t="shared" si="330"/>
        <v>VIA A. P. CECHOV  10-</v>
      </c>
      <c r="C5177" t="str">
        <f t="shared" si="331"/>
        <v>RIV</v>
      </c>
      <c r="D5177">
        <v>27</v>
      </c>
      <c r="E5177" t="str">
        <f t="shared" si="329"/>
        <v>1709</v>
      </c>
      <c r="F5177" t="str">
        <f>"141"</f>
        <v>141</v>
      </c>
    </row>
    <row r="5178" spans="1:6">
      <c r="A5178" t="str">
        <f>"E1246-141"</f>
        <v>E1246-141</v>
      </c>
      <c r="B5178" t="str">
        <f t="shared" si="330"/>
        <v>VIA A. P. CECHOV  10-</v>
      </c>
      <c r="C5178" t="str">
        <f t="shared" si="331"/>
        <v>RIV</v>
      </c>
      <c r="D5178">
        <v>27</v>
      </c>
      <c r="E5178" t="str">
        <f t="shared" si="329"/>
        <v>1709</v>
      </c>
      <c r="F5178" t="str">
        <f>"142"</f>
        <v>142</v>
      </c>
    </row>
    <row r="5179" spans="1:6">
      <c r="A5179" t="str">
        <f>"E1246-142"</f>
        <v>E1246-142</v>
      </c>
      <c r="B5179" t="str">
        <f t="shared" si="330"/>
        <v>VIA A. P. CECHOV  10-</v>
      </c>
      <c r="C5179" t="str">
        <f t="shared" si="331"/>
        <v>RIV</v>
      </c>
      <c r="D5179">
        <v>27</v>
      </c>
      <c r="E5179" t="str">
        <f t="shared" si="329"/>
        <v>1709</v>
      </c>
      <c r="F5179" t="str">
        <f>"143"</f>
        <v>143</v>
      </c>
    </row>
    <row r="5180" spans="1:6">
      <c r="A5180" t="str">
        <f>"E1246-143"</f>
        <v>E1246-143</v>
      </c>
      <c r="B5180" t="str">
        <f t="shared" si="330"/>
        <v>VIA A. P. CECHOV  10-</v>
      </c>
      <c r="C5180" t="str">
        <f t="shared" si="331"/>
        <v>RIV</v>
      </c>
      <c r="D5180">
        <v>27</v>
      </c>
      <c r="E5180" t="str">
        <f t="shared" si="329"/>
        <v>1709</v>
      </c>
      <c r="F5180" t="str">
        <f>"144"</f>
        <v>144</v>
      </c>
    </row>
    <row r="5181" spans="1:6">
      <c r="A5181" t="str">
        <f>"E1246-144"</f>
        <v>E1246-144</v>
      </c>
      <c r="B5181" t="str">
        <f t="shared" ref="B5181:B5199" si="332">"VIA A. P. CECHOV  12-"</f>
        <v>VIA A. P. CECHOV  12-</v>
      </c>
      <c r="C5181" t="str">
        <f t="shared" si="331"/>
        <v>RIV</v>
      </c>
      <c r="D5181">
        <v>27</v>
      </c>
      <c r="E5181" t="str">
        <f t="shared" si="329"/>
        <v>1709</v>
      </c>
      <c r="F5181" t="str">
        <f>"145"</f>
        <v>145</v>
      </c>
    </row>
    <row r="5182" spans="1:6">
      <c r="A5182" t="str">
        <f>"E1246-145"</f>
        <v>E1246-145</v>
      </c>
      <c r="B5182" t="str">
        <f t="shared" si="332"/>
        <v>VIA A. P. CECHOV  12-</v>
      </c>
      <c r="C5182" t="str">
        <f t="shared" si="331"/>
        <v>RIV</v>
      </c>
      <c r="D5182">
        <v>27</v>
      </c>
      <c r="E5182" t="str">
        <f t="shared" si="329"/>
        <v>1709</v>
      </c>
      <c r="F5182" t="str">
        <f>"146"</f>
        <v>146</v>
      </c>
    </row>
    <row r="5183" spans="1:6">
      <c r="A5183" t="str">
        <f>"E1246-146"</f>
        <v>E1246-146</v>
      </c>
      <c r="B5183" t="str">
        <f t="shared" si="332"/>
        <v>VIA A. P. CECHOV  12-</v>
      </c>
      <c r="C5183" t="str">
        <f t="shared" si="331"/>
        <v>RIV</v>
      </c>
      <c r="D5183">
        <v>27</v>
      </c>
      <c r="E5183" t="str">
        <f t="shared" si="329"/>
        <v>1709</v>
      </c>
      <c r="F5183" t="str">
        <f>"147"</f>
        <v>147</v>
      </c>
    </row>
    <row r="5184" spans="1:6">
      <c r="A5184" t="str">
        <f>"E1246-147"</f>
        <v>E1246-147</v>
      </c>
      <c r="B5184" t="str">
        <f t="shared" si="332"/>
        <v>VIA A. P. CECHOV  12-</v>
      </c>
      <c r="C5184" t="str">
        <f t="shared" si="331"/>
        <v>RIV</v>
      </c>
      <c r="D5184">
        <v>27</v>
      </c>
      <c r="E5184" t="str">
        <f t="shared" si="329"/>
        <v>1709</v>
      </c>
      <c r="F5184" t="str">
        <f>"148"</f>
        <v>148</v>
      </c>
    </row>
    <row r="5185" spans="1:6">
      <c r="A5185" t="str">
        <f>"E1246-148"</f>
        <v>E1246-148</v>
      </c>
      <c r="B5185" t="str">
        <f t="shared" si="332"/>
        <v>VIA A. P. CECHOV  12-</v>
      </c>
      <c r="C5185" t="str">
        <f t="shared" si="331"/>
        <v>RIV</v>
      </c>
      <c r="D5185">
        <v>27</v>
      </c>
      <c r="E5185" t="str">
        <f t="shared" si="329"/>
        <v>1709</v>
      </c>
      <c r="F5185" t="str">
        <f>"149"</f>
        <v>149</v>
      </c>
    </row>
    <row r="5186" spans="1:6">
      <c r="A5186" t="str">
        <f>"E1246-149"</f>
        <v>E1246-149</v>
      </c>
      <c r="B5186" t="str">
        <f t="shared" si="332"/>
        <v>VIA A. P. CECHOV  12-</v>
      </c>
      <c r="C5186" t="str">
        <f t="shared" si="331"/>
        <v>RIV</v>
      </c>
      <c r="D5186">
        <v>27</v>
      </c>
      <c r="E5186" t="str">
        <f t="shared" si="329"/>
        <v>1709</v>
      </c>
      <c r="F5186" t="str">
        <f>"150"</f>
        <v>150</v>
      </c>
    </row>
    <row r="5187" spans="1:6">
      <c r="A5187" t="str">
        <f>"E1246-150"</f>
        <v>E1246-150</v>
      </c>
      <c r="B5187" t="str">
        <f t="shared" si="332"/>
        <v>VIA A. P. CECHOV  12-</v>
      </c>
      <c r="C5187" t="str">
        <f t="shared" si="331"/>
        <v>RIV</v>
      </c>
      <c r="D5187">
        <v>27</v>
      </c>
      <c r="E5187" t="str">
        <f t="shared" si="329"/>
        <v>1709</v>
      </c>
      <c r="F5187" t="str">
        <f>"151"</f>
        <v>151</v>
      </c>
    </row>
    <row r="5188" spans="1:6">
      <c r="A5188" t="str">
        <f>"E1246-151"</f>
        <v>E1246-151</v>
      </c>
      <c r="B5188" t="str">
        <f t="shared" si="332"/>
        <v>VIA A. P. CECHOV  12-</v>
      </c>
      <c r="C5188" t="str">
        <f t="shared" si="331"/>
        <v>RIV</v>
      </c>
      <c r="D5188">
        <v>27</v>
      </c>
      <c r="E5188" t="str">
        <f t="shared" si="329"/>
        <v>1709</v>
      </c>
      <c r="F5188" t="str">
        <f>"152"</f>
        <v>152</v>
      </c>
    </row>
    <row r="5189" spans="1:6">
      <c r="A5189" t="str">
        <f>"E1246-152"</f>
        <v>E1246-152</v>
      </c>
      <c r="B5189" t="str">
        <f t="shared" si="332"/>
        <v>VIA A. P. CECHOV  12-</v>
      </c>
      <c r="C5189" t="str">
        <f t="shared" si="331"/>
        <v>RIV</v>
      </c>
      <c r="D5189">
        <v>27</v>
      </c>
      <c r="E5189" t="str">
        <f t="shared" si="329"/>
        <v>1709</v>
      </c>
      <c r="F5189" t="str">
        <f>"153"</f>
        <v>153</v>
      </c>
    </row>
    <row r="5190" spans="1:6">
      <c r="A5190" t="str">
        <f>"E1246-153"</f>
        <v>E1246-153</v>
      </c>
      <c r="B5190" t="str">
        <f t="shared" si="332"/>
        <v>VIA A. P. CECHOV  12-</v>
      </c>
      <c r="C5190" t="str">
        <f t="shared" si="331"/>
        <v>RIV</v>
      </c>
      <c r="D5190">
        <v>27</v>
      </c>
      <c r="E5190" t="str">
        <f t="shared" si="329"/>
        <v>1709</v>
      </c>
      <c r="F5190" t="str">
        <f>"154"</f>
        <v>154</v>
      </c>
    </row>
    <row r="5191" spans="1:6">
      <c r="A5191" t="str">
        <f>"E1246-154"</f>
        <v>E1246-154</v>
      </c>
      <c r="B5191" t="str">
        <f t="shared" si="332"/>
        <v>VIA A. P. CECHOV  12-</v>
      </c>
      <c r="C5191" t="str">
        <f t="shared" si="331"/>
        <v>RIV</v>
      </c>
      <c r="D5191">
        <v>27</v>
      </c>
      <c r="E5191" t="str">
        <f t="shared" si="329"/>
        <v>1709</v>
      </c>
      <c r="F5191" t="str">
        <f>"155"</f>
        <v>155</v>
      </c>
    </row>
    <row r="5192" spans="1:6">
      <c r="A5192" t="str">
        <f>"E1246-155"</f>
        <v>E1246-155</v>
      </c>
      <c r="B5192" t="str">
        <f t="shared" si="332"/>
        <v>VIA A. P. CECHOV  12-</v>
      </c>
      <c r="C5192" t="str">
        <f t="shared" si="331"/>
        <v>RIV</v>
      </c>
      <c r="D5192">
        <v>27</v>
      </c>
      <c r="E5192" t="str">
        <f t="shared" si="329"/>
        <v>1709</v>
      </c>
      <c r="F5192" t="str">
        <f>"156"</f>
        <v>156</v>
      </c>
    </row>
    <row r="5193" spans="1:6">
      <c r="A5193" t="str">
        <f>"E1246-156"</f>
        <v>E1246-156</v>
      </c>
      <c r="B5193" t="str">
        <f t="shared" si="332"/>
        <v>VIA A. P. CECHOV  12-</v>
      </c>
      <c r="C5193" t="str">
        <f t="shared" si="331"/>
        <v>RIV</v>
      </c>
      <c r="D5193">
        <v>27</v>
      </c>
      <c r="E5193" t="str">
        <f t="shared" si="329"/>
        <v>1709</v>
      </c>
      <c r="F5193" t="str">
        <f>"157"</f>
        <v>157</v>
      </c>
    </row>
    <row r="5194" spans="1:6">
      <c r="A5194" t="str">
        <f>"E1246-157"</f>
        <v>E1246-157</v>
      </c>
      <c r="B5194" t="str">
        <f t="shared" si="332"/>
        <v>VIA A. P. CECHOV  12-</v>
      </c>
      <c r="C5194" t="str">
        <f t="shared" si="331"/>
        <v>RIV</v>
      </c>
      <c r="D5194">
        <v>27</v>
      </c>
      <c r="E5194" t="str">
        <f t="shared" si="329"/>
        <v>1709</v>
      </c>
      <c r="F5194" t="str">
        <f>"158"</f>
        <v>158</v>
      </c>
    </row>
    <row r="5195" spans="1:6">
      <c r="A5195" t="str">
        <f>"E1246-158"</f>
        <v>E1246-158</v>
      </c>
      <c r="B5195" t="str">
        <f t="shared" si="332"/>
        <v>VIA A. P. CECHOV  12-</v>
      </c>
      <c r="C5195" t="str">
        <f t="shared" si="331"/>
        <v>RIV</v>
      </c>
      <c r="D5195">
        <v>27</v>
      </c>
      <c r="E5195" t="str">
        <f t="shared" si="329"/>
        <v>1709</v>
      </c>
      <c r="F5195" t="str">
        <f>"159"</f>
        <v>159</v>
      </c>
    </row>
    <row r="5196" spans="1:6">
      <c r="A5196" t="str">
        <f>"E1246-159"</f>
        <v>E1246-159</v>
      </c>
      <c r="B5196" t="str">
        <f t="shared" si="332"/>
        <v>VIA A. P. CECHOV  12-</v>
      </c>
      <c r="C5196" t="str">
        <f t="shared" si="331"/>
        <v>RIV</v>
      </c>
      <c r="D5196">
        <v>27</v>
      </c>
      <c r="E5196" t="str">
        <f t="shared" si="329"/>
        <v>1709</v>
      </c>
      <c r="F5196" t="str">
        <f>"160"</f>
        <v>160</v>
      </c>
    </row>
    <row r="5197" spans="1:6">
      <c r="A5197" t="str">
        <f>"E1246-160"</f>
        <v>E1246-160</v>
      </c>
      <c r="B5197" t="str">
        <f t="shared" si="332"/>
        <v>VIA A. P. CECHOV  12-</v>
      </c>
      <c r="C5197" t="str">
        <f t="shared" si="331"/>
        <v>RIV</v>
      </c>
      <c r="D5197">
        <v>27</v>
      </c>
      <c r="E5197" t="str">
        <f t="shared" si="329"/>
        <v>1709</v>
      </c>
      <c r="F5197" t="str">
        <f>"161"</f>
        <v>161</v>
      </c>
    </row>
    <row r="5198" spans="1:6">
      <c r="A5198" t="str">
        <f>"E1246-161"</f>
        <v>E1246-161</v>
      </c>
      <c r="B5198" t="str">
        <f t="shared" si="332"/>
        <v>VIA A. P. CECHOV  12-</v>
      </c>
      <c r="C5198" t="str">
        <f t="shared" si="331"/>
        <v>RIV</v>
      </c>
      <c r="D5198">
        <v>27</v>
      </c>
      <c r="E5198" t="str">
        <f t="shared" ref="E5198:E5232" si="333">"1709"</f>
        <v>1709</v>
      </c>
      <c r="F5198" t="str">
        <f>"162"</f>
        <v>162</v>
      </c>
    </row>
    <row r="5199" spans="1:6">
      <c r="A5199" t="str">
        <f>"E1246-162"</f>
        <v>E1246-162</v>
      </c>
      <c r="B5199" t="str">
        <f t="shared" si="332"/>
        <v>VIA A. P. CECHOV  12-</v>
      </c>
      <c r="C5199" t="str">
        <f t="shared" si="331"/>
        <v>RIV</v>
      </c>
      <c r="D5199">
        <v>27</v>
      </c>
      <c r="E5199" t="str">
        <f t="shared" si="333"/>
        <v>1709</v>
      </c>
      <c r="F5199" t="str">
        <f>"163"</f>
        <v>163</v>
      </c>
    </row>
    <row r="5200" spans="1:6">
      <c r="A5200" t="str">
        <f>"E1246-163"</f>
        <v>E1246-163</v>
      </c>
      <c r="B5200" t="str">
        <f t="shared" ref="B5200:B5228" si="334">"VIA A. P. CECHOV  14-"</f>
        <v>VIA A. P. CECHOV  14-</v>
      </c>
      <c r="C5200" t="str">
        <f t="shared" si="331"/>
        <v>RIV</v>
      </c>
      <c r="D5200">
        <v>27</v>
      </c>
      <c r="E5200" t="str">
        <f t="shared" si="333"/>
        <v>1709</v>
      </c>
      <c r="F5200" t="str">
        <f>"164"</f>
        <v>164</v>
      </c>
    </row>
    <row r="5201" spans="1:6">
      <c r="A5201" t="str">
        <f>"E1246-164"</f>
        <v>E1246-164</v>
      </c>
      <c r="B5201" t="str">
        <f t="shared" si="334"/>
        <v>VIA A. P. CECHOV  14-</v>
      </c>
      <c r="C5201" t="str">
        <f t="shared" si="331"/>
        <v>RIV</v>
      </c>
      <c r="D5201">
        <v>27</v>
      </c>
      <c r="E5201" t="str">
        <f t="shared" si="333"/>
        <v>1709</v>
      </c>
      <c r="F5201" t="str">
        <f>"165"</f>
        <v>165</v>
      </c>
    </row>
    <row r="5202" spans="1:6">
      <c r="A5202" t="str">
        <f>"E1246-165"</f>
        <v>E1246-165</v>
      </c>
      <c r="B5202" t="str">
        <f t="shared" si="334"/>
        <v>VIA A. P. CECHOV  14-</v>
      </c>
      <c r="C5202" t="str">
        <f t="shared" si="331"/>
        <v>RIV</v>
      </c>
      <c r="D5202">
        <v>27</v>
      </c>
      <c r="E5202" t="str">
        <f t="shared" si="333"/>
        <v>1709</v>
      </c>
      <c r="F5202" t="str">
        <f>"166"</f>
        <v>166</v>
      </c>
    </row>
    <row r="5203" spans="1:6">
      <c r="A5203" t="str">
        <f>"E1246-166"</f>
        <v>E1246-166</v>
      </c>
      <c r="B5203" t="str">
        <f t="shared" si="334"/>
        <v>VIA A. P. CECHOV  14-</v>
      </c>
      <c r="C5203" t="str">
        <f t="shared" si="331"/>
        <v>RIV</v>
      </c>
      <c r="D5203">
        <v>27</v>
      </c>
      <c r="E5203" t="str">
        <f t="shared" si="333"/>
        <v>1709</v>
      </c>
      <c r="F5203" t="str">
        <f>"167"</f>
        <v>167</v>
      </c>
    </row>
    <row r="5204" spans="1:6">
      <c r="A5204" t="str">
        <f>"E1246-167"</f>
        <v>E1246-167</v>
      </c>
      <c r="B5204" t="str">
        <f t="shared" si="334"/>
        <v>VIA A. P. CECHOV  14-</v>
      </c>
      <c r="C5204" t="str">
        <f t="shared" si="331"/>
        <v>RIV</v>
      </c>
      <c r="D5204">
        <v>27</v>
      </c>
      <c r="E5204" t="str">
        <f t="shared" si="333"/>
        <v>1709</v>
      </c>
      <c r="F5204" t="str">
        <f>"168"</f>
        <v>168</v>
      </c>
    </row>
    <row r="5205" spans="1:6">
      <c r="A5205" t="str">
        <f>"E1246-168"</f>
        <v>E1246-168</v>
      </c>
      <c r="B5205" t="str">
        <f t="shared" si="334"/>
        <v>VIA A. P. CECHOV  14-</v>
      </c>
      <c r="C5205" t="str">
        <f t="shared" si="331"/>
        <v>RIV</v>
      </c>
      <c r="D5205">
        <v>27</v>
      </c>
      <c r="E5205" t="str">
        <f t="shared" si="333"/>
        <v>1709</v>
      </c>
      <c r="F5205" t="str">
        <f>"169"</f>
        <v>169</v>
      </c>
    </row>
    <row r="5206" spans="1:6">
      <c r="A5206" t="str">
        <f>"E1246-169"</f>
        <v>E1246-169</v>
      </c>
      <c r="B5206" t="str">
        <f t="shared" si="334"/>
        <v>VIA A. P. CECHOV  14-</v>
      </c>
      <c r="C5206" t="str">
        <f t="shared" si="331"/>
        <v>RIV</v>
      </c>
      <c r="D5206">
        <v>27</v>
      </c>
      <c r="E5206" t="str">
        <f t="shared" si="333"/>
        <v>1709</v>
      </c>
      <c r="F5206" t="str">
        <f>"170"</f>
        <v>170</v>
      </c>
    </row>
    <row r="5207" spans="1:6">
      <c r="A5207" t="str">
        <f>"E1246-170"</f>
        <v>E1246-170</v>
      </c>
      <c r="B5207" t="str">
        <f t="shared" si="334"/>
        <v>VIA A. P. CECHOV  14-</v>
      </c>
      <c r="C5207" t="str">
        <f t="shared" si="331"/>
        <v>RIV</v>
      </c>
      <c r="D5207">
        <v>27</v>
      </c>
      <c r="E5207" t="str">
        <f t="shared" si="333"/>
        <v>1709</v>
      </c>
      <c r="F5207" t="str">
        <f>"171"</f>
        <v>171</v>
      </c>
    </row>
    <row r="5208" spans="1:6">
      <c r="A5208" t="str">
        <f>"E1246-171"</f>
        <v>E1246-171</v>
      </c>
      <c r="B5208" t="str">
        <f t="shared" si="334"/>
        <v>VIA A. P. CECHOV  14-</v>
      </c>
      <c r="C5208" t="str">
        <f t="shared" si="331"/>
        <v>RIV</v>
      </c>
      <c r="D5208">
        <v>27</v>
      </c>
      <c r="E5208" t="str">
        <f t="shared" si="333"/>
        <v>1709</v>
      </c>
      <c r="F5208" t="str">
        <f>"172"</f>
        <v>172</v>
      </c>
    </row>
    <row r="5209" spans="1:6">
      <c r="A5209" t="str">
        <f>"E1246-172"</f>
        <v>E1246-172</v>
      </c>
      <c r="B5209" t="str">
        <f t="shared" si="334"/>
        <v>VIA A. P. CECHOV  14-</v>
      </c>
      <c r="C5209" t="str">
        <f t="shared" si="331"/>
        <v>RIV</v>
      </c>
      <c r="D5209">
        <v>27</v>
      </c>
      <c r="E5209" t="str">
        <f t="shared" si="333"/>
        <v>1709</v>
      </c>
      <c r="F5209" t="str">
        <f>"173"</f>
        <v>173</v>
      </c>
    </row>
    <row r="5210" spans="1:6">
      <c r="A5210" t="str">
        <f>"E1246-173"</f>
        <v>E1246-173</v>
      </c>
      <c r="B5210" t="str">
        <f t="shared" si="334"/>
        <v>VIA A. P. CECHOV  14-</v>
      </c>
      <c r="C5210" t="str">
        <f t="shared" si="331"/>
        <v>RIV</v>
      </c>
      <c r="D5210">
        <v>27</v>
      </c>
      <c r="E5210" t="str">
        <f t="shared" si="333"/>
        <v>1709</v>
      </c>
      <c r="F5210" t="str">
        <f>"174"</f>
        <v>174</v>
      </c>
    </row>
    <row r="5211" spans="1:6">
      <c r="A5211" t="str">
        <f>"E1246-174"</f>
        <v>E1246-174</v>
      </c>
      <c r="B5211" t="str">
        <f t="shared" si="334"/>
        <v>VIA A. P. CECHOV  14-</v>
      </c>
      <c r="C5211" t="str">
        <f t="shared" si="331"/>
        <v>RIV</v>
      </c>
      <c r="D5211">
        <v>27</v>
      </c>
      <c r="E5211" t="str">
        <f t="shared" si="333"/>
        <v>1709</v>
      </c>
      <c r="F5211" t="str">
        <f>"175"</f>
        <v>175</v>
      </c>
    </row>
    <row r="5212" spans="1:6">
      <c r="A5212" t="str">
        <f>"E1246-175"</f>
        <v>E1246-175</v>
      </c>
      <c r="B5212" t="str">
        <f t="shared" si="334"/>
        <v>VIA A. P. CECHOV  14-</v>
      </c>
      <c r="C5212" t="str">
        <f t="shared" si="331"/>
        <v>RIV</v>
      </c>
      <c r="D5212">
        <v>27</v>
      </c>
      <c r="E5212" t="str">
        <f t="shared" si="333"/>
        <v>1709</v>
      </c>
      <c r="F5212" t="str">
        <f>"176"</f>
        <v>176</v>
      </c>
    </row>
    <row r="5213" spans="1:6">
      <c r="A5213" t="str">
        <f>"E1246-176"</f>
        <v>E1246-176</v>
      </c>
      <c r="B5213" t="str">
        <f t="shared" si="334"/>
        <v>VIA A. P. CECHOV  14-</v>
      </c>
      <c r="C5213" t="str">
        <f t="shared" si="331"/>
        <v>RIV</v>
      </c>
      <c r="D5213">
        <v>27</v>
      </c>
      <c r="E5213" t="str">
        <f t="shared" si="333"/>
        <v>1709</v>
      </c>
      <c r="F5213" t="str">
        <f>"177"</f>
        <v>177</v>
      </c>
    </row>
    <row r="5214" spans="1:6">
      <c r="A5214" t="str">
        <f>"E1246-177"</f>
        <v>E1246-177</v>
      </c>
      <c r="B5214" t="str">
        <f t="shared" si="334"/>
        <v>VIA A. P. CECHOV  14-</v>
      </c>
      <c r="C5214" t="str">
        <f t="shared" si="331"/>
        <v>RIV</v>
      </c>
      <c r="D5214">
        <v>27</v>
      </c>
      <c r="E5214" t="str">
        <f t="shared" si="333"/>
        <v>1709</v>
      </c>
      <c r="F5214" t="str">
        <f>"178"</f>
        <v>178</v>
      </c>
    </row>
    <row r="5215" spans="1:6">
      <c r="A5215" t="str">
        <f>"E1246-178"</f>
        <v>E1246-178</v>
      </c>
      <c r="B5215" t="str">
        <f t="shared" si="334"/>
        <v>VIA A. P. CECHOV  14-</v>
      </c>
      <c r="C5215" t="str">
        <f t="shared" si="331"/>
        <v>RIV</v>
      </c>
      <c r="D5215">
        <v>27</v>
      </c>
      <c r="E5215" t="str">
        <f t="shared" si="333"/>
        <v>1709</v>
      </c>
      <c r="F5215" t="str">
        <f>"179"</f>
        <v>179</v>
      </c>
    </row>
    <row r="5216" spans="1:6">
      <c r="A5216" t="str">
        <f>"E1246-179"</f>
        <v>E1246-179</v>
      </c>
      <c r="B5216" t="str">
        <f t="shared" si="334"/>
        <v>VIA A. P. CECHOV  14-</v>
      </c>
      <c r="C5216" t="str">
        <f t="shared" si="331"/>
        <v>RIV</v>
      </c>
      <c r="D5216">
        <v>27</v>
      </c>
      <c r="E5216" t="str">
        <f t="shared" si="333"/>
        <v>1709</v>
      </c>
      <c r="F5216" t="str">
        <f>"180"</f>
        <v>180</v>
      </c>
    </row>
    <row r="5217" spans="1:6">
      <c r="A5217" t="str">
        <f>"E1246-180"</f>
        <v>E1246-180</v>
      </c>
      <c r="B5217" t="str">
        <f t="shared" si="334"/>
        <v>VIA A. P. CECHOV  14-</v>
      </c>
      <c r="C5217" t="str">
        <f t="shared" si="331"/>
        <v>RIV</v>
      </c>
      <c r="D5217">
        <v>27</v>
      </c>
      <c r="E5217" t="str">
        <f t="shared" si="333"/>
        <v>1709</v>
      </c>
      <c r="F5217" t="str">
        <f>"181"</f>
        <v>181</v>
      </c>
    </row>
    <row r="5218" spans="1:6">
      <c r="A5218" t="str">
        <f>"E1246-181"</f>
        <v>E1246-181</v>
      </c>
      <c r="B5218" t="str">
        <f t="shared" si="334"/>
        <v>VIA A. P. CECHOV  14-</v>
      </c>
      <c r="C5218" t="str">
        <f t="shared" si="331"/>
        <v>RIV</v>
      </c>
      <c r="D5218">
        <v>27</v>
      </c>
      <c r="E5218" t="str">
        <f t="shared" si="333"/>
        <v>1709</v>
      </c>
      <c r="F5218" t="str">
        <f>"182"</f>
        <v>182</v>
      </c>
    </row>
    <row r="5219" spans="1:6">
      <c r="A5219" t="str">
        <f>"E1246-182"</f>
        <v>E1246-182</v>
      </c>
      <c r="B5219" t="str">
        <f t="shared" si="334"/>
        <v>VIA A. P. CECHOV  14-</v>
      </c>
      <c r="C5219" t="str">
        <f t="shared" si="331"/>
        <v>RIV</v>
      </c>
      <c r="D5219">
        <v>27</v>
      </c>
      <c r="E5219" t="str">
        <f t="shared" si="333"/>
        <v>1709</v>
      </c>
      <c r="F5219" t="str">
        <f>"183"</f>
        <v>183</v>
      </c>
    </row>
    <row r="5220" spans="1:6">
      <c r="A5220" t="str">
        <f>"E1246-183"</f>
        <v>E1246-183</v>
      </c>
      <c r="B5220" t="str">
        <f t="shared" si="334"/>
        <v>VIA A. P. CECHOV  14-</v>
      </c>
      <c r="C5220" t="str">
        <f t="shared" si="331"/>
        <v>RIV</v>
      </c>
      <c r="D5220">
        <v>27</v>
      </c>
      <c r="E5220" t="str">
        <f t="shared" si="333"/>
        <v>1709</v>
      </c>
      <c r="F5220" t="str">
        <f>"184"</f>
        <v>184</v>
      </c>
    </row>
    <row r="5221" spans="1:6">
      <c r="A5221" t="str">
        <f>"E1246-184"</f>
        <v>E1246-184</v>
      </c>
      <c r="B5221" t="str">
        <f t="shared" si="334"/>
        <v>VIA A. P. CECHOV  14-</v>
      </c>
      <c r="C5221" t="str">
        <f t="shared" si="331"/>
        <v>RIV</v>
      </c>
      <c r="D5221">
        <v>27</v>
      </c>
      <c r="E5221" t="str">
        <f t="shared" si="333"/>
        <v>1709</v>
      </c>
      <c r="F5221" t="str">
        <f>"185"</f>
        <v>185</v>
      </c>
    </row>
    <row r="5222" spans="1:6">
      <c r="A5222" t="str">
        <f>"E1246-185"</f>
        <v>E1246-185</v>
      </c>
      <c r="B5222" t="str">
        <f t="shared" si="334"/>
        <v>VIA A. P. CECHOV  14-</v>
      </c>
      <c r="C5222" t="str">
        <f t="shared" si="331"/>
        <v>RIV</v>
      </c>
      <c r="D5222">
        <v>27</v>
      </c>
      <c r="E5222" t="str">
        <f t="shared" si="333"/>
        <v>1709</v>
      </c>
      <c r="F5222" t="str">
        <f>"186"</f>
        <v>186</v>
      </c>
    </row>
    <row r="5223" spans="1:6">
      <c r="A5223" t="str">
        <f>"E1246-186"</f>
        <v>E1246-186</v>
      </c>
      <c r="B5223" t="str">
        <f t="shared" si="334"/>
        <v>VIA A. P. CECHOV  14-</v>
      </c>
      <c r="C5223" t="str">
        <f t="shared" si="331"/>
        <v>RIV</v>
      </c>
      <c r="D5223">
        <v>27</v>
      </c>
      <c r="E5223" t="str">
        <f t="shared" si="333"/>
        <v>1709</v>
      </c>
      <c r="F5223" t="str">
        <f>"187"</f>
        <v>187</v>
      </c>
    </row>
    <row r="5224" spans="1:6">
      <c r="A5224" t="str">
        <f>"E1246-187"</f>
        <v>E1246-187</v>
      </c>
      <c r="B5224" t="str">
        <f t="shared" si="334"/>
        <v>VIA A. P. CECHOV  14-</v>
      </c>
      <c r="C5224" t="str">
        <f t="shared" si="331"/>
        <v>RIV</v>
      </c>
      <c r="D5224">
        <v>27</v>
      </c>
      <c r="E5224" t="str">
        <f t="shared" si="333"/>
        <v>1709</v>
      </c>
      <c r="F5224" t="str">
        <f>"188"</f>
        <v>188</v>
      </c>
    </row>
    <row r="5225" spans="1:6">
      <c r="A5225" t="str">
        <f>"E1246-188"</f>
        <v>E1246-188</v>
      </c>
      <c r="B5225" t="str">
        <f t="shared" si="334"/>
        <v>VIA A. P. CECHOV  14-</v>
      </c>
      <c r="C5225" t="str">
        <f t="shared" si="331"/>
        <v>RIV</v>
      </c>
      <c r="D5225">
        <v>27</v>
      </c>
      <c r="E5225" t="str">
        <f t="shared" si="333"/>
        <v>1709</v>
      </c>
      <c r="F5225" t="str">
        <f>"189"</f>
        <v>189</v>
      </c>
    </row>
    <row r="5226" spans="1:6">
      <c r="A5226" t="str">
        <f>"E1246-189"</f>
        <v>E1246-189</v>
      </c>
      <c r="B5226" t="str">
        <f t="shared" si="334"/>
        <v>VIA A. P. CECHOV  14-</v>
      </c>
      <c r="C5226" t="str">
        <f t="shared" si="331"/>
        <v>RIV</v>
      </c>
      <c r="D5226">
        <v>27</v>
      </c>
      <c r="E5226" t="str">
        <f t="shared" si="333"/>
        <v>1709</v>
      </c>
      <c r="F5226" t="str">
        <f>"190"</f>
        <v>190</v>
      </c>
    </row>
    <row r="5227" spans="1:6">
      <c r="A5227" t="str">
        <f>"E1246-190"</f>
        <v>E1246-190</v>
      </c>
      <c r="B5227" t="str">
        <f t="shared" si="334"/>
        <v>VIA A. P. CECHOV  14-</v>
      </c>
      <c r="C5227" t="str">
        <f t="shared" si="331"/>
        <v>RIV</v>
      </c>
      <c r="D5227">
        <v>27</v>
      </c>
      <c r="E5227" t="str">
        <f t="shared" si="333"/>
        <v>1709</v>
      </c>
      <c r="F5227" t="str">
        <f>"191"</f>
        <v>191</v>
      </c>
    </row>
    <row r="5228" spans="1:6">
      <c r="A5228" t="str">
        <f>"E1246-191"</f>
        <v>E1246-191</v>
      </c>
      <c r="B5228" t="str">
        <f t="shared" si="334"/>
        <v>VIA A. P. CECHOV  14-</v>
      </c>
      <c r="C5228" t="str">
        <f t="shared" si="331"/>
        <v>RIV</v>
      </c>
      <c r="D5228">
        <v>27</v>
      </c>
      <c r="E5228" t="str">
        <f t="shared" si="333"/>
        <v>1709</v>
      </c>
      <c r="F5228" t="str">
        <f>"192"</f>
        <v>192</v>
      </c>
    </row>
    <row r="5229" spans="1:6">
      <c r="A5229" t="str">
        <f>"E1246-192"</f>
        <v>E1246-192</v>
      </c>
      <c r="B5229" t="str">
        <f>"VIA A. P. CECHOV  10-"</f>
        <v>VIA A. P. CECHOV  10-</v>
      </c>
      <c r="C5229" t="str">
        <f t="shared" si="331"/>
        <v>RIV</v>
      </c>
      <c r="D5229">
        <v>27</v>
      </c>
      <c r="E5229" t="str">
        <f t="shared" si="333"/>
        <v>1709</v>
      </c>
      <c r="F5229" t="str">
        <f>"193"</f>
        <v>193</v>
      </c>
    </row>
    <row r="5230" spans="1:6">
      <c r="A5230" t="str">
        <f>"E1246-193"</f>
        <v>E1246-193</v>
      </c>
      <c r="B5230" t="str">
        <f>"VIA A. P. CECHOV  10-"</f>
        <v>VIA A. P. CECHOV  10-</v>
      </c>
      <c r="C5230" t="str">
        <f t="shared" si="331"/>
        <v>RIV</v>
      </c>
      <c r="D5230">
        <v>27</v>
      </c>
      <c r="E5230" t="str">
        <f t="shared" si="333"/>
        <v>1709</v>
      </c>
      <c r="F5230" t="str">
        <f>"194"</f>
        <v>194</v>
      </c>
    </row>
    <row r="5231" spans="1:6">
      <c r="A5231" t="str">
        <f>"E1246-194"</f>
        <v>E1246-194</v>
      </c>
      <c r="B5231" t="str">
        <f>"VIA A. P. CECHOV  10-"</f>
        <v>VIA A. P. CECHOV  10-</v>
      </c>
      <c r="C5231" t="str">
        <f t="shared" si="331"/>
        <v>RIV</v>
      </c>
      <c r="D5231">
        <v>27</v>
      </c>
      <c r="E5231" t="str">
        <f t="shared" si="333"/>
        <v>1709</v>
      </c>
      <c r="F5231" t="str">
        <f>"195"</f>
        <v>195</v>
      </c>
    </row>
    <row r="5232" spans="1:6">
      <c r="A5232" t="str">
        <f>"E1246-195"</f>
        <v>E1246-195</v>
      </c>
      <c r="B5232" t="str">
        <f>"VIA A. P. CECHOV  10-"</f>
        <v>VIA A. P. CECHOV  10-</v>
      </c>
      <c r="C5232" t="str">
        <f t="shared" si="331"/>
        <v>RIV</v>
      </c>
      <c r="D5232">
        <v>27</v>
      </c>
      <c r="E5232" t="str">
        <f t="shared" si="333"/>
        <v>1709</v>
      </c>
      <c r="F5232" t="str">
        <f>"196"</f>
        <v>196</v>
      </c>
    </row>
    <row r="5233" spans="1:6">
      <c r="A5233" t="str">
        <f>"E1247-2"</f>
        <v>E1247-2</v>
      </c>
      <c r="B5233" t="str">
        <f t="shared" ref="B5233:B5246" si="335">"VIA G. B. PERGOLESI  11-"</f>
        <v>VIA G. B. PERGOLESI  11-</v>
      </c>
      <c r="C5233" t="str">
        <f t="shared" si="331"/>
        <v>RIV</v>
      </c>
      <c r="D5233">
        <v>26</v>
      </c>
      <c r="E5233" t="str">
        <f>"2290"</f>
        <v>2290</v>
      </c>
      <c r="F5233" t="str">
        <f>"2"</f>
        <v>2</v>
      </c>
    </row>
    <row r="5234" spans="1:6">
      <c r="A5234" t="str">
        <f>"E1247-4"</f>
        <v>E1247-4</v>
      </c>
      <c r="B5234" t="str">
        <f t="shared" si="335"/>
        <v>VIA G. B. PERGOLESI  11-</v>
      </c>
      <c r="C5234" t="str">
        <f t="shared" si="331"/>
        <v>RIV</v>
      </c>
      <c r="D5234">
        <v>26</v>
      </c>
      <c r="E5234" t="str">
        <f>"2290"</f>
        <v>2290</v>
      </c>
      <c r="F5234" t="str">
        <f>"4"</f>
        <v>4</v>
      </c>
    </row>
    <row r="5235" spans="1:6">
      <c r="A5235" t="str">
        <f>"E1247-5"</f>
        <v>E1247-5</v>
      </c>
      <c r="B5235" t="str">
        <f t="shared" si="335"/>
        <v>VIA G. B. PERGOLESI  11-</v>
      </c>
      <c r="C5235" t="str">
        <f t="shared" si="331"/>
        <v>RIV</v>
      </c>
      <c r="D5235">
        <v>26</v>
      </c>
      <c r="E5235" t="str">
        <f>"2290"</f>
        <v>2290</v>
      </c>
      <c r="F5235" t="str">
        <f>"5"</f>
        <v>5</v>
      </c>
    </row>
    <row r="5236" spans="1:6">
      <c r="A5236" t="str">
        <f>"E1247-6"</f>
        <v>E1247-6</v>
      </c>
      <c r="B5236" t="str">
        <f t="shared" si="335"/>
        <v>VIA G. B. PERGOLESI  11-</v>
      </c>
      <c r="C5236" t="str">
        <f t="shared" si="331"/>
        <v>RIV</v>
      </c>
      <c r="D5236">
        <v>26</v>
      </c>
      <c r="E5236" t="str">
        <f>"2290"</f>
        <v>2290</v>
      </c>
      <c r="F5236" t="str">
        <f>"6"</f>
        <v>6</v>
      </c>
    </row>
    <row r="5237" spans="1:6">
      <c r="A5237" t="str">
        <f>"E1247-7"</f>
        <v>E1247-7</v>
      </c>
      <c r="B5237" t="str">
        <f t="shared" si="335"/>
        <v>VIA G. B. PERGOLESI  11-</v>
      </c>
      <c r="C5237" t="str">
        <f t="shared" ref="C5237:C5282" si="336">"RIV"</f>
        <v>RIV</v>
      </c>
      <c r="D5237">
        <v>26</v>
      </c>
      <c r="E5237" t="str">
        <f>"2290"</f>
        <v>2290</v>
      </c>
      <c r="F5237" t="str">
        <f>"7"</f>
        <v>7</v>
      </c>
    </row>
    <row r="5238" spans="1:6">
      <c r="C5238" t="str">
        <f t="shared" si="336"/>
        <v>RIV</v>
      </c>
      <c r="D5238">
        <v>26</v>
      </c>
      <c r="E5238" t="str">
        <f>"774"</f>
        <v>774</v>
      </c>
      <c r="F5238" t="str">
        <f>"0000"</f>
        <v>0000</v>
      </c>
    </row>
    <row r="5239" spans="1:6">
      <c r="A5239" t="str">
        <f>"E1247-8"</f>
        <v>E1247-8</v>
      </c>
      <c r="B5239" t="str">
        <f t="shared" si="335"/>
        <v>VIA G. B. PERGOLESI  11-</v>
      </c>
      <c r="C5239" t="str">
        <f t="shared" si="336"/>
        <v>RIV</v>
      </c>
      <c r="D5239">
        <v>26</v>
      </c>
      <c r="E5239" t="str">
        <f t="shared" ref="E5239:E5258" si="337">"2290"</f>
        <v>2290</v>
      </c>
      <c r="F5239" t="str">
        <f>"8"</f>
        <v>8</v>
      </c>
    </row>
    <row r="5240" spans="1:6">
      <c r="A5240" t="str">
        <f>"E1247-10"</f>
        <v>E1247-10</v>
      </c>
      <c r="B5240" t="str">
        <f t="shared" si="335"/>
        <v>VIA G. B. PERGOLESI  11-</v>
      </c>
      <c r="C5240" t="str">
        <f t="shared" si="336"/>
        <v>RIV</v>
      </c>
      <c r="D5240">
        <v>26</v>
      </c>
      <c r="E5240" t="str">
        <f t="shared" si="337"/>
        <v>2290</v>
      </c>
      <c r="F5240" t="str">
        <f>"10"</f>
        <v>10</v>
      </c>
    </row>
    <row r="5241" spans="1:6">
      <c r="A5241" t="str">
        <f>"E1247-12"</f>
        <v>E1247-12</v>
      </c>
      <c r="B5241" t="str">
        <f t="shared" si="335"/>
        <v>VIA G. B. PERGOLESI  11-</v>
      </c>
      <c r="C5241" t="str">
        <f t="shared" si="336"/>
        <v>RIV</v>
      </c>
      <c r="D5241">
        <v>26</v>
      </c>
      <c r="E5241" t="str">
        <f t="shared" si="337"/>
        <v>2290</v>
      </c>
      <c r="F5241" t="str">
        <f>"12"</f>
        <v>12</v>
      </c>
    </row>
    <row r="5242" spans="1:6">
      <c r="A5242" t="str">
        <f>"E1247-13"</f>
        <v>E1247-13</v>
      </c>
      <c r="B5242" t="str">
        <f t="shared" si="335"/>
        <v>VIA G. B. PERGOLESI  11-</v>
      </c>
      <c r="C5242" t="str">
        <f t="shared" si="336"/>
        <v>RIV</v>
      </c>
      <c r="D5242">
        <v>26</v>
      </c>
      <c r="E5242" t="str">
        <f t="shared" si="337"/>
        <v>2290</v>
      </c>
      <c r="F5242" t="str">
        <f>"13"</f>
        <v>13</v>
      </c>
    </row>
    <row r="5243" spans="1:6">
      <c r="A5243" t="str">
        <f>"E1247-14"</f>
        <v>E1247-14</v>
      </c>
      <c r="B5243" t="str">
        <f t="shared" si="335"/>
        <v>VIA G. B. PERGOLESI  11-</v>
      </c>
      <c r="C5243" t="str">
        <f t="shared" si="336"/>
        <v>RIV</v>
      </c>
      <c r="D5243">
        <v>26</v>
      </c>
      <c r="E5243" t="str">
        <f t="shared" si="337"/>
        <v>2290</v>
      </c>
      <c r="F5243" t="str">
        <f>"14"</f>
        <v>14</v>
      </c>
    </row>
    <row r="5244" spans="1:6">
      <c r="A5244" t="str">
        <f>"E1247-16"</f>
        <v>E1247-16</v>
      </c>
      <c r="B5244" t="str">
        <f t="shared" si="335"/>
        <v>VIA G. B. PERGOLESI  11-</v>
      </c>
      <c r="C5244" t="str">
        <f t="shared" si="336"/>
        <v>RIV</v>
      </c>
      <c r="D5244">
        <v>26</v>
      </c>
      <c r="E5244" t="str">
        <f t="shared" si="337"/>
        <v>2290</v>
      </c>
      <c r="F5244" t="str">
        <f>"16"</f>
        <v>16</v>
      </c>
    </row>
    <row r="5245" spans="1:6">
      <c r="A5245" t="str">
        <f>"E1247-18"</f>
        <v>E1247-18</v>
      </c>
      <c r="B5245" t="str">
        <f t="shared" si="335"/>
        <v>VIA G. B. PERGOLESI  11-</v>
      </c>
      <c r="C5245" t="str">
        <f t="shared" si="336"/>
        <v>RIV</v>
      </c>
      <c r="D5245">
        <v>26</v>
      </c>
      <c r="E5245" t="str">
        <f t="shared" si="337"/>
        <v>2290</v>
      </c>
      <c r="F5245" t="str">
        <f>"18"</f>
        <v>18</v>
      </c>
    </row>
    <row r="5246" spans="1:6">
      <c r="A5246" t="str">
        <f>"E1247-22"</f>
        <v>E1247-22</v>
      </c>
      <c r="B5246" t="str">
        <f t="shared" si="335"/>
        <v>VIA G. B. PERGOLESI  11-</v>
      </c>
      <c r="C5246" t="str">
        <f t="shared" si="336"/>
        <v>RIV</v>
      </c>
      <c r="D5246">
        <v>26</v>
      </c>
      <c r="E5246" t="str">
        <f t="shared" si="337"/>
        <v>2290</v>
      </c>
      <c r="F5246" t="str">
        <f>"22"</f>
        <v>22</v>
      </c>
    </row>
    <row r="5247" spans="1:6">
      <c r="A5247" t="str">
        <f>"E1247-25"</f>
        <v>E1247-25</v>
      </c>
      <c r="B5247" t="str">
        <f t="shared" ref="B5247:B5282" si="338">"VIA G. B. PERGOLESI  39-"</f>
        <v>VIA G. B. PERGOLESI  39-</v>
      </c>
      <c r="C5247" t="str">
        <f t="shared" si="336"/>
        <v>RIV</v>
      </c>
      <c r="D5247">
        <v>26</v>
      </c>
      <c r="E5247" t="str">
        <f t="shared" si="337"/>
        <v>2290</v>
      </c>
      <c r="F5247" t="str">
        <f>"44"</f>
        <v>44</v>
      </c>
    </row>
    <row r="5248" spans="1:6">
      <c r="A5248" t="str">
        <f>"E1247-26"</f>
        <v>E1247-26</v>
      </c>
      <c r="B5248" t="str">
        <f t="shared" si="338"/>
        <v>VIA G. B. PERGOLESI  39-</v>
      </c>
      <c r="C5248" t="str">
        <f t="shared" si="336"/>
        <v>RIV</v>
      </c>
      <c r="D5248">
        <v>26</v>
      </c>
      <c r="E5248" t="str">
        <f t="shared" si="337"/>
        <v>2290</v>
      </c>
      <c r="F5248" t="str">
        <f>"45"</f>
        <v>45</v>
      </c>
    </row>
    <row r="5249" spans="1:6">
      <c r="A5249" t="str">
        <f>"E1247-27"</f>
        <v>E1247-27</v>
      </c>
      <c r="B5249" t="str">
        <f t="shared" si="338"/>
        <v>VIA G. B. PERGOLESI  39-</v>
      </c>
      <c r="C5249" t="str">
        <f t="shared" si="336"/>
        <v>RIV</v>
      </c>
      <c r="D5249">
        <v>26</v>
      </c>
      <c r="E5249" t="str">
        <f t="shared" si="337"/>
        <v>2290</v>
      </c>
      <c r="F5249" t="str">
        <f>"46"</f>
        <v>46</v>
      </c>
    </row>
    <row r="5250" spans="1:6">
      <c r="A5250" t="str">
        <f>"E1247-28"</f>
        <v>E1247-28</v>
      </c>
      <c r="B5250" t="str">
        <f t="shared" si="338"/>
        <v>VIA G. B. PERGOLESI  39-</v>
      </c>
      <c r="C5250" t="str">
        <f t="shared" si="336"/>
        <v>RIV</v>
      </c>
      <c r="D5250">
        <v>26</v>
      </c>
      <c r="E5250" t="str">
        <f t="shared" si="337"/>
        <v>2290</v>
      </c>
      <c r="F5250" t="str">
        <f>"47"</f>
        <v>47</v>
      </c>
    </row>
    <row r="5251" spans="1:6">
      <c r="A5251" t="str">
        <f>"E1247-33"</f>
        <v>E1247-33</v>
      </c>
      <c r="B5251" t="str">
        <f t="shared" si="338"/>
        <v>VIA G. B. PERGOLESI  39-</v>
      </c>
      <c r="C5251" t="str">
        <f t="shared" si="336"/>
        <v>RIV</v>
      </c>
      <c r="D5251">
        <v>26</v>
      </c>
      <c r="E5251" t="str">
        <f t="shared" si="337"/>
        <v>2290</v>
      </c>
      <c r="F5251" t="str">
        <f>"69"</f>
        <v>69</v>
      </c>
    </row>
    <row r="5252" spans="1:6">
      <c r="A5252" t="str">
        <f>"E1247-34"</f>
        <v>E1247-34</v>
      </c>
      <c r="B5252" t="str">
        <f t="shared" si="338"/>
        <v>VIA G. B. PERGOLESI  39-</v>
      </c>
      <c r="C5252" t="str">
        <f t="shared" si="336"/>
        <v>RIV</v>
      </c>
      <c r="D5252">
        <v>26</v>
      </c>
      <c r="E5252" t="str">
        <f t="shared" si="337"/>
        <v>2290</v>
      </c>
      <c r="F5252" t="str">
        <f>"70"</f>
        <v>70</v>
      </c>
    </row>
    <row r="5253" spans="1:6">
      <c r="A5253" t="str">
        <f>"E1247-35"</f>
        <v>E1247-35</v>
      </c>
      <c r="B5253" t="str">
        <f t="shared" si="338"/>
        <v>VIA G. B. PERGOLESI  39-</v>
      </c>
      <c r="C5253" t="str">
        <f t="shared" si="336"/>
        <v>RIV</v>
      </c>
      <c r="D5253">
        <v>26</v>
      </c>
      <c r="E5253" t="str">
        <f t="shared" si="337"/>
        <v>2290</v>
      </c>
      <c r="F5253" t="str">
        <f>"71"</f>
        <v>71</v>
      </c>
    </row>
    <row r="5254" spans="1:6">
      <c r="A5254" t="str">
        <f>"E1247-37"</f>
        <v>E1247-37</v>
      </c>
      <c r="B5254" t="str">
        <f t="shared" si="338"/>
        <v>VIA G. B. PERGOLESI  39-</v>
      </c>
      <c r="C5254" t="str">
        <f t="shared" si="336"/>
        <v>RIV</v>
      </c>
      <c r="D5254">
        <v>26</v>
      </c>
      <c r="E5254" t="str">
        <f t="shared" si="337"/>
        <v>2290</v>
      </c>
      <c r="F5254" t="str">
        <f>"73"</f>
        <v>73</v>
      </c>
    </row>
    <row r="5255" spans="1:6">
      <c r="A5255" t="str">
        <f>"E1247-40"</f>
        <v>E1247-40</v>
      </c>
      <c r="B5255" t="str">
        <f t="shared" si="338"/>
        <v>VIA G. B. PERGOLESI  39-</v>
      </c>
      <c r="C5255" t="str">
        <f t="shared" si="336"/>
        <v>RIV</v>
      </c>
      <c r="D5255">
        <v>26</v>
      </c>
      <c r="E5255" t="str">
        <f t="shared" si="337"/>
        <v>2290</v>
      </c>
      <c r="F5255" t="str">
        <f>"76"</f>
        <v>76</v>
      </c>
    </row>
    <row r="5256" spans="1:6">
      <c r="A5256" t="str">
        <f>"E1247-41"</f>
        <v>E1247-41</v>
      </c>
      <c r="B5256" t="str">
        <f t="shared" si="338"/>
        <v>VIA G. B. PERGOLESI  39-</v>
      </c>
      <c r="C5256" t="str">
        <f t="shared" si="336"/>
        <v>RIV</v>
      </c>
      <c r="D5256">
        <v>26</v>
      </c>
      <c r="E5256" t="str">
        <f t="shared" si="337"/>
        <v>2290</v>
      </c>
      <c r="F5256" t="str">
        <f>"77"</f>
        <v>77</v>
      </c>
    </row>
    <row r="5257" spans="1:6">
      <c r="A5257" t="str">
        <f>"E1247-42"</f>
        <v>E1247-42</v>
      </c>
      <c r="B5257" t="str">
        <f t="shared" si="338"/>
        <v>VIA G. B. PERGOLESI  39-</v>
      </c>
      <c r="C5257" t="str">
        <f t="shared" si="336"/>
        <v>RIV</v>
      </c>
      <c r="D5257">
        <v>26</v>
      </c>
      <c r="E5257" t="str">
        <f t="shared" si="337"/>
        <v>2290</v>
      </c>
      <c r="F5257" t="str">
        <f>"78"</f>
        <v>78</v>
      </c>
    </row>
    <row r="5258" spans="1:6">
      <c r="A5258" t="str">
        <f>"E1247-43"</f>
        <v>E1247-43</v>
      </c>
      <c r="B5258" t="str">
        <f t="shared" si="338"/>
        <v>VIA G. B. PERGOLESI  39-</v>
      </c>
      <c r="C5258" t="str">
        <f t="shared" si="336"/>
        <v>RIV</v>
      </c>
      <c r="D5258">
        <v>26</v>
      </c>
      <c r="E5258" t="str">
        <f t="shared" si="337"/>
        <v>2290</v>
      </c>
      <c r="F5258" t="str">
        <f>"79"</f>
        <v>79</v>
      </c>
    </row>
    <row r="5259" spans="1:6">
      <c r="A5259" t="str">
        <f>"E1247-43"</f>
        <v>E1247-43</v>
      </c>
      <c r="B5259" t="str">
        <f t="shared" si="338"/>
        <v>VIA G. B. PERGOLESI  39-</v>
      </c>
      <c r="C5259" t="str">
        <f t="shared" si="336"/>
        <v>RIV</v>
      </c>
      <c r="D5259">
        <v>26</v>
      </c>
      <c r="E5259" t="str">
        <f>"775"</f>
        <v>775</v>
      </c>
      <c r="F5259" t="str">
        <f>"0000"</f>
        <v>0000</v>
      </c>
    </row>
    <row r="5260" spans="1:6">
      <c r="A5260" t="str">
        <f>"E1247-44"</f>
        <v>E1247-44</v>
      </c>
      <c r="B5260" t="str">
        <f t="shared" si="338"/>
        <v>VIA G. B. PERGOLESI  39-</v>
      </c>
      <c r="C5260" t="str">
        <f t="shared" si="336"/>
        <v>RIV</v>
      </c>
      <c r="D5260">
        <v>26</v>
      </c>
      <c r="E5260" t="str">
        <f t="shared" ref="E5260:E5282" si="339">"2290"</f>
        <v>2290</v>
      </c>
      <c r="F5260" t="str">
        <f>"80"</f>
        <v>80</v>
      </c>
    </row>
    <row r="5261" spans="1:6">
      <c r="A5261" t="str">
        <f>"E1247-45"</f>
        <v>E1247-45</v>
      </c>
      <c r="B5261" t="str">
        <f t="shared" si="338"/>
        <v>VIA G. B. PERGOLESI  39-</v>
      </c>
      <c r="C5261" t="str">
        <f t="shared" si="336"/>
        <v>RIV</v>
      </c>
      <c r="D5261">
        <v>26</v>
      </c>
      <c r="E5261" t="str">
        <f t="shared" si="339"/>
        <v>2290</v>
      </c>
      <c r="F5261" t="str">
        <f>"0000"</f>
        <v>0000</v>
      </c>
    </row>
    <row r="5262" spans="1:6">
      <c r="A5262" t="str">
        <f>"E1247-47"</f>
        <v>E1247-47</v>
      </c>
      <c r="B5262" t="str">
        <f t="shared" si="338"/>
        <v>VIA G. B. PERGOLESI  39-</v>
      </c>
      <c r="C5262" t="str">
        <f t="shared" si="336"/>
        <v>RIV</v>
      </c>
      <c r="D5262">
        <v>26</v>
      </c>
      <c r="E5262" t="str">
        <f t="shared" si="339"/>
        <v>2290</v>
      </c>
      <c r="F5262" t="str">
        <f>"25"</f>
        <v>25</v>
      </c>
    </row>
    <row r="5263" spans="1:6">
      <c r="A5263" t="str">
        <f>"E1247-48"</f>
        <v>E1247-48</v>
      </c>
      <c r="B5263" t="str">
        <f t="shared" si="338"/>
        <v>VIA G. B. PERGOLESI  39-</v>
      </c>
      <c r="C5263" t="str">
        <f t="shared" si="336"/>
        <v>RIV</v>
      </c>
      <c r="D5263">
        <v>26</v>
      </c>
      <c r="E5263" t="str">
        <f t="shared" si="339"/>
        <v>2290</v>
      </c>
      <c r="F5263" t="str">
        <f>"26"</f>
        <v>26</v>
      </c>
    </row>
    <row r="5264" spans="1:6">
      <c r="A5264" t="str">
        <f>"E1247-49"</f>
        <v>E1247-49</v>
      </c>
      <c r="B5264" t="str">
        <f t="shared" si="338"/>
        <v>VIA G. B. PERGOLESI  39-</v>
      </c>
      <c r="C5264" t="str">
        <f t="shared" si="336"/>
        <v>RIV</v>
      </c>
      <c r="D5264">
        <v>26</v>
      </c>
      <c r="E5264" t="str">
        <f t="shared" si="339"/>
        <v>2290</v>
      </c>
      <c r="F5264" t="str">
        <f>"27"</f>
        <v>27</v>
      </c>
    </row>
    <row r="5265" spans="1:6">
      <c r="A5265" t="str">
        <f>"E1247-50"</f>
        <v>E1247-50</v>
      </c>
      <c r="B5265" t="str">
        <f t="shared" si="338"/>
        <v>VIA G. B. PERGOLESI  39-</v>
      </c>
      <c r="C5265" t="str">
        <f t="shared" si="336"/>
        <v>RIV</v>
      </c>
      <c r="D5265">
        <v>26</v>
      </c>
      <c r="E5265" t="str">
        <f t="shared" si="339"/>
        <v>2290</v>
      </c>
      <c r="F5265" t="str">
        <f>"28"</f>
        <v>28</v>
      </c>
    </row>
    <row r="5266" spans="1:6">
      <c r="A5266" t="str">
        <f>"E1247-51"</f>
        <v>E1247-51</v>
      </c>
      <c r="B5266" t="str">
        <f t="shared" si="338"/>
        <v>VIA G. B. PERGOLESI  39-</v>
      </c>
      <c r="C5266" t="str">
        <f t="shared" si="336"/>
        <v>RIV</v>
      </c>
      <c r="D5266">
        <v>26</v>
      </c>
      <c r="E5266" t="str">
        <f t="shared" si="339"/>
        <v>2290</v>
      </c>
      <c r="F5266" t="str">
        <f>"29"</f>
        <v>29</v>
      </c>
    </row>
    <row r="5267" spans="1:6">
      <c r="A5267" t="str">
        <f>"E1247-53"</f>
        <v>E1247-53</v>
      </c>
      <c r="B5267" t="str">
        <f t="shared" si="338"/>
        <v>VIA G. B. PERGOLESI  39-</v>
      </c>
      <c r="C5267" t="str">
        <f t="shared" si="336"/>
        <v>RIV</v>
      </c>
      <c r="D5267">
        <v>26</v>
      </c>
      <c r="E5267" t="str">
        <f t="shared" si="339"/>
        <v>2290</v>
      </c>
      <c r="F5267" t="str">
        <f>"31"</f>
        <v>31</v>
      </c>
    </row>
    <row r="5268" spans="1:6">
      <c r="A5268" t="str">
        <f>"E1247-54"</f>
        <v>E1247-54</v>
      </c>
      <c r="B5268" t="str">
        <f t="shared" si="338"/>
        <v>VIA G. B. PERGOLESI  39-</v>
      </c>
      <c r="C5268" t="str">
        <f t="shared" si="336"/>
        <v>RIV</v>
      </c>
      <c r="D5268">
        <v>26</v>
      </c>
      <c r="E5268" t="str">
        <f t="shared" si="339"/>
        <v>2290</v>
      </c>
      <c r="F5268" t="str">
        <f>"32"</f>
        <v>32</v>
      </c>
    </row>
    <row r="5269" spans="1:6">
      <c r="A5269" t="str">
        <f>"E1247-56"</f>
        <v>E1247-56</v>
      </c>
      <c r="B5269" t="str">
        <f t="shared" si="338"/>
        <v>VIA G. B. PERGOLESI  39-</v>
      </c>
      <c r="C5269" t="str">
        <f t="shared" si="336"/>
        <v>RIV</v>
      </c>
      <c r="D5269">
        <v>26</v>
      </c>
      <c r="E5269" t="str">
        <f t="shared" si="339"/>
        <v>2290</v>
      </c>
      <c r="F5269" t="str">
        <f>"34"</f>
        <v>34</v>
      </c>
    </row>
    <row r="5270" spans="1:6">
      <c r="A5270" t="str">
        <f>"E1247-57"</f>
        <v>E1247-57</v>
      </c>
      <c r="B5270" t="str">
        <f t="shared" si="338"/>
        <v>VIA G. B. PERGOLESI  39-</v>
      </c>
      <c r="C5270" t="str">
        <f t="shared" si="336"/>
        <v>RIV</v>
      </c>
      <c r="D5270">
        <v>26</v>
      </c>
      <c r="E5270" t="str">
        <f t="shared" si="339"/>
        <v>2290</v>
      </c>
      <c r="F5270" t="str">
        <f>"35"</f>
        <v>35</v>
      </c>
    </row>
    <row r="5271" spans="1:6">
      <c r="A5271" t="str">
        <f>"E1247-61"</f>
        <v>E1247-61</v>
      </c>
      <c r="B5271" t="str">
        <f t="shared" si="338"/>
        <v>VIA G. B. PERGOLESI  39-</v>
      </c>
      <c r="C5271" t="str">
        <f t="shared" si="336"/>
        <v>RIV</v>
      </c>
      <c r="D5271">
        <v>26</v>
      </c>
      <c r="E5271" t="str">
        <f t="shared" si="339"/>
        <v>2290</v>
      </c>
      <c r="F5271" t="str">
        <f>"39"</f>
        <v>39</v>
      </c>
    </row>
    <row r="5272" spans="1:6">
      <c r="A5272" t="str">
        <f>"E1247-62"</f>
        <v>E1247-62</v>
      </c>
      <c r="B5272" t="str">
        <f t="shared" si="338"/>
        <v>VIA G. B. PERGOLESI  39-</v>
      </c>
      <c r="C5272" t="str">
        <f t="shared" si="336"/>
        <v>RIV</v>
      </c>
      <c r="D5272">
        <v>26</v>
      </c>
      <c r="E5272" t="str">
        <f t="shared" si="339"/>
        <v>2290</v>
      </c>
      <c r="F5272" t="str">
        <f>"40"</f>
        <v>40</v>
      </c>
    </row>
    <row r="5273" spans="1:6">
      <c r="A5273" t="str">
        <f>"E1247-66"</f>
        <v>E1247-66</v>
      </c>
      <c r="B5273" t="str">
        <f t="shared" si="338"/>
        <v>VIA G. B. PERGOLESI  39-</v>
      </c>
      <c r="C5273" t="str">
        <f t="shared" si="336"/>
        <v>RIV</v>
      </c>
      <c r="D5273">
        <v>26</v>
      </c>
      <c r="E5273" t="str">
        <f t="shared" si="339"/>
        <v>2290</v>
      </c>
      <c r="F5273" t="str">
        <f>"49"</f>
        <v>49</v>
      </c>
    </row>
    <row r="5274" spans="1:6">
      <c r="A5274" t="str">
        <f>"E1247-67"</f>
        <v>E1247-67</v>
      </c>
      <c r="B5274" t="str">
        <f t="shared" si="338"/>
        <v>VIA G. B. PERGOLESI  39-</v>
      </c>
      <c r="C5274" t="str">
        <f t="shared" si="336"/>
        <v>RIV</v>
      </c>
      <c r="D5274">
        <v>26</v>
      </c>
      <c r="E5274" t="str">
        <f t="shared" si="339"/>
        <v>2290</v>
      </c>
      <c r="F5274" t="str">
        <f>"50"</f>
        <v>50</v>
      </c>
    </row>
    <row r="5275" spans="1:6">
      <c r="A5275" t="str">
        <f>"E1247-68"</f>
        <v>E1247-68</v>
      </c>
      <c r="B5275" t="str">
        <f t="shared" si="338"/>
        <v>VIA G. B. PERGOLESI  39-</v>
      </c>
      <c r="C5275" t="str">
        <f t="shared" si="336"/>
        <v>RIV</v>
      </c>
      <c r="D5275">
        <v>26</v>
      </c>
      <c r="E5275" t="str">
        <f t="shared" si="339"/>
        <v>2290</v>
      </c>
      <c r="F5275" t="str">
        <f>"51"</f>
        <v>51</v>
      </c>
    </row>
    <row r="5276" spans="1:6">
      <c r="A5276" t="str">
        <f>"E1247-69"</f>
        <v>E1247-69</v>
      </c>
      <c r="B5276" t="str">
        <f t="shared" si="338"/>
        <v>VIA G. B. PERGOLESI  39-</v>
      </c>
      <c r="C5276" t="str">
        <f t="shared" si="336"/>
        <v>RIV</v>
      </c>
      <c r="D5276">
        <v>26</v>
      </c>
      <c r="E5276" t="str">
        <f t="shared" si="339"/>
        <v>2290</v>
      </c>
      <c r="F5276" t="str">
        <f>"52"</f>
        <v>52</v>
      </c>
    </row>
    <row r="5277" spans="1:6">
      <c r="A5277" t="str">
        <f>"E1247-73"</f>
        <v>E1247-73</v>
      </c>
      <c r="B5277" t="str">
        <f t="shared" si="338"/>
        <v>VIA G. B. PERGOLESI  39-</v>
      </c>
      <c r="C5277" t="str">
        <f t="shared" si="336"/>
        <v>RIV</v>
      </c>
      <c r="D5277">
        <v>26</v>
      </c>
      <c r="E5277" t="str">
        <f t="shared" si="339"/>
        <v>2290</v>
      </c>
      <c r="F5277" t="str">
        <f>"56"</f>
        <v>56</v>
      </c>
    </row>
    <row r="5278" spans="1:6">
      <c r="A5278" t="str">
        <f>"E1247-74"</f>
        <v>E1247-74</v>
      </c>
      <c r="B5278" t="str">
        <f t="shared" si="338"/>
        <v>VIA G. B. PERGOLESI  39-</v>
      </c>
      <c r="C5278" t="str">
        <f t="shared" si="336"/>
        <v>RIV</v>
      </c>
      <c r="D5278">
        <v>26</v>
      </c>
      <c r="E5278" t="str">
        <f t="shared" si="339"/>
        <v>2290</v>
      </c>
      <c r="F5278" t="str">
        <f>"57"</f>
        <v>57</v>
      </c>
    </row>
    <row r="5279" spans="1:6">
      <c r="A5279" t="str">
        <f>"E1247-78"</f>
        <v>E1247-78</v>
      </c>
      <c r="B5279" t="str">
        <f t="shared" si="338"/>
        <v>VIA G. B. PERGOLESI  39-</v>
      </c>
      <c r="C5279" t="str">
        <f t="shared" si="336"/>
        <v>RIV</v>
      </c>
      <c r="D5279">
        <v>26</v>
      </c>
      <c r="E5279" t="str">
        <f t="shared" si="339"/>
        <v>2290</v>
      </c>
      <c r="F5279" t="str">
        <f>"61"</f>
        <v>61</v>
      </c>
    </row>
    <row r="5280" spans="1:6">
      <c r="A5280" t="str">
        <f>"E1247-79"</f>
        <v>E1247-79</v>
      </c>
      <c r="B5280" t="str">
        <f t="shared" si="338"/>
        <v>VIA G. B. PERGOLESI  39-</v>
      </c>
      <c r="C5280" t="str">
        <f t="shared" si="336"/>
        <v>RIV</v>
      </c>
      <c r="D5280">
        <v>26</v>
      </c>
      <c r="E5280" t="str">
        <f t="shared" si="339"/>
        <v>2290</v>
      </c>
      <c r="F5280" t="str">
        <f>"62"</f>
        <v>62</v>
      </c>
    </row>
    <row r="5281" spans="1:6">
      <c r="A5281" t="str">
        <f>"E1247-80"</f>
        <v>E1247-80</v>
      </c>
      <c r="B5281" t="str">
        <f t="shared" si="338"/>
        <v>VIA G. B. PERGOLESI  39-</v>
      </c>
      <c r="C5281" t="str">
        <f t="shared" si="336"/>
        <v>RIV</v>
      </c>
      <c r="D5281">
        <v>26</v>
      </c>
      <c r="E5281" t="str">
        <f t="shared" si="339"/>
        <v>2290</v>
      </c>
      <c r="F5281" t="str">
        <f>"63"</f>
        <v>63</v>
      </c>
    </row>
    <row r="5282" spans="1:6">
      <c r="A5282" t="str">
        <f>"E1247-81"</f>
        <v>E1247-81</v>
      </c>
      <c r="B5282" t="str">
        <f t="shared" si="338"/>
        <v>VIA G. B. PERGOLESI  39-</v>
      </c>
      <c r="C5282" t="str">
        <f t="shared" si="336"/>
        <v>RIV</v>
      </c>
      <c r="D5282">
        <v>26</v>
      </c>
      <c r="E5282" t="str">
        <f t="shared" si="339"/>
        <v>2290</v>
      </c>
      <c r="F5282" t="str">
        <f>"64"</f>
        <v>64</v>
      </c>
    </row>
    <row r="5283" spans="1:6">
      <c r="A5283" t="str">
        <f>"E1251-1"</f>
        <v>E1251-1</v>
      </c>
      <c r="B5283" t="str">
        <f>"PIAZZA CESINO  4-"</f>
        <v>PIAZZA CESINO  4-</v>
      </c>
      <c r="C5283" t="str">
        <f>"PON"</f>
        <v>PON</v>
      </c>
      <c r="D5283">
        <v>2</v>
      </c>
      <c r="E5283" t="str">
        <f>"130"</f>
        <v>130</v>
      </c>
      <c r="F5283" t="str">
        <f>"1"</f>
        <v>1</v>
      </c>
    </row>
    <row r="5284" spans="1:6">
      <c r="A5284" t="str">
        <f>"E1251-2"</f>
        <v>E1251-2</v>
      </c>
      <c r="B5284" t="str">
        <f>"PIAZZA CESINO  4-"</f>
        <v>PIAZZA CESINO  4-</v>
      </c>
      <c r="C5284" t="str">
        <f>"PON"</f>
        <v>PON</v>
      </c>
      <c r="D5284">
        <v>2</v>
      </c>
      <c r="E5284" t="str">
        <f>"130"</f>
        <v>130</v>
      </c>
      <c r="F5284" t="str">
        <f>"2"</f>
        <v>2</v>
      </c>
    </row>
    <row r="5285" spans="1:6">
      <c r="A5285" t="str">
        <f>"E1251-3"</f>
        <v>E1251-3</v>
      </c>
      <c r="B5285" t="str">
        <f>"PIAZZA CESINO  4-"</f>
        <v>PIAZZA CESINO  4-</v>
      </c>
      <c r="C5285" t="str">
        <f>"PON"</f>
        <v>PON</v>
      </c>
      <c r="D5285">
        <v>2</v>
      </c>
      <c r="E5285" t="str">
        <f>"130"</f>
        <v>130</v>
      </c>
      <c r="F5285" t="str">
        <f>"3"</f>
        <v>3</v>
      </c>
    </row>
    <row r="5286" spans="1:6">
      <c r="A5286" t="str">
        <f>"E1252-1"</f>
        <v>E1252-1</v>
      </c>
      <c r="B5286" t="str">
        <f>"PIAZZETTA PIETRO CATTANEO  1-"</f>
        <v>PIAZZETTA PIETRO CATTANEO  1-</v>
      </c>
      <c r="C5286" t="str">
        <f t="shared" ref="C5286:C5297" si="340">"SQ"</f>
        <v>SQ</v>
      </c>
      <c r="D5286">
        <v>7</v>
      </c>
      <c r="E5286" t="str">
        <f>"171"</f>
        <v>171</v>
      </c>
      <c r="F5286" t="str">
        <f>"1"</f>
        <v>1</v>
      </c>
    </row>
    <row r="5287" spans="1:6">
      <c r="A5287" t="str">
        <f>"E1252-2"</f>
        <v>E1252-2</v>
      </c>
      <c r="B5287" t="str">
        <f>"PIAZZETTA PIETRO CATTANEO  1-"</f>
        <v>PIAZZETTA PIETRO CATTANEO  1-</v>
      </c>
      <c r="C5287" t="str">
        <f t="shared" si="340"/>
        <v>SQ</v>
      </c>
      <c r="D5287">
        <v>7</v>
      </c>
      <c r="E5287" t="str">
        <f>"171"</f>
        <v>171</v>
      </c>
      <c r="F5287" t="str">
        <f>"2"</f>
        <v>2</v>
      </c>
    </row>
    <row r="5288" spans="1:6">
      <c r="A5288" t="str">
        <f>"E1253-1"</f>
        <v>E1253-1</v>
      </c>
      <c r="B5288" t="str">
        <f t="shared" ref="B5288:B5297" si="341">"VIA SAN QUIRICO  43-"</f>
        <v>VIA SAN QUIRICO  43-</v>
      </c>
      <c r="C5288" t="str">
        <f t="shared" si="340"/>
        <v>SQ</v>
      </c>
      <c r="D5288">
        <v>9</v>
      </c>
      <c r="E5288" t="str">
        <f t="shared" ref="E5288:E5297" si="342">"136"</f>
        <v>136</v>
      </c>
      <c r="F5288" t="str">
        <f>"25"</f>
        <v>25</v>
      </c>
    </row>
    <row r="5289" spans="1:6">
      <c r="A5289" t="str">
        <f>"E1253-3"</f>
        <v>E1253-3</v>
      </c>
      <c r="B5289" t="str">
        <f t="shared" si="341"/>
        <v>VIA SAN QUIRICO  43-</v>
      </c>
      <c r="C5289" t="str">
        <f t="shared" si="340"/>
        <v>SQ</v>
      </c>
      <c r="D5289">
        <v>9</v>
      </c>
      <c r="E5289" t="str">
        <f t="shared" si="342"/>
        <v>136</v>
      </c>
      <c r="F5289" t="str">
        <f>"27"</f>
        <v>27</v>
      </c>
    </row>
    <row r="5290" spans="1:6">
      <c r="A5290" t="str">
        <f>"E1253-4"</f>
        <v>E1253-4</v>
      </c>
      <c r="B5290" t="str">
        <f t="shared" si="341"/>
        <v>VIA SAN QUIRICO  43-</v>
      </c>
      <c r="C5290" t="str">
        <f t="shared" si="340"/>
        <v>SQ</v>
      </c>
      <c r="D5290">
        <v>9</v>
      </c>
      <c r="E5290" t="str">
        <f t="shared" si="342"/>
        <v>136</v>
      </c>
      <c r="F5290" t="str">
        <f>"28"</f>
        <v>28</v>
      </c>
    </row>
    <row r="5291" spans="1:6">
      <c r="A5291" t="str">
        <f>"E1253-6"</f>
        <v>E1253-6</v>
      </c>
      <c r="B5291" t="str">
        <f t="shared" si="341"/>
        <v>VIA SAN QUIRICO  43-</v>
      </c>
      <c r="C5291" t="str">
        <f t="shared" si="340"/>
        <v>SQ</v>
      </c>
      <c r="D5291">
        <v>9</v>
      </c>
      <c r="E5291" t="str">
        <f t="shared" si="342"/>
        <v>136</v>
      </c>
      <c r="F5291" t="str">
        <f>"30"</f>
        <v>30</v>
      </c>
    </row>
    <row r="5292" spans="1:6">
      <c r="A5292" t="str">
        <f>"E1253-7"</f>
        <v>E1253-7</v>
      </c>
      <c r="B5292" t="str">
        <f t="shared" si="341"/>
        <v>VIA SAN QUIRICO  43-</v>
      </c>
      <c r="C5292" t="str">
        <f t="shared" si="340"/>
        <v>SQ</v>
      </c>
      <c r="D5292">
        <v>9</v>
      </c>
      <c r="E5292" t="str">
        <f t="shared" si="342"/>
        <v>136</v>
      </c>
      <c r="F5292" t="str">
        <f>"43"</f>
        <v>43</v>
      </c>
    </row>
    <row r="5293" spans="1:6">
      <c r="A5293" t="str">
        <f>"E1253-8"</f>
        <v>E1253-8</v>
      </c>
      <c r="B5293" t="str">
        <f t="shared" si="341"/>
        <v>VIA SAN QUIRICO  43-</v>
      </c>
      <c r="C5293" t="str">
        <f t="shared" si="340"/>
        <v>SQ</v>
      </c>
      <c r="D5293">
        <v>9</v>
      </c>
      <c r="E5293" t="str">
        <f t="shared" si="342"/>
        <v>136</v>
      </c>
      <c r="F5293" t="str">
        <f>"42"</f>
        <v>42</v>
      </c>
    </row>
    <row r="5294" spans="1:6">
      <c r="A5294" t="str">
        <f>"E1253-9"</f>
        <v>E1253-9</v>
      </c>
      <c r="B5294" t="str">
        <f t="shared" si="341"/>
        <v>VIA SAN QUIRICO  43-</v>
      </c>
      <c r="C5294" t="str">
        <f t="shared" si="340"/>
        <v>SQ</v>
      </c>
      <c r="D5294">
        <v>9</v>
      </c>
      <c r="E5294" t="str">
        <f t="shared" si="342"/>
        <v>136</v>
      </c>
      <c r="F5294" t="str">
        <f>"36"</f>
        <v>36</v>
      </c>
    </row>
    <row r="5295" spans="1:6">
      <c r="A5295" t="str">
        <f>"E1253-11"</f>
        <v>E1253-11</v>
      </c>
      <c r="B5295" t="str">
        <f t="shared" si="341"/>
        <v>VIA SAN QUIRICO  43-</v>
      </c>
      <c r="C5295" t="str">
        <f t="shared" si="340"/>
        <v>SQ</v>
      </c>
      <c r="D5295">
        <v>9</v>
      </c>
      <c r="E5295" t="str">
        <f t="shared" si="342"/>
        <v>136</v>
      </c>
      <c r="F5295" t="str">
        <f>"38"</f>
        <v>38</v>
      </c>
    </row>
    <row r="5296" spans="1:6">
      <c r="A5296" t="str">
        <f>"E1253-12"</f>
        <v>E1253-12</v>
      </c>
      <c r="B5296" t="str">
        <f t="shared" si="341"/>
        <v>VIA SAN QUIRICO  43-</v>
      </c>
      <c r="C5296" t="str">
        <f t="shared" si="340"/>
        <v>SQ</v>
      </c>
      <c r="D5296">
        <v>9</v>
      </c>
      <c r="E5296" t="str">
        <f t="shared" si="342"/>
        <v>136</v>
      </c>
      <c r="F5296" t="str">
        <f>"41"</f>
        <v>41</v>
      </c>
    </row>
    <row r="5297" spans="1:6">
      <c r="A5297" t="str">
        <f>"E1253-14"</f>
        <v>E1253-14</v>
      </c>
      <c r="B5297" t="str">
        <f t="shared" si="341"/>
        <v>VIA SAN QUIRICO  43-</v>
      </c>
      <c r="C5297" t="str">
        <f t="shared" si="340"/>
        <v>SQ</v>
      </c>
      <c r="D5297">
        <v>9</v>
      </c>
      <c r="E5297" t="str">
        <f t="shared" si="342"/>
        <v>136</v>
      </c>
      <c r="F5297" t="str">
        <f>"39"</f>
        <v>39</v>
      </c>
    </row>
    <row r="5298" spans="1:6">
      <c r="A5298" t="str">
        <f>"E1254-7"</f>
        <v>E1254-7</v>
      </c>
      <c r="B5298" t="str">
        <f>"VIA TOMMASO ALBINONI  16-"</f>
        <v>VIA TOMMASO ALBINONI  16-</v>
      </c>
      <c r="C5298" t="str">
        <f t="shared" ref="C5298:C5310" si="343">"RIV"</f>
        <v>RIV</v>
      </c>
      <c r="D5298">
        <v>26</v>
      </c>
      <c r="E5298" t="str">
        <f t="shared" ref="E5298:E5303" si="344">"2291"</f>
        <v>2291</v>
      </c>
      <c r="F5298" t="str">
        <f>"42"</f>
        <v>42</v>
      </c>
    </row>
    <row r="5299" spans="1:6">
      <c r="A5299" t="str">
        <f>"E1254-9"</f>
        <v>E1254-9</v>
      </c>
      <c r="B5299" t="str">
        <f>"VIA TOMMASO ALBINONI  16-"</f>
        <v>VIA TOMMASO ALBINONI  16-</v>
      </c>
      <c r="C5299" t="str">
        <f t="shared" si="343"/>
        <v>RIV</v>
      </c>
      <c r="D5299">
        <v>26</v>
      </c>
      <c r="E5299" t="str">
        <f t="shared" si="344"/>
        <v>2291</v>
      </c>
      <c r="F5299" t="str">
        <f>"44"</f>
        <v>44</v>
      </c>
    </row>
    <row r="5300" spans="1:6">
      <c r="A5300" t="str">
        <f>"E1254-10"</f>
        <v>E1254-10</v>
      </c>
      <c r="B5300" t="str">
        <f>"VIA TOMMASO ALBINONI  16-"</f>
        <v>VIA TOMMASO ALBINONI  16-</v>
      </c>
      <c r="C5300" t="str">
        <f t="shared" si="343"/>
        <v>RIV</v>
      </c>
      <c r="D5300">
        <v>26</v>
      </c>
      <c r="E5300" t="str">
        <f t="shared" si="344"/>
        <v>2291</v>
      </c>
      <c r="F5300" t="str">
        <f>"45"</f>
        <v>45</v>
      </c>
    </row>
    <row r="5301" spans="1:6">
      <c r="A5301" t="str">
        <f>"E1254-11"</f>
        <v>E1254-11</v>
      </c>
      <c r="B5301" t="str">
        <f>"VIA TOMMASO ALBINONI  30-"</f>
        <v>VIA TOMMASO ALBINONI  30-</v>
      </c>
      <c r="C5301" t="str">
        <f t="shared" si="343"/>
        <v>RIV</v>
      </c>
      <c r="D5301">
        <v>26</v>
      </c>
      <c r="E5301" t="str">
        <f t="shared" si="344"/>
        <v>2291</v>
      </c>
      <c r="F5301" t="str">
        <f>"16"</f>
        <v>16</v>
      </c>
    </row>
    <row r="5302" spans="1:6">
      <c r="A5302" t="str">
        <f>"E1254-17"</f>
        <v>E1254-17</v>
      </c>
      <c r="B5302" t="str">
        <f>"VIA TOMMASO ALBINONI  30-"</f>
        <v>VIA TOMMASO ALBINONI  30-</v>
      </c>
      <c r="C5302" t="str">
        <f t="shared" si="343"/>
        <v>RIV</v>
      </c>
      <c r="D5302">
        <v>26</v>
      </c>
      <c r="E5302" t="str">
        <f t="shared" si="344"/>
        <v>2291</v>
      </c>
      <c r="F5302" t="str">
        <f>"22"</f>
        <v>22</v>
      </c>
    </row>
    <row r="5303" spans="1:6">
      <c r="A5303" t="str">
        <f>"E1254-21"</f>
        <v>E1254-21</v>
      </c>
      <c r="B5303" t="str">
        <f>"VIA TOMMASO ALBINONI  30-"</f>
        <v>VIA TOMMASO ALBINONI  30-</v>
      </c>
      <c r="C5303" t="str">
        <f t="shared" si="343"/>
        <v>RIV</v>
      </c>
      <c r="D5303">
        <v>26</v>
      </c>
      <c r="E5303" t="str">
        <f t="shared" si="344"/>
        <v>2291</v>
      </c>
      <c r="F5303" t="str">
        <f>"26"</f>
        <v>26</v>
      </c>
    </row>
    <row r="5304" spans="1:6">
      <c r="A5304" t="str">
        <f>"E1254-28"</f>
        <v>E1254-28</v>
      </c>
      <c r="B5304" t="str">
        <f>"VIA TOMMASO ALBINONI  30-"</f>
        <v>VIA TOMMASO ALBINONI  30-</v>
      </c>
      <c r="C5304" t="str">
        <f t="shared" si="343"/>
        <v>RIV</v>
      </c>
      <c r="D5304">
        <v>26</v>
      </c>
      <c r="E5304" t="str">
        <f>"2201"</f>
        <v>2201</v>
      </c>
      <c r="F5304" t="str">
        <f>"33"</f>
        <v>33</v>
      </c>
    </row>
    <row r="5305" spans="1:6">
      <c r="A5305" t="str">
        <f>"E1254-37"</f>
        <v>E1254-37</v>
      </c>
      <c r="B5305" t="str">
        <f>"VIA TOMMASO ALBINONI  16-"</f>
        <v>VIA TOMMASO ALBINONI  16-</v>
      </c>
      <c r="C5305" t="str">
        <f t="shared" si="343"/>
        <v>RIV</v>
      </c>
      <c r="D5305">
        <v>26</v>
      </c>
      <c r="E5305" t="str">
        <f t="shared" ref="E5305:E5310" si="345">"2291"</f>
        <v>2291</v>
      </c>
      <c r="F5305" t="str">
        <f>"52"</f>
        <v>52</v>
      </c>
    </row>
    <row r="5306" spans="1:6">
      <c r="A5306" t="str">
        <f>"E1254-39"</f>
        <v>E1254-39</v>
      </c>
      <c r="B5306" t="str">
        <f>"VIA TOMMASO ALBINONI  16-"</f>
        <v>VIA TOMMASO ALBINONI  16-</v>
      </c>
      <c r="C5306" t="str">
        <f t="shared" si="343"/>
        <v>RIV</v>
      </c>
      <c r="D5306">
        <v>26</v>
      </c>
      <c r="E5306" t="str">
        <f t="shared" si="345"/>
        <v>2291</v>
      </c>
      <c r="F5306" t="str">
        <f>"54"</f>
        <v>54</v>
      </c>
    </row>
    <row r="5307" spans="1:6">
      <c r="A5307" t="str">
        <f>"E1254-40"</f>
        <v>E1254-40</v>
      </c>
      <c r="B5307" t="str">
        <f>"VIA TOMMASO ALBINONI  16-"</f>
        <v>VIA TOMMASO ALBINONI  16-</v>
      </c>
      <c r="C5307" t="str">
        <f t="shared" si="343"/>
        <v>RIV</v>
      </c>
      <c r="D5307">
        <v>26</v>
      </c>
      <c r="E5307" t="str">
        <f t="shared" si="345"/>
        <v>2291</v>
      </c>
      <c r="F5307" t="str">
        <f>"55"</f>
        <v>55</v>
      </c>
    </row>
    <row r="5308" spans="1:6">
      <c r="A5308" t="str">
        <f>"E1254-52"</f>
        <v>E1254-52</v>
      </c>
      <c r="B5308" t="str">
        <f>"VIA TOMMASO ALBINONI  14-"</f>
        <v>VIA TOMMASO ALBINONI  14-</v>
      </c>
      <c r="C5308" t="str">
        <f t="shared" si="343"/>
        <v>RIV</v>
      </c>
      <c r="D5308">
        <v>26</v>
      </c>
      <c r="E5308" t="str">
        <f t="shared" si="345"/>
        <v>2291</v>
      </c>
      <c r="F5308" t="str">
        <f>"12"</f>
        <v>12</v>
      </c>
    </row>
    <row r="5309" spans="1:6">
      <c r="A5309" t="str">
        <f>"E1254-54"</f>
        <v>E1254-54</v>
      </c>
      <c r="B5309" t="str">
        <f>"VIA TOMMASO ALBINONI  10-"</f>
        <v>VIA TOMMASO ALBINONI  10-</v>
      </c>
      <c r="C5309" t="str">
        <f t="shared" si="343"/>
        <v>RIV</v>
      </c>
      <c r="D5309">
        <v>26</v>
      </c>
      <c r="E5309" t="str">
        <f t="shared" si="345"/>
        <v>2291</v>
      </c>
      <c r="F5309" t="str">
        <f>"14"</f>
        <v>14</v>
      </c>
    </row>
    <row r="5310" spans="1:6">
      <c r="A5310" t="str">
        <f>"E1254-55"</f>
        <v>E1254-55</v>
      </c>
      <c r="B5310" t="str">
        <f>"VIA TOMMASO ALBINONI  8-"</f>
        <v>VIA TOMMASO ALBINONI  8-</v>
      </c>
      <c r="C5310" t="str">
        <f t="shared" si="343"/>
        <v>RIV</v>
      </c>
      <c r="D5310">
        <v>26</v>
      </c>
      <c r="E5310" t="str">
        <f t="shared" si="345"/>
        <v>2291</v>
      </c>
      <c r="F5310" t="str">
        <f>"15"</f>
        <v>15</v>
      </c>
    </row>
    <row r="5311" spans="1:6">
      <c r="A5311" t="str">
        <f>"E1255-7"</f>
        <v>E1255-7</v>
      </c>
      <c r="B5311" t="str">
        <f>"VIA CONI ZUGNA  16-"</f>
        <v>VIA CONI ZUGNA  16-</v>
      </c>
      <c r="C5311" t="str">
        <f>"PON"</f>
        <v>PON</v>
      </c>
      <c r="D5311">
        <v>3</v>
      </c>
      <c r="E5311" t="str">
        <f>"424"</f>
        <v>424</v>
      </c>
      <c r="F5311" t="str">
        <f>"7"</f>
        <v>7</v>
      </c>
    </row>
    <row r="5312" spans="1:6">
      <c r="A5312" t="str">
        <f>"E1255-15"</f>
        <v>E1255-15</v>
      </c>
      <c r="B5312" t="str">
        <f>"VIA CONI ZUGNA  16-"</f>
        <v>VIA CONI ZUGNA  16-</v>
      </c>
      <c r="C5312" t="str">
        <f>"PON"</f>
        <v>PON</v>
      </c>
      <c r="D5312">
        <v>3</v>
      </c>
      <c r="E5312" t="str">
        <f>"424"</f>
        <v>424</v>
      </c>
      <c r="F5312" t="str">
        <f>"15"</f>
        <v>15</v>
      </c>
    </row>
    <row r="5313" spans="1:6">
      <c r="A5313" t="str">
        <f>"E1255-16"</f>
        <v>E1255-16</v>
      </c>
      <c r="B5313" t="str">
        <f>"VIA CONI ZUGNA  18-"</f>
        <v>VIA CONI ZUGNA  18-</v>
      </c>
      <c r="C5313" t="str">
        <f>"PON"</f>
        <v>PON</v>
      </c>
      <c r="D5313">
        <v>3</v>
      </c>
      <c r="E5313" t="str">
        <f>"424"</f>
        <v>424</v>
      </c>
      <c r="F5313" t="str">
        <f>"17"</f>
        <v>17</v>
      </c>
    </row>
    <row r="5314" spans="1:6">
      <c r="A5314" t="str">
        <f>"E1256-1"</f>
        <v>E1256-1</v>
      </c>
      <c r="B5314" t="str">
        <f>"LUNGO POLCEVERA  28R-"</f>
        <v>LUNGO POLCEVERA  28R-</v>
      </c>
      <c r="C5314" t="str">
        <f>"4"</f>
        <v>4</v>
      </c>
      <c r="D5314">
        <v>4</v>
      </c>
      <c r="E5314" t="str">
        <f>"348"</f>
        <v>348</v>
      </c>
      <c r="F5314" t="str">
        <f>"0000"</f>
        <v>0000</v>
      </c>
    </row>
    <row r="5315" spans="1:6">
      <c r="C5315" t="str">
        <f>"4"</f>
        <v>4</v>
      </c>
      <c r="D5315">
        <v>4</v>
      </c>
      <c r="E5315" t="str">
        <f>"780"</f>
        <v>780</v>
      </c>
      <c r="F5315" t="str">
        <f>"0000"</f>
        <v>0000</v>
      </c>
    </row>
    <row r="5316" spans="1:6">
      <c r="A5316" t="str">
        <f>"E1257-19"</f>
        <v>E1257-19</v>
      </c>
      <c r="B5316" t="str">
        <f>"VIA NATALE GALLINO  53-"</f>
        <v>VIA NATALE GALLINO  53-</v>
      </c>
      <c r="C5316" t="str">
        <f>"PON"</f>
        <v>PON</v>
      </c>
      <c r="D5316">
        <v>2</v>
      </c>
      <c r="E5316" t="str">
        <f>"408"</f>
        <v>408</v>
      </c>
      <c r="F5316" t="str">
        <f>"83"</f>
        <v>83</v>
      </c>
    </row>
    <row r="5317" spans="1:6">
      <c r="A5317" t="str">
        <f>"E1257-29"</f>
        <v>E1257-29</v>
      </c>
      <c r="B5317" t="str">
        <f>"VIA NATALE GALLINO  53A-"</f>
        <v>VIA NATALE GALLINO  53A-</v>
      </c>
      <c r="C5317" t="str">
        <f>"PON"</f>
        <v>PON</v>
      </c>
      <c r="D5317">
        <v>2</v>
      </c>
      <c r="E5317" t="str">
        <f>"408"</f>
        <v>408</v>
      </c>
      <c r="F5317" t="str">
        <f>"103"</f>
        <v>103</v>
      </c>
    </row>
    <row r="5318" spans="1:6">
      <c r="C5318" t="str">
        <f>"PON"</f>
        <v>PON</v>
      </c>
      <c r="D5318">
        <v>2</v>
      </c>
      <c r="E5318" t="str">
        <f>"416"</f>
        <v>416</v>
      </c>
      <c r="F5318" t="str">
        <f>"0000"</f>
        <v>0000</v>
      </c>
    </row>
    <row r="5319" spans="1:6">
      <c r="A5319" t="str">
        <f>"E1257-60"</f>
        <v>E1257-60</v>
      </c>
      <c r="B5319" t="str">
        <f>"VIA NATALE GALLINO  53-"</f>
        <v>VIA NATALE GALLINO  53-</v>
      </c>
      <c r="C5319" t="str">
        <f>"PON"</f>
        <v>PON</v>
      </c>
      <c r="D5319">
        <v>2</v>
      </c>
      <c r="E5319" t="str">
        <f>"408"</f>
        <v>408</v>
      </c>
      <c r="F5319" t="str">
        <f>"84"</f>
        <v>84</v>
      </c>
    </row>
    <row r="5320" spans="1:6">
      <c r="A5320" t="str">
        <f>"E1257-70"</f>
        <v>E1257-70</v>
      </c>
      <c r="B5320" t="str">
        <f>"VIA NATALE GALLINO  53A-"</f>
        <v>VIA NATALE GALLINO  53A-</v>
      </c>
      <c r="C5320" t="str">
        <f>"PON"</f>
        <v>PON</v>
      </c>
      <c r="D5320">
        <v>2</v>
      </c>
      <c r="E5320" t="str">
        <f>"408"</f>
        <v>408</v>
      </c>
      <c r="F5320" t="str">
        <f>"104"</f>
        <v>104</v>
      </c>
    </row>
    <row r="5321" spans="1:6">
      <c r="A5321" t="str">
        <f>"E1258-1"</f>
        <v>E1258-1</v>
      </c>
      <c r="B5321" t="str">
        <f t="shared" ref="B5321:B5337" si="346">"VIA SAN QUIRICO  84A-"</f>
        <v>VIA SAN QUIRICO  84A-</v>
      </c>
      <c r="C5321" t="str">
        <f t="shared" ref="C5321:C5335" si="347">"SQ"</f>
        <v>SQ</v>
      </c>
      <c r="D5321">
        <v>7</v>
      </c>
      <c r="E5321" t="str">
        <f t="shared" ref="E5321:E5337" si="348">"66"</f>
        <v>66</v>
      </c>
      <c r="F5321" t="str">
        <f>"1"</f>
        <v>1</v>
      </c>
    </row>
    <row r="5322" spans="1:6">
      <c r="A5322" t="str">
        <f>"E1258-2"</f>
        <v>E1258-2</v>
      </c>
      <c r="B5322" t="str">
        <f t="shared" si="346"/>
        <v>VIA SAN QUIRICO  84A-</v>
      </c>
      <c r="C5322" t="str">
        <f t="shared" si="347"/>
        <v>SQ</v>
      </c>
      <c r="D5322">
        <v>7</v>
      </c>
      <c r="E5322" t="str">
        <f t="shared" si="348"/>
        <v>66</v>
      </c>
      <c r="F5322" t="str">
        <f>"2"</f>
        <v>2</v>
      </c>
    </row>
    <row r="5323" spans="1:6">
      <c r="A5323" t="str">
        <f>"E1258-3"</f>
        <v>E1258-3</v>
      </c>
      <c r="B5323" t="str">
        <f t="shared" si="346"/>
        <v>VIA SAN QUIRICO  84A-</v>
      </c>
      <c r="C5323" t="str">
        <f t="shared" si="347"/>
        <v>SQ</v>
      </c>
      <c r="D5323">
        <v>7</v>
      </c>
      <c r="E5323" t="str">
        <f t="shared" si="348"/>
        <v>66</v>
      </c>
      <c r="F5323" t="str">
        <f>"3"</f>
        <v>3</v>
      </c>
    </row>
    <row r="5324" spans="1:6">
      <c r="A5324" t="str">
        <f>"E1258-4"</f>
        <v>E1258-4</v>
      </c>
      <c r="B5324" t="str">
        <f t="shared" si="346"/>
        <v>VIA SAN QUIRICO  84A-</v>
      </c>
      <c r="C5324" t="str">
        <f t="shared" si="347"/>
        <v>SQ</v>
      </c>
      <c r="D5324">
        <v>7</v>
      </c>
      <c r="E5324" t="str">
        <f t="shared" si="348"/>
        <v>66</v>
      </c>
      <c r="F5324" t="str">
        <f>"4"</f>
        <v>4</v>
      </c>
    </row>
    <row r="5325" spans="1:6">
      <c r="A5325" t="str">
        <f>"E1258-5"</f>
        <v>E1258-5</v>
      </c>
      <c r="B5325" t="str">
        <f t="shared" si="346"/>
        <v>VIA SAN QUIRICO  84A-</v>
      </c>
      <c r="C5325" t="str">
        <f t="shared" si="347"/>
        <v>SQ</v>
      </c>
      <c r="D5325">
        <v>7</v>
      </c>
      <c r="E5325" t="str">
        <f t="shared" si="348"/>
        <v>66</v>
      </c>
      <c r="F5325" t="str">
        <f>"5"</f>
        <v>5</v>
      </c>
    </row>
    <row r="5326" spans="1:6">
      <c r="A5326" t="str">
        <f>"E1258-6"</f>
        <v>E1258-6</v>
      </c>
      <c r="B5326" t="str">
        <f t="shared" si="346"/>
        <v>VIA SAN QUIRICO  84A-</v>
      </c>
      <c r="C5326" t="str">
        <f t="shared" si="347"/>
        <v>SQ</v>
      </c>
      <c r="D5326">
        <v>7</v>
      </c>
      <c r="E5326" t="str">
        <f t="shared" si="348"/>
        <v>66</v>
      </c>
      <c r="F5326" t="str">
        <f>"6"</f>
        <v>6</v>
      </c>
    </row>
    <row r="5327" spans="1:6">
      <c r="A5327" t="str">
        <f>"E1258-7"</f>
        <v>E1258-7</v>
      </c>
      <c r="B5327" t="str">
        <f t="shared" si="346"/>
        <v>VIA SAN QUIRICO  84A-</v>
      </c>
      <c r="C5327" t="str">
        <f t="shared" si="347"/>
        <v>SQ</v>
      </c>
      <c r="D5327">
        <v>7</v>
      </c>
      <c r="E5327" t="str">
        <f t="shared" si="348"/>
        <v>66</v>
      </c>
      <c r="F5327" t="str">
        <f>"7"</f>
        <v>7</v>
      </c>
    </row>
    <row r="5328" spans="1:6">
      <c r="A5328" t="str">
        <f>"E1258-8"</f>
        <v>E1258-8</v>
      </c>
      <c r="B5328" t="str">
        <f t="shared" si="346"/>
        <v>VIA SAN QUIRICO  84A-</v>
      </c>
      <c r="C5328" t="str">
        <f t="shared" si="347"/>
        <v>SQ</v>
      </c>
      <c r="D5328">
        <v>7</v>
      </c>
      <c r="E5328" t="str">
        <f t="shared" si="348"/>
        <v>66</v>
      </c>
      <c r="F5328" t="str">
        <f>"8"</f>
        <v>8</v>
      </c>
    </row>
    <row r="5329" spans="1:6">
      <c r="A5329" t="str">
        <f>"E1258-9"</f>
        <v>E1258-9</v>
      </c>
      <c r="B5329" t="str">
        <f t="shared" si="346"/>
        <v>VIA SAN QUIRICO  84A-</v>
      </c>
      <c r="C5329" t="str">
        <f t="shared" si="347"/>
        <v>SQ</v>
      </c>
      <c r="D5329">
        <v>7</v>
      </c>
      <c r="E5329" t="str">
        <f t="shared" si="348"/>
        <v>66</v>
      </c>
      <c r="F5329" t="str">
        <f>"9"</f>
        <v>9</v>
      </c>
    </row>
    <row r="5330" spans="1:6">
      <c r="A5330" t="str">
        <f>"E1258-10"</f>
        <v>E1258-10</v>
      </c>
      <c r="B5330" t="str">
        <f t="shared" si="346"/>
        <v>VIA SAN QUIRICO  84A-</v>
      </c>
      <c r="C5330" t="str">
        <f t="shared" si="347"/>
        <v>SQ</v>
      </c>
      <c r="D5330">
        <v>7</v>
      </c>
      <c r="E5330" t="str">
        <f t="shared" si="348"/>
        <v>66</v>
      </c>
      <c r="F5330" t="str">
        <f>"10"</f>
        <v>10</v>
      </c>
    </row>
    <row r="5331" spans="1:6">
      <c r="A5331" t="str">
        <f>"E1258-11"</f>
        <v>E1258-11</v>
      </c>
      <c r="B5331" t="str">
        <f t="shared" si="346"/>
        <v>VIA SAN QUIRICO  84A-</v>
      </c>
      <c r="C5331" t="str">
        <f t="shared" si="347"/>
        <v>SQ</v>
      </c>
      <c r="D5331">
        <v>7</v>
      </c>
      <c r="E5331" t="str">
        <f t="shared" si="348"/>
        <v>66</v>
      </c>
      <c r="F5331" t="str">
        <f>"11"</f>
        <v>11</v>
      </c>
    </row>
    <row r="5332" spans="1:6">
      <c r="A5332" t="str">
        <f>"E1258-12"</f>
        <v>E1258-12</v>
      </c>
      <c r="B5332" t="str">
        <f t="shared" si="346"/>
        <v>VIA SAN QUIRICO  84A-</v>
      </c>
      <c r="C5332" t="str">
        <f t="shared" si="347"/>
        <v>SQ</v>
      </c>
      <c r="D5332">
        <v>7</v>
      </c>
      <c r="E5332" t="str">
        <f t="shared" si="348"/>
        <v>66</v>
      </c>
      <c r="F5332" t="str">
        <f>"12"</f>
        <v>12</v>
      </c>
    </row>
    <row r="5333" spans="1:6">
      <c r="A5333" t="str">
        <f>"E1258-13"</f>
        <v>E1258-13</v>
      </c>
      <c r="B5333" t="str">
        <f t="shared" si="346"/>
        <v>VIA SAN QUIRICO  84A-</v>
      </c>
      <c r="C5333" t="str">
        <f t="shared" si="347"/>
        <v>SQ</v>
      </c>
      <c r="D5333">
        <v>7</v>
      </c>
      <c r="E5333" t="str">
        <f t="shared" si="348"/>
        <v>66</v>
      </c>
      <c r="F5333" t="str">
        <f>"13"</f>
        <v>13</v>
      </c>
    </row>
    <row r="5334" spans="1:6">
      <c r="A5334" t="str">
        <f>"E1258-14"</f>
        <v>E1258-14</v>
      </c>
      <c r="B5334" t="str">
        <f t="shared" si="346"/>
        <v>VIA SAN QUIRICO  84A-</v>
      </c>
      <c r="C5334" t="str">
        <f t="shared" si="347"/>
        <v>SQ</v>
      </c>
      <c r="D5334">
        <v>7</v>
      </c>
      <c r="E5334" t="str">
        <f t="shared" si="348"/>
        <v>66</v>
      </c>
      <c r="F5334" t="str">
        <f>"14"</f>
        <v>14</v>
      </c>
    </row>
    <row r="5335" spans="1:6">
      <c r="A5335" t="str">
        <f>"E1258-15"</f>
        <v>E1258-15</v>
      </c>
      <c r="B5335" t="str">
        <f t="shared" si="346"/>
        <v>VIA SAN QUIRICO  84A-</v>
      </c>
      <c r="C5335" t="str">
        <f t="shared" si="347"/>
        <v>SQ</v>
      </c>
      <c r="D5335">
        <v>7</v>
      </c>
      <c r="E5335" t="str">
        <f t="shared" si="348"/>
        <v>66</v>
      </c>
      <c r="F5335" t="str">
        <f>"15"</f>
        <v>15</v>
      </c>
    </row>
    <row r="5336" spans="1:6">
      <c r="A5336" t="str">
        <f>"E1258-16"</f>
        <v>E1258-16</v>
      </c>
      <c r="B5336" t="str">
        <f t="shared" si="346"/>
        <v>VIA SAN QUIRICO  84A-</v>
      </c>
      <c r="C5336" t="str">
        <f>"4"</f>
        <v>4</v>
      </c>
      <c r="D5336">
        <v>7</v>
      </c>
      <c r="E5336" t="str">
        <f t="shared" si="348"/>
        <v>66</v>
      </c>
      <c r="F5336" t="str">
        <f>"0000"</f>
        <v>0000</v>
      </c>
    </row>
    <row r="5337" spans="1:6">
      <c r="A5337" t="str">
        <f>"E1258-17"</f>
        <v>E1258-17</v>
      </c>
      <c r="B5337" t="str">
        <f t="shared" si="346"/>
        <v>VIA SAN QUIRICO  84A-</v>
      </c>
      <c r="C5337" t="str">
        <f>"4"</f>
        <v>4</v>
      </c>
      <c r="D5337">
        <v>7</v>
      </c>
      <c r="E5337" t="str">
        <f t="shared" si="348"/>
        <v>66</v>
      </c>
      <c r="F5337" t="str">
        <f>"0000"</f>
        <v>0000</v>
      </c>
    </row>
    <row r="5338" spans="1:6">
      <c r="A5338" t="str">
        <f>"E1259-1"</f>
        <v>E1259-1</v>
      </c>
      <c r="B5338" t="str">
        <f t="shared" ref="B5338:B5354" si="349">"LUNGO POLCEVERA  2-"</f>
        <v>LUNGO POLCEVERA  2-</v>
      </c>
      <c r="C5338" t="str">
        <f t="shared" ref="C5338:C5354" si="350">"SQ"</f>
        <v>SQ</v>
      </c>
      <c r="D5338">
        <v>7</v>
      </c>
      <c r="E5338" t="str">
        <f t="shared" ref="E5338:E5354" si="351">"1253"</f>
        <v>1253</v>
      </c>
      <c r="F5338" t="str">
        <f>"1"</f>
        <v>1</v>
      </c>
    </row>
    <row r="5339" spans="1:6">
      <c r="A5339" t="str">
        <f>"E1259-2"</f>
        <v>E1259-2</v>
      </c>
      <c r="B5339" t="str">
        <f t="shared" si="349"/>
        <v>LUNGO POLCEVERA  2-</v>
      </c>
      <c r="C5339" t="str">
        <f t="shared" si="350"/>
        <v>SQ</v>
      </c>
      <c r="D5339">
        <v>7</v>
      </c>
      <c r="E5339" t="str">
        <f t="shared" si="351"/>
        <v>1253</v>
      </c>
      <c r="F5339" t="str">
        <f>"2"</f>
        <v>2</v>
      </c>
    </row>
    <row r="5340" spans="1:6">
      <c r="A5340" t="str">
        <f>"E1259-3"</f>
        <v>E1259-3</v>
      </c>
      <c r="B5340" t="str">
        <f t="shared" si="349"/>
        <v>LUNGO POLCEVERA  2-</v>
      </c>
      <c r="C5340" t="str">
        <f t="shared" si="350"/>
        <v>SQ</v>
      </c>
      <c r="D5340">
        <v>7</v>
      </c>
      <c r="E5340" t="str">
        <f t="shared" si="351"/>
        <v>1253</v>
      </c>
      <c r="F5340" t="str">
        <f>"3"</f>
        <v>3</v>
      </c>
    </row>
    <row r="5341" spans="1:6">
      <c r="A5341" t="str">
        <f>"E1259-4"</f>
        <v>E1259-4</v>
      </c>
      <c r="B5341" t="str">
        <f t="shared" si="349"/>
        <v>LUNGO POLCEVERA  2-</v>
      </c>
      <c r="C5341" t="str">
        <f t="shared" si="350"/>
        <v>SQ</v>
      </c>
      <c r="D5341">
        <v>7</v>
      </c>
      <c r="E5341" t="str">
        <f t="shared" si="351"/>
        <v>1253</v>
      </c>
      <c r="F5341" t="str">
        <f>"4"</f>
        <v>4</v>
      </c>
    </row>
    <row r="5342" spans="1:6">
      <c r="A5342" t="str">
        <f>"E1259-5"</f>
        <v>E1259-5</v>
      </c>
      <c r="B5342" t="str">
        <f t="shared" si="349"/>
        <v>LUNGO POLCEVERA  2-</v>
      </c>
      <c r="C5342" t="str">
        <f t="shared" si="350"/>
        <v>SQ</v>
      </c>
      <c r="D5342">
        <v>7</v>
      </c>
      <c r="E5342" t="str">
        <f t="shared" si="351"/>
        <v>1253</v>
      </c>
      <c r="F5342" t="str">
        <f>"5"</f>
        <v>5</v>
      </c>
    </row>
    <row r="5343" spans="1:6">
      <c r="A5343" t="str">
        <f>"E1259-6"</f>
        <v>E1259-6</v>
      </c>
      <c r="B5343" t="str">
        <f t="shared" si="349"/>
        <v>LUNGO POLCEVERA  2-</v>
      </c>
      <c r="C5343" t="str">
        <f t="shared" si="350"/>
        <v>SQ</v>
      </c>
      <c r="D5343">
        <v>7</v>
      </c>
      <c r="E5343" t="str">
        <f t="shared" si="351"/>
        <v>1253</v>
      </c>
      <c r="F5343" t="str">
        <f>"6"</f>
        <v>6</v>
      </c>
    </row>
    <row r="5344" spans="1:6">
      <c r="A5344" t="str">
        <f>"E1259-7"</f>
        <v>E1259-7</v>
      </c>
      <c r="B5344" t="str">
        <f t="shared" si="349"/>
        <v>LUNGO POLCEVERA  2-</v>
      </c>
      <c r="C5344" t="str">
        <f t="shared" si="350"/>
        <v>SQ</v>
      </c>
      <c r="D5344">
        <v>7</v>
      </c>
      <c r="E5344" t="str">
        <f t="shared" si="351"/>
        <v>1253</v>
      </c>
      <c r="F5344" t="str">
        <f>"7"</f>
        <v>7</v>
      </c>
    </row>
    <row r="5345" spans="1:6">
      <c r="A5345" t="str">
        <f>"E1259-8"</f>
        <v>E1259-8</v>
      </c>
      <c r="B5345" t="str">
        <f t="shared" si="349"/>
        <v>LUNGO POLCEVERA  2-</v>
      </c>
      <c r="C5345" t="str">
        <f t="shared" si="350"/>
        <v>SQ</v>
      </c>
      <c r="D5345">
        <v>7</v>
      </c>
      <c r="E5345" t="str">
        <f t="shared" si="351"/>
        <v>1253</v>
      </c>
      <c r="F5345" t="str">
        <f>"8"</f>
        <v>8</v>
      </c>
    </row>
    <row r="5346" spans="1:6">
      <c r="A5346" t="str">
        <f>"E1259-9"</f>
        <v>E1259-9</v>
      </c>
      <c r="B5346" t="str">
        <f t="shared" si="349"/>
        <v>LUNGO POLCEVERA  2-</v>
      </c>
      <c r="C5346" t="str">
        <f t="shared" si="350"/>
        <v>SQ</v>
      </c>
      <c r="D5346">
        <v>7</v>
      </c>
      <c r="E5346" t="str">
        <f t="shared" si="351"/>
        <v>1253</v>
      </c>
      <c r="F5346" t="str">
        <f>"9"</f>
        <v>9</v>
      </c>
    </row>
    <row r="5347" spans="1:6">
      <c r="A5347" t="str">
        <f>"E1259-10"</f>
        <v>E1259-10</v>
      </c>
      <c r="B5347" t="str">
        <f t="shared" si="349"/>
        <v>LUNGO POLCEVERA  2-</v>
      </c>
      <c r="C5347" t="str">
        <f t="shared" si="350"/>
        <v>SQ</v>
      </c>
      <c r="D5347">
        <v>7</v>
      </c>
      <c r="E5347" t="str">
        <f t="shared" si="351"/>
        <v>1253</v>
      </c>
      <c r="F5347" t="str">
        <f>"10"</f>
        <v>10</v>
      </c>
    </row>
    <row r="5348" spans="1:6">
      <c r="A5348" t="str">
        <f>"E1259-11"</f>
        <v>E1259-11</v>
      </c>
      <c r="B5348" t="str">
        <f t="shared" si="349"/>
        <v>LUNGO POLCEVERA  2-</v>
      </c>
      <c r="C5348" t="str">
        <f t="shared" si="350"/>
        <v>SQ</v>
      </c>
      <c r="D5348">
        <v>7</v>
      </c>
      <c r="E5348" t="str">
        <f t="shared" si="351"/>
        <v>1253</v>
      </c>
      <c r="F5348" t="str">
        <f>"11"</f>
        <v>11</v>
      </c>
    </row>
    <row r="5349" spans="1:6">
      <c r="A5349" t="str">
        <f>"E1259-12"</f>
        <v>E1259-12</v>
      </c>
      <c r="B5349" t="str">
        <f t="shared" si="349"/>
        <v>LUNGO POLCEVERA  2-</v>
      </c>
      <c r="C5349" t="str">
        <f t="shared" si="350"/>
        <v>SQ</v>
      </c>
      <c r="D5349">
        <v>7</v>
      </c>
      <c r="E5349" t="str">
        <f t="shared" si="351"/>
        <v>1253</v>
      </c>
      <c r="F5349" t="str">
        <f>"12"</f>
        <v>12</v>
      </c>
    </row>
    <row r="5350" spans="1:6">
      <c r="A5350" t="str">
        <f>"E1259-13"</f>
        <v>E1259-13</v>
      </c>
      <c r="B5350" t="str">
        <f t="shared" si="349"/>
        <v>LUNGO POLCEVERA  2-</v>
      </c>
      <c r="C5350" t="str">
        <f t="shared" si="350"/>
        <v>SQ</v>
      </c>
      <c r="D5350">
        <v>7</v>
      </c>
      <c r="E5350" t="str">
        <f t="shared" si="351"/>
        <v>1253</v>
      </c>
      <c r="F5350" t="str">
        <f>"13"</f>
        <v>13</v>
      </c>
    </row>
    <row r="5351" spans="1:6">
      <c r="A5351" t="str">
        <f>"E1259-14"</f>
        <v>E1259-14</v>
      </c>
      <c r="B5351" t="str">
        <f t="shared" si="349"/>
        <v>LUNGO POLCEVERA  2-</v>
      </c>
      <c r="C5351" t="str">
        <f t="shared" si="350"/>
        <v>SQ</v>
      </c>
      <c r="D5351">
        <v>7</v>
      </c>
      <c r="E5351" t="str">
        <f t="shared" si="351"/>
        <v>1253</v>
      </c>
      <c r="F5351" t="str">
        <f>"14"</f>
        <v>14</v>
      </c>
    </row>
    <row r="5352" spans="1:6">
      <c r="A5352" t="str">
        <f>"E1259-15"</f>
        <v>E1259-15</v>
      </c>
      <c r="B5352" t="str">
        <f t="shared" si="349"/>
        <v>LUNGO POLCEVERA  2-</v>
      </c>
      <c r="C5352" t="str">
        <f t="shared" si="350"/>
        <v>SQ</v>
      </c>
      <c r="D5352">
        <v>7</v>
      </c>
      <c r="E5352" t="str">
        <f t="shared" si="351"/>
        <v>1253</v>
      </c>
      <c r="F5352" t="str">
        <f>"15"</f>
        <v>15</v>
      </c>
    </row>
    <row r="5353" spans="1:6">
      <c r="A5353" t="str">
        <f>"E1259-16"</f>
        <v>E1259-16</v>
      </c>
      <c r="B5353" t="str">
        <f t="shared" si="349"/>
        <v>LUNGO POLCEVERA  2-</v>
      </c>
      <c r="C5353" t="str">
        <f t="shared" si="350"/>
        <v>SQ</v>
      </c>
      <c r="D5353">
        <v>7</v>
      </c>
      <c r="E5353" t="str">
        <f t="shared" si="351"/>
        <v>1253</v>
      </c>
      <c r="F5353" t="str">
        <f>"16"</f>
        <v>16</v>
      </c>
    </row>
    <row r="5354" spans="1:6">
      <c r="A5354" t="str">
        <f>"E1259-17"</f>
        <v>E1259-17</v>
      </c>
      <c r="B5354" t="str">
        <f t="shared" si="349"/>
        <v>LUNGO POLCEVERA  2-</v>
      </c>
      <c r="C5354" t="str">
        <f t="shared" si="350"/>
        <v>SQ</v>
      </c>
      <c r="D5354">
        <v>7</v>
      </c>
      <c r="E5354" t="str">
        <f t="shared" si="351"/>
        <v>1253</v>
      </c>
      <c r="F5354" t="str">
        <f>"17"</f>
        <v>17</v>
      </c>
    </row>
    <row r="5355" spans="1:6">
      <c r="A5355" t="str">
        <f>"E1260-1"</f>
        <v>E1260-1</v>
      </c>
      <c r="B5355" t="str">
        <f t="shared" ref="B5355:B5374" si="352">"LUNGO POLCEVERA  4-"</f>
        <v>LUNGO POLCEVERA  4-</v>
      </c>
      <c r="C5355" t="str">
        <f t="shared" ref="C5355:C5374" si="353">"SAM"</f>
        <v>SAM</v>
      </c>
      <c r="D5355">
        <v>7</v>
      </c>
      <c r="E5355" t="str">
        <f t="shared" ref="E5355:E5374" si="354">"61"</f>
        <v>61</v>
      </c>
      <c r="F5355" t="str">
        <f>"1"</f>
        <v>1</v>
      </c>
    </row>
    <row r="5356" spans="1:6">
      <c r="A5356" t="str">
        <f>"E1260-2"</f>
        <v>E1260-2</v>
      </c>
      <c r="B5356" t="str">
        <f t="shared" si="352"/>
        <v>LUNGO POLCEVERA  4-</v>
      </c>
      <c r="C5356" t="str">
        <f t="shared" si="353"/>
        <v>SAM</v>
      </c>
      <c r="D5356">
        <v>7</v>
      </c>
      <c r="E5356" t="str">
        <f t="shared" si="354"/>
        <v>61</v>
      </c>
      <c r="F5356" t="str">
        <f>"2"</f>
        <v>2</v>
      </c>
    </row>
    <row r="5357" spans="1:6">
      <c r="A5357" t="str">
        <f>"E1260-3"</f>
        <v>E1260-3</v>
      </c>
      <c r="B5357" t="str">
        <f t="shared" si="352"/>
        <v>LUNGO POLCEVERA  4-</v>
      </c>
      <c r="C5357" t="str">
        <f t="shared" si="353"/>
        <v>SAM</v>
      </c>
      <c r="D5357">
        <v>7</v>
      </c>
      <c r="E5357" t="str">
        <f t="shared" si="354"/>
        <v>61</v>
      </c>
      <c r="F5357" t="str">
        <f>"3"</f>
        <v>3</v>
      </c>
    </row>
    <row r="5358" spans="1:6">
      <c r="A5358" t="str">
        <f>"E1260-4"</f>
        <v>E1260-4</v>
      </c>
      <c r="B5358" t="str">
        <f t="shared" si="352"/>
        <v>LUNGO POLCEVERA  4-</v>
      </c>
      <c r="C5358" t="str">
        <f t="shared" si="353"/>
        <v>SAM</v>
      </c>
      <c r="D5358">
        <v>7</v>
      </c>
      <c r="E5358" t="str">
        <f t="shared" si="354"/>
        <v>61</v>
      </c>
      <c r="F5358" t="str">
        <f>"4"</f>
        <v>4</v>
      </c>
    </row>
    <row r="5359" spans="1:6">
      <c r="A5359" t="str">
        <f>"E1260-5"</f>
        <v>E1260-5</v>
      </c>
      <c r="B5359" t="str">
        <f t="shared" si="352"/>
        <v>LUNGO POLCEVERA  4-</v>
      </c>
      <c r="C5359" t="str">
        <f t="shared" si="353"/>
        <v>SAM</v>
      </c>
      <c r="D5359">
        <v>7</v>
      </c>
      <c r="E5359" t="str">
        <f t="shared" si="354"/>
        <v>61</v>
      </c>
      <c r="F5359" t="str">
        <f>"5"</f>
        <v>5</v>
      </c>
    </row>
    <row r="5360" spans="1:6">
      <c r="A5360" t="str">
        <f>"E1260-6"</f>
        <v>E1260-6</v>
      </c>
      <c r="B5360" t="str">
        <f t="shared" si="352"/>
        <v>LUNGO POLCEVERA  4-</v>
      </c>
      <c r="C5360" t="str">
        <f t="shared" si="353"/>
        <v>SAM</v>
      </c>
      <c r="D5360">
        <v>7</v>
      </c>
      <c r="E5360" t="str">
        <f t="shared" si="354"/>
        <v>61</v>
      </c>
      <c r="F5360" t="str">
        <f>"6"</f>
        <v>6</v>
      </c>
    </row>
    <row r="5361" spans="1:6">
      <c r="A5361" t="str">
        <f>"E1260-7"</f>
        <v>E1260-7</v>
      </c>
      <c r="B5361" t="str">
        <f t="shared" si="352"/>
        <v>LUNGO POLCEVERA  4-</v>
      </c>
      <c r="C5361" t="str">
        <f t="shared" si="353"/>
        <v>SAM</v>
      </c>
      <c r="D5361">
        <v>7</v>
      </c>
      <c r="E5361" t="str">
        <f t="shared" si="354"/>
        <v>61</v>
      </c>
      <c r="F5361" t="str">
        <f>"7"</f>
        <v>7</v>
      </c>
    </row>
    <row r="5362" spans="1:6">
      <c r="A5362" t="str">
        <f>"E1260-8"</f>
        <v>E1260-8</v>
      </c>
      <c r="B5362" t="str">
        <f t="shared" si="352"/>
        <v>LUNGO POLCEVERA  4-</v>
      </c>
      <c r="C5362" t="str">
        <f t="shared" si="353"/>
        <v>SAM</v>
      </c>
      <c r="D5362">
        <v>7</v>
      </c>
      <c r="E5362" t="str">
        <f t="shared" si="354"/>
        <v>61</v>
      </c>
      <c r="F5362" t="str">
        <f>"8"</f>
        <v>8</v>
      </c>
    </row>
    <row r="5363" spans="1:6">
      <c r="A5363" t="str">
        <f>"E1260-9"</f>
        <v>E1260-9</v>
      </c>
      <c r="B5363" t="str">
        <f t="shared" si="352"/>
        <v>LUNGO POLCEVERA  4-</v>
      </c>
      <c r="C5363" t="str">
        <f t="shared" si="353"/>
        <v>SAM</v>
      </c>
      <c r="D5363">
        <v>7</v>
      </c>
      <c r="E5363" t="str">
        <f t="shared" si="354"/>
        <v>61</v>
      </c>
      <c r="F5363" t="str">
        <f>"9"</f>
        <v>9</v>
      </c>
    </row>
    <row r="5364" spans="1:6">
      <c r="A5364" t="str">
        <f>"E1260-10"</f>
        <v>E1260-10</v>
      </c>
      <c r="B5364" t="str">
        <f t="shared" si="352"/>
        <v>LUNGO POLCEVERA  4-</v>
      </c>
      <c r="C5364" t="str">
        <f t="shared" si="353"/>
        <v>SAM</v>
      </c>
      <c r="D5364">
        <v>7</v>
      </c>
      <c r="E5364" t="str">
        <f t="shared" si="354"/>
        <v>61</v>
      </c>
      <c r="F5364" t="str">
        <f>"10"</f>
        <v>10</v>
      </c>
    </row>
    <row r="5365" spans="1:6">
      <c r="A5365" t="str">
        <f>"E1260-11"</f>
        <v>E1260-11</v>
      </c>
      <c r="B5365" t="str">
        <f t="shared" si="352"/>
        <v>LUNGO POLCEVERA  4-</v>
      </c>
      <c r="C5365" t="str">
        <f t="shared" si="353"/>
        <v>SAM</v>
      </c>
      <c r="D5365">
        <v>7</v>
      </c>
      <c r="E5365" t="str">
        <f t="shared" si="354"/>
        <v>61</v>
      </c>
      <c r="F5365" t="str">
        <f>"11"</f>
        <v>11</v>
      </c>
    </row>
    <row r="5366" spans="1:6">
      <c r="A5366" t="str">
        <f>"E1260-12"</f>
        <v>E1260-12</v>
      </c>
      <c r="B5366" t="str">
        <f t="shared" si="352"/>
        <v>LUNGO POLCEVERA  4-</v>
      </c>
      <c r="C5366" t="str">
        <f t="shared" si="353"/>
        <v>SAM</v>
      </c>
      <c r="D5366">
        <v>7</v>
      </c>
      <c r="E5366" t="str">
        <f t="shared" si="354"/>
        <v>61</v>
      </c>
      <c r="F5366" t="str">
        <f>"12"</f>
        <v>12</v>
      </c>
    </row>
    <row r="5367" spans="1:6">
      <c r="A5367" t="str">
        <f>"E1260-13"</f>
        <v>E1260-13</v>
      </c>
      <c r="B5367" t="str">
        <f t="shared" si="352"/>
        <v>LUNGO POLCEVERA  4-</v>
      </c>
      <c r="C5367" t="str">
        <f t="shared" si="353"/>
        <v>SAM</v>
      </c>
      <c r="D5367">
        <v>7</v>
      </c>
      <c r="E5367" t="str">
        <f t="shared" si="354"/>
        <v>61</v>
      </c>
      <c r="F5367" t="str">
        <f>"13"</f>
        <v>13</v>
      </c>
    </row>
    <row r="5368" spans="1:6">
      <c r="A5368" t="str">
        <f>"E1260-14"</f>
        <v>E1260-14</v>
      </c>
      <c r="B5368" t="str">
        <f t="shared" si="352"/>
        <v>LUNGO POLCEVERA  4-</v>
      </c>
      <c r="C5368" t="str">
        <f t="shared" si="353"/>
        <v>SAM</v>
      </c>
      <c r="D5368">
        <v>7</v>
      </c>
      <c r="E5368" t="str">
        <f t="shared" si="354"/>
        <v>61</v>
      </c>
      <c r="F5368" t="str">
        <f>"14"</f>
        <v>14</v>
      </c>
    </row>
    <row r="5369" spans="1:6">
      <c r="A5369" t="str">
        <f>"E1260-15"</f>
        <v>E1260-15</v>
      </c>
      <c r="B5369" t="str">
        <f t="shared" si="352"/>
        <v>LUNGO POLCEVERA  4-</v>
      </c>
      <c r="C5369" t="str">
        <f t="shared" si="353"/>
        <v>SAM</v>
      </c>
      <c r="D5369">
        <v>7</v>
      </c>
      <c r="E5369" t="str">
        <f t="shared" si="354"/>
        <v>61</v>
      </c>
      <c r="F5369" t="str">
        <f>"15"</f>
        <v>15</v>
      </c>
    </row>
    <row r="5370" spans="1:6">
      <c r="A5370" t="str">
        <f>"E1260-16"</f>
        <v>E1260-16</v>
      </c>
      <c r="B5370" t="str">
        <f t="shared" si="352"/>
        <v>LUNGO POLCEVERA  4-</v>
      </c>
      <c r="C5370" t="str">
        <f t="shared" si="353"/>
        <v>SAM</v>
      </c>
      <c r="D5370">
        <v>7</v>
      </c>
      <c r="E5370" t="str">
        <f t="shared" si="354"/>
        <v>61</v>
      </c>
      <c r="F5370" t="str">
        <f>"16"</f>
        <v>16</v>
      </c>
    </row>
    <row r="5371" spans="1:6">
      <c r="A5371" t="str">
        <f>"E1260-17"</f>
        <v>E1260-17</v>
      </c>
      <c r="B5371" t="str">
        <f t="shared" si="352"/>
        <v>LUNGO POLCEVERA  4-</v>
      </c>
      <c r="C5371" t="str">
        <f t="shared" si="353"/>
        <v>SAM</v>
      </c>
      <c r="D5371">
        <v>7</v>
      </c>
      <c r="E5371" t="str">
        <f t="shared" si="354"/>
        <v>61</v>
      </c>
      <c r="F5371" t="str">
        <f>"17"</f>
        <v>17</v>
      </c>
    </row>
    <row r="5372" spans="1:6">
      <c r="A5372" t="str">
        <f>"E1260-18"</f>
        <v>E1260-18</v>
      </c>
      <c r="B5372" t="str">
        <f t="shared" si="352"/>
        <v>LUNGO POLCEVERA  4-</v>
      </c>
      <c r="C5372" t="str">
        <f t="shared" si="353"/>
        <v>SAM</v>
      </c>
      <c r="D5372">
        <v>7</v>
      </c>
      <c r="E5372" t="str">
        <f t="shared" si="354"/>
        <v>61</v>
      </c>
      <c r="F5372" t="str">
        <f>"18"</f>
        <v>18</v>
      </c>
    </row>
    <row r="5373" spans="1:6">
      <c r="A5373" t="str">
        <f>"E1260-19"</f>
        <v>E1260-19</v>
      </c>
      <c r="B5373" t="str">
        <f t="shared" si="352"/>
        <v>LUNGO POLCEVERA  4-</v>
      </c>
      <c r="C5373" t="str">
        <f t="shared" si="353"/>
        <v>SAM</v>
      </c>
      <c r="D5373">
        <v>7</v>
      </c>
      <c r="E5373" t="str">
        <f t="shared" si="354"/>
        <v>61</v>
      </c>
      <c r="F5373" t="str">
        <f>"19"</f>
        <v>19</v>
      </c>
    </row>
    <row r="5374" spans="1:6">
      <c r="A5374" t="str">
        <f>"E1260-20"</f>
        <v>E1260-20</v>
      </c>
      <c r="B5374" t="str">
        <f t="shared" si="352"/>
        <v>LUNGO POLCEVERA  4-</v>
      </c>
      <c r="C5374" t="str">
        <f t="shared" si="353"/>
        <v>SAM</v>
      </c>
      <c r="D5374">
        <v>7</v>
      </c>
      <c r="E5374" t="str">
        <f t="shared" si="354"/>
        <v>61</v>
      </c>
      <c r="F5374" t="str">
        <f>"20"</f>
        <v>20</v>
      </c>
    </row>
    <row r="5375" spans="1:6">
      <c r="A5375" t="str">
        <f>"E1261-1"</f>
        <v>E1261-1</v>
      </c>
      <c r="B5375" t="str">
        <f>"LUNGO POLCEVERA  7ER-"</f>
        <v>LUNGO POLCEVERA  7ER-</v>
      </c>
      <c r="C5375" t="str">
        <f t="shared" ref="C5375:C5406" si="355">"SQ"</f>
        <v>SQ</v>
      </c>
      <c r="D5375">
        <v>7</v>
      </c>
      <c r="E5375" t="str">
        <f t="shared" ref="E5375:E5398" si="356">"51"</f>
        <v>51</v>
      </c>
      <c r="F5375" t="str">
        <f>"1"</f>
        <v>1</v>
      </c>
    </row>
    <row r="5376" spans="1:6">
      <c r="A5376" t="str">
        <f>"E1261-4"</f>
        <v>E1261-4</v>
      </c>
      <c r="B5376" t="str">
        <f t="shared" ref="B5376:B5397" si="357">"LUNGO POLCEVERA  6-"</f>
        <v>LUNGO POLCEVERA  6-</v>
      </c>
      <c r="C5376" t="str">
        <f t="shared" si="355"/>
        <v>SQ</v>
      </c>
      <c r="D5376">
        <v>7</v>
      </c>
      <c r="E5376" t="str">
        <f t="shared" si="356"/>
        <v>51</v>
      </c>
      <c r="F5376" t="str">
        <f>"4"</f>
        <v>4</v>
      </c>
    </row>
    <row r="5377" spans="1:6">
      <c r="A5377" t="str">
        <f>"E1261-5"</f>
        <v>E1261-5</v>
      </c>
      <c r="B5377" t="str">
        <f t="shared" si="357"/>
        <v>LUNGO POLCEVERA  6-</v>
      </c>
      <c r="C5377" t="str">
        <f t="shared" si="355"/>
        <v>SQ</v>
      </c>
      <c r="D5377">
        <v>7</v>
      </c>
      <c r="E5377" t="str">
        <f t="shared" si="356"/>
        <v>51</v>
      </c>
      <c r="F5377" t="str">
        <f>"5"</f>
        <v>5</v>
      </c>
    </row>
    <row r="5378" spans="1:6">
      <c r="A5378" t="str">
        <f>"E1261-6"</f>
        <v>E1261-6</v>
      </c>
      <c r="B5378" t="str">
        <f t="shared" si="357"/>
        <v>LUNGO POLCEVERA  6-</v>
      </c>
      <c r="C5378" t="str">
        <f t="shared" si="355"/>
        <v>SQ</v>
      </c>
      <c r="D5378">
        <v>7</v>
      </c>
      <c r="E5378" t="str">
        <f t="shared" si="356"/>
        <v>51</v>
      </c>
      <c r="F5378" t="str">
        <f>"6"</f>
        <v>6</v>
      </c>
    </row>
    <row r="5379" spans="1:6">
      <c r="A5379" t="str">
        <f>"E1261-7"</f>
        <v>E1261-7</v>
      </c>
      <c r="B5379" t="str">
        <f t="shared" si="357"/>
        <v>LUNGO POLCEVERA  6-</v>
      </c>
      <c r="C5379" t="str">
        <f t="shared" si="355"/>
        <v>SQ</v>
      </c>
      <c r="D5379">
        <v>7</v>
      </c>
      <c r="E5379" t="str">
        <f t="shared" si="356"/>
        <v>51</v>
      </c>
      <c r="F5379" t="str">
        <f>"7"</f>
        <v>7</v>
      </c>
    </row>
    <row r="5380" spans="1:6">
      <c r="A5380" t="str">
        <f>"E1261-8"</f>
        <v>E1261-8</v>
      </c>
      <c r="B5380" t="str">
        <f t="shared" si="357"/>
        <v>LUNGO POLCEVERA  6-</v>
      </c>
      <c r="C5380" t="str">
        <f t="shared" si="355"/>
        <v>SQ</v>
      </c>
      <c r="D5380">
        <v>7</v>
      </c>
      <c r="E5380" t="str">
        <f t="shared" si="356"/>
        <v>51</v>
      </c>
      <c r="F5380" t="str">
        <f>"8"</f>
        <v>8</v>
      </c>
    </row>
    <row r="5381" spans="1:6">
      <c r="A5381" t="str">
        <f>"E1261-9"</f>
        <v>E1261-9</v>
      </c>
      <c r="B5381" t="str">
        <f t="shared" si="357"/>
        <v>LUNGO POLCEVERA  6-</v>
      </c>
      <c r="C5381" t="str">
        <f t="shared" si="355"/>
        <v>SQ</v>
      </c>
      <c r="D5381">
        <v>7</v>
      </c>
      <c r="E5381" t="str">
        <f t="shared" si="356"/>
        <v>51</v>
      </c>
      <c r="F5381" t="str">
        <f>"9"</f>
        <v>9</v>
      </c>
    </row>
    <row r="5382" spans="1:6">
      <c r="A5382" t="str">
        <f>"E1261-10"</f>
        <v>E1261-10</v>
      </c>
      <c r="B5382" t="str">
        <f t="shared" si="357"/>
        <v>LUNGO POLCEVERA  6-</v>
      </c>
      <c r="C5382" t="str">
        <f t="shared" si="355"/>
        <v>SQ</v>
      </c>
      <c r="D5382">
        <v>7</v>
      </c>
      <c r="E5382" t="str">
        <f t="shared" si="356"/>
        <v>51</v>
      </c>
      <c r="F5382" t="str">
        <f>"10"</f>
        <v>10</v>
      </c>
    </row>
    <row r="5383" spans="1:6">
      <c r="A5383" t="str">
        <f>"E1261-11"</f>
        <v>E1261-11</v>
      </c>
      <c r="B5383" t="str">
        <f t="shared" si="357"/>
        <v>LUNGO POLCEVERA  6-</v>
      </c>
      <c r="C5383" t="str">
        <f t="shared" si="355"/>
        <v>SQ</v>
      </c>
      <c r="D5383">
        <v>7</v>
      </c>
      <c r="E5383" t="str">
        <f t="shared" si="356"/>
        <v>51</v>
      </c>
      <c r="F5383" t="str">
        <f>"11"</f>
        <v>11</v>
      </c>
    </row>
    <row r="5384" spans="1:6">
      <c r="A5384" t="str">
        <f>"E1261-12"</f>
        <v>E1261-12</v>
      </c>
      <c r="B5384" t="str">
        <f t="shared" si="357"/>
        <v>LUNGO POLCEVERA  6-</v>
      </c>
      <c r="C5384" t="str">
        <f t="shared" si="355"/>
        <v>SQ</v>
      </c>
      <c r="D5384">
        <v>7</v>
      </c>
      <c r="E5384" t="str">
        <f t="shared" si="356"/>
        <v>51</v>
      </c>
      <c r="F5384" t="str">
        <f>"12"</f>
        <v>12</v>
      </c>
    </row>
    <row r="5385" spans="1:6">
      <c r="A5385" t="str">
        <f>"E1261-13"</f>
        <v>E1261-13</v>
      </c>
      <c r="B5385" t="str">
        <f t="shared" si="357"/>
        <v>LUNGO POLCEVERA  6-</v>
      </c>
      <c r="C5385" t="str">
        <f t="shared" si="355"/>
        <v>SQ</v>
      </c>
      <c r="D5385">
        <v>7</v>
      </c>
      <c r="E5385" t="str">
        <f t="shared" si="356"/>
        <v>51</v>
      </c>
      <c r="F5385" t="str">
        <f>"13"</f>
        <v>13</v>
      </c>
    </row>
    <row r="5386" spans="1:6">
      <c r="A5386" t="str">
        <f>"E1261-14"</f>
        <v>E1261-14</v>
      </c>
      <c r="B5386" t="str">
        <f t="shared" si="357"/>
        <v>LUNGO POLCEVERA  6-</v>
      </c>
      <c r="C5386" t="str">
        <f t="shared" si="355"/>
        <v>SQ</v>
      </c>
      <c r="D5386">
        <v>7</v>
      </c>
      <c r="E5386" t="str">
        <f t="shared" si="356"/>
        <v>51</v>
      </c>
      <c r="F5386" t="str">
        <f>"14"</f>
        <v>14</v>
      </c>
    </row>
    <row r="5387" spans="1:6">
      <c r="A5387" t="str">
        <f>"E1261-15"</f>
        <v>E1261-15</v>
      </c>
      <c r="B5387" t="str">
        <f t="shared" si="357"/>
        <v>LUNGO POLCEVERA  6-</v>
      </c>
      <c r="C5387" t="str">
        <f t="shared" si="355"/>
        <v>SQ</v>
      </c>
      <c r="D5387">
        <v>7</v>
      </c>
      <c r="E5387" t="str">
        <f t="shared" si="356"/>
        <v>51</v>
      </c>
      <c r="F5387" t="str">
        <f>"15"</f>
        <v>15</v>
      </c>
    </row>
    <row r="5388" spans="1:6">
      <c r="A5388" t="str">
        <f>"E1261-16"</f>
        <v>E1261-16</v>
      </c>
      <c r="B5388" t="str">
        <f t="shared" si="357"/>
        <v>LUNGO POLCEVERA  6-</v>
      </c>
      <c r="C5388" t="str">
        <f t="shared" si="355"/>
        <v>SQ</v>
      </c>
      <c r="D5388">
        <v>7</v>
      </c>
      <c r="E5388" t="str">
        <f t="shared" si="356"/>
        <v>51</v>
      </c>
      <c r="F5388" t="str">
        <f>"16"</f>
        <v>16</v>
      </c>
    </row>
    <row r="5389" spans="1:6">
      <c r="A5389" t="str">
        <f>"E1261-17"</f>
        <v>E1261-17</v>
      </c>
      <c r="B5389" t="str">
        <f t="shared" si="357"/>
        <v>LUNGO POLCEVERA  6-</v>
      </c>
      <c r="C5389" t="str">
        <f t="shared" si="355"/>
        <v>SQ</v>
      </c>
      <c r="D5389">
        <v>7</v>
      </c>
      <c r="E5389" t="str">
        <f t="shared" si="356"/>
        <v>51</v>
      </c>
      <c r="F5389" t="str">
        <f>"17"</f>
        <v>17</v>
      </c>
    </row>
    <row r="5390" spans="1:6">
      <c r="A5390" t="str">
        <f>"E1261-18"</f>
        <v>E1261-18</v>
      </c>
      <c r="B5390" t="str">
        <f t="shared" si="357"/>
        <v>LUNGO POLCEVERA  6-</v>
      </c>
      <c r="C5390" t="str">
        <f t="shared" si="355"/>
        <v>SQ</v>
      </c>
      <c r="D5390">
        <v>7</v>
      </c>
      <c r="E5390" t="str">
        <f t="shared" si="356"/>
        <v>51</v>
      </c>
      <c r="F5390" t="str">
        <f>"18"</f>
        <v>18</v>
      </c>
    </row>
    <row r="5391" spans="1:6">
      <c r="A5391" t="str">
        <f>"E1261-19"</f>
        <v>E1261-19</v>
      </c>
      <c r="B5391" t="str">
        <f t="shared" si="357"/>
        <v>LUNGO POLCEVERA  6-</v>
      </c>
      <c r="C5391" t="str">
        <f t="shared" si="355"/>
        <v>SQ</v>
      </c>
      <c r="D5391">
        <v>7</v>
      </c>
      <c r="E5391" t="str">
        <f t="shared" si="356"/>
        <v>51</v>
      </c>
      <c r="F5391" t="str">
        <f>"19"</f>
        <v>19</v>
      </c>
    </row>
    <row r="5392" spans="1:6">
      <c r="A5392" t="str">
        <f>"E1261-20"</f>
        <v>E1261-20</v>
      </c>
      <c r="B5392" t="str">
        <f t="shared" si="357"/>
        <v>LUNGO POLCEVERA  6-</v>
      </c>
      <c r="C5392" t="str">
        <f t="shared" si="355"/>
        <v>SQ</v>
      </c>
      <c r="D5392">
        <v>7</v>
      </c>
      <c r="E5392" t="str">
        <f t="shared" si="356"/>
        <v>51</v>
      </c>
      <c r="F5392" t="str">
        <f>"20"</f>
        <v>20</v>
      </c>
    </row>
    <row r="5393" spans="1:6">
      <c r="A5393" t="str">
        <f>"E1261-21"</f>
        <v>E1261-21</v>
      </c>
      <c r="B5393" t="str">
        <f t="shared" si="357"/>
        <v>LUNGO POLCEVERA  6-</v>
      </c>
      <c r="C5393" t="str">
        <f t="shared" si="355"/>
        <v>SQ</v>
      </c>
      <c r="D5393">
        <v>7</v>
      </c>
      <c r="E5393" t="str">
        <f t="shared" si="356"/>
        <v>51</v>
      </c>
      <c r="F5393" t="str">
        <f>"21"</f>
        <v>21</v>
      </c>
    </row>
    <row r="5394" spans="1:6">
      <c r="A5394" t="str">
        <f>"E1261-22"</f>
        <v>E1261-22</v>
      </c>
      <c r="B5394" t="str">
        <f t="shared" si="357"/>
        <v>LUNGO POLCEVERA  6-</v>
      </c>
      <c r="C5394" t="str">
        <f t="shared" si="355"/>
        <v>SQ</v>
      </c>
      <c r="D5394">
        <v>7</v>
      </c>
      <c r="E5394" t="str">
        <f t="shared" si="356"/>
        <v>51</v>
      </c>
      <c r="F5394" t="str">
        <f>"22"</f>
        <v>22</v>
      </c>
    </row>
    <row r="5395" spans="1:6">
      <c r="A5395" t="str">
        <f>"E1261-23"</f>
        <v>E1261-23</v>
      </c>
      <c r="B5395" t="str">
        <f t="shared" si="357"/>
        <v>LUNGO POLCEVERA  6-</v>
      </c>
      <c r="C5395" t="str">
        <f t="shared" si="355"/>
        <v>SQ</v>
      </c>
      <c r="D5395">
        <v>7</v>
      </c>
      <c r="E5395" t="str">
        <f t="shared" si="356"/>
        <v>51</v>
      </c>
      <c r="F5395" t="str">
        <f>"23"</f>
        <v>23</v>
      </c>
    </row>
    <row r="5396" spans="1:6">
      <c r="A5396" t="str">
        <f>"E1261-24"</f>
        <v>E1261-24</v>
      </c>
      <c r="B5396" t="str">
        <f t="shared" si="357"/>
        <v>LUNGO POLCEVERA  6-</v>
      </c>
      <c r="C5396" t="str">
        <f t="shared" si="355"/>
        <v>SQ</v>
      </c>
      <c r="D5396">
        <v>7</v>
      </c>
      <c r="E5396" t="str">
        <f t="shared" si="356"/>
        <v>51</v>
      </c>
      <c r="F5396" t="str">
        <f>"24"</f>
        <v>24</v>
      </c>
    </row>
    <row r="5397" spans="1:6">
      <c r="A5397" t="str">
        <f>"E1261-25"</f>
        <v>E1261-25</v>
      </c>
      <c r="B5397" t="str">
        <f t="shared" si="357"/>
        <v>LUNGO POLCEVERA  6-</v>
      </c>
      <c r="C5397" t="str">
        <f t="shared" si="355"/>
        <v>SQ</v>
      </c>
      <c r="D5397">
        <v>7</v>
      </c>
      <c r="E5397" t="str">
        <f t="shared" si="356"/>
        <v>51</v>
      </c>
      <c r="F5397" t="str">
        <f>"25"</f>
        <v>25</v>
      </c>
    </row>
    <row r="5398" spans="1:6">
      <c r="A5398" t="str">
        <f>"E1261-26"</f>
        <v>E1261-26</v>
      </c>
      <c r="B5398" t="str">
        <f>"LUNGO POLCEVERA  7FR-"</f>
        <v>LUNGO POLCEVERA  7FR-</v>
      </c>
      <c r="C5398" t="str">
        <f t="shared" si="355"/>
        <v>SQ</v>
      </c>
      <c r="D5398">
        <v>7</v>
      </c>
      <c r="E5398" t="str">
        <f t="shared" si="356"/>
        <v>51</v>
      </c>
      <c r="F5398" t="str">
        <f>"2"</f>
        <v>2</v>
      </c>
    </row>
    <row r="5399" spans="1:6">
      <c r="A5399" t="str">
        <f>"E1262-1"</f>
        <v>E1262-1</v>
      </c>
      <c r="B5399" t="str">
        <f t="shared" ref="B5399:B5416" si="358">"LUNGO POLCEVERA  14-"</f>
        <v>LUNGO POLCEVERA  14-</v>
      </c>
      <c r="C5399" t="str">
        <f t="shared" si="355"/>
        <v>SQ</v>
      </c>
      <c r="D5399">
        <v>7</v>
      </c>
      <c r="E5399" t="str">
        <f t="shared" ref="E5399:E5436" si="359">"1252"</f>
        <v>1252</v>
      </c>
      <c r="F5399" t="str">
        <f>"1"</f>
        <v>1</v>
      </c>
    </row>
    <row r="5400" spans="1:6">
      <c r="A5400" t="str">
        <f>"E1262-2"</f>
        <v>E1262-2</v>
      </c>
      <c r="B5400" t="str">
        <f t="shared" si="358"/>
        <v>LUNGO POLCEVERA  14-</v>
      </c>
      <c r="C5400" t="str">
        <f t="shared" si="355"/>
        <v>SQ</v>
      </c>
      <c r="D5400">
        <v>7</v>
      </c>
      <c r="E5400" t="str">
        <f t="shared" si="359"/>
        <v>1252</v>
      </c>
      <c r="F5400" t="str">
        <f>"2"</f>
        <v>2</v>
      </c>
    </row>
    <row r="5401" spans="1:6">
      <c r="A5401" t="str">
        <f>"E1262-3"</f>
        <v>E1262-3</v>
      </c>
      <c r="B5401" t="str">
        <f t="shared" si="358"/>
        <v>LUNGO POLCEVERA  14-</v>
      </c>
      <c r="C5401" t="str">
        <f t="shared" si="355"/>
        <v>SQ</v>
      </c>
      <c r="D5401">
        <v>7</v>
      </c>
      <c r="E5401" t="str">
        <f t="shared" si="359"/>
        <v>1252</v>
      </c>
      <c r="F5401" t="str">
        <f>"3"</f>
        <v>3</v>
      </c>
    </row>
    <row r="5402" spans="1:6">
      <c r="A5402" t="str">
        <f>"E1262-4"</f>
        <v>E1262-4</v>
      </c>
      <c r="B5402" t="str">
        <f t="shared" si="358"/>
        <v>LUNGO POLCEVERA  14-</v>
      </c>
      <c r="C5402" t="str">
        <f t="shared" si="355"/>
        <v>SQ</v>
      </c>
      <c r="D5402">
        <v>7</v>
      </c>
      <c r="E5402" t="str">
        <f t="shared" si="359"/>
        <v>1252</v>
      </c>
      <c r="F5402" t="str">
        <f>"4"</f>
        <v>4</v>
      </c>
    </row>
    <row r="5403" spans="1:6">
      <c r="A5403" t="str">
        <f>"E1262-5"</f>
        <v>E1262-5</v>
      </c>
      <c r="B5403" t="str">
        <f t="shared" si="358"/>
        <v>LUNGO POLCEVERA  14-</v>
      </c>
      <c r="C5403" t="str">
        <f t="shared" si="355"/>
        <v>SQ</v>
      </c>
      <c r="D5403">
        <v>7</v>
      </c>
      <c r="E5403" t="str">
        <f t="shared" si="359"/>
        <v>1252</v>
      </c>
      <c r="F5403" t="str">
        <f>"5"</f>
        <v>5</v>
      </c>
    </row>
    <row r="5404" spans="1:6">
      <c r="A5404" t="str">
        <f>"E1262-6"</f>
        <v>E1262-6</v>
      </c>
      <c r="B5404" t="str">
        <f t="shared" si="358"/>
        <v>LUNGO POLCEVERA  14-</v>
      </c>
      <c r="C5404" t="str">
        <f t="shared" si="355"/>
        <v>SQ</v>
      </c>
      <c r="D5404">
        <v>7</v>
      </c>
      <c r="E5404" t="str">
        <f t="shared" si="359"/>
        <v>1252</v>
      </c>
      <c r="F5404" t="str">
        <f>"6"</f>
        <v>6</v>
      </c>
    </row>
    <row r="5405" spans="1:6">
      <c r="A5405" t="str">
        <f>"E1262-7"</f>
        <v>E1262-7</v>
      </c>
      <c r="B5405" t="str">
        <f t="shared" si="358"/>
        <v>LUNGO POLCEVERA  14-</v>
      </c>
      <c r="C5405" t="str">
        <f t="shared" si="355"/>
        <v>SQ</v>
      </c>
      <c r="D5405">
        <v>7</v>
      </c>
      <c r="E5405" t="str">
        <f t="shared" si="359"/>
        <v>1252</v>
      </c>
      <c r="F5405" t="str">
        <f>"7"</f>
        <v>7</v>
      </c>
    </row>
    <row r="5406" spans="1:6">
      <c r="A5406" t="str">
        <f>"E1262-8"</f>
        <v>E1262-8</v>
      </c>
      <c r="B5406" t="str">
        <f t="shared" si="358"/>
        <v>LUNGO POLCEVERA  14-</v>
      </c>
      <c r="C5406" t="str">
        <f t="shared" si="355"/>
        <v>SQ</v>
      </c>
      <c r="D5406">
        <v>7</v>
      </c>
      <c r="E5406" t="str">
        <f t="shared" si="359"/>
        <v>1252</v>
      </c>
      <c r="F5406" t="str">
        <f>"8"</f>
        <v>8</v>
      </c>
    </row>
    <row r="5407" spans="1:6">
      <c r="A5407" t="str">
        <f>"E1262-9"</f>
        <v>E1262-9</v>
      </c>
      <c r="B5407" t="str">
        <f t="shared" si="358"/>
        <v>LUNGO POLCEVERA  14-</v>
      </c>
      <c r="C5407" t="str">
        <f t="shared" ref="C5407:C5436" si="360">"SQ"</f>
        <v>SQ</v>
      </c>
      <c r="D5407">
        <v>7</v>
      </c>
      <c r="E5407" t="str">
        <f t="shared" si="359"/>
        <v>1252</v>
      </c>
      <c r="F5407" t="str">
        <f>"9"</f>
        <v>9</v>
      </c>
    </row>
    <row r="5408" spans="1:6">
      <c r="A5408" t="str">
        <f>"E1262-10"</f>
        <v>E1262-10</v>
      </c>
      <c r="B5408" t="str">
        <f t="shared" si="358"/>
        <v>LUNGO POLCEVERA  14-</v>
      </c>
      <c r="C5408" t="str">
        <f t="shared" si="360"/>
        <v>SQ</v>
      </c>
      <c r="D5408">
        <v>7</v>
      </c>
      <c r="E5408" t="str">
        <f t="shared" si="359"/>
        <v>1252</v>
      </c>
      <c r="F5408" t="str">
        <f>"10"</f>
        <v>10</v>
      </c>
    </row>
    <row r="5409" spans="1:6">
      <c r="A5409" t="str">
        <f>"E1262-11"</f>
        <v>E1262-11</v>
      </c>
      <c r="B5409" t="str">
        <f t="shared" si="358"/>
        <v>LUNGO POLCEVERA  14-</v>
      </c>
      <c r="C5409" t="str">
        <f t="shared" si="360"/>
        <v>SQ</v>
      </c>
      <c r="D5409">
        <v>7</v>
      </c>
      <c r="E5409" t="str">
        <f t="shared" si="359"/>
        <v>1252</v>
      </c>
      <c r="F5409" t="str">
        <f>"11"</f>
        <v>11</v>
      </c>
    </row>
    <row r="5410" spans="1:6">
      <c r="A5410" t="str">
        <f>"E1262-12"</f>
        <v>E1262-12</v>
      </c>
      <c r="B5410" t="str">
        <f t="shared" si="358"/>
        <v>LUNGO POLCEVERA  14-</v>
      </c>
      <c r="C5410" t="str">
        <f t="shared" si="360"/>
        <v>SQ</v>
      </c>
      <c r="D5410">
        <v>7</v>
      </c>
      <c r="E5410" t="str">
        <f t="shared" si="359"/>
        <v>1252</v>
      </c>
      <c r="F5410" t="str">
        <f>"12"</f>
        <v>12</v>
      </c>
    </row>
    <row r="5411" spans="1:6">
      <c r="A5411" t="str">
        <f>"E1262-13"</f>
        <v>E1262-13</v>
      </c>
      <c r="B5411" t="str">
        <f t="shared" si="358"/>
        <v>LUNGO POLCEVERA  14-</v>
      </c>
      <c r="C5411" t="str">
        <f t="shared" si="360"/>
        <v>SQ</v>
      </c>
      <c r="D5411">
        <v>7</v>
      </c>
      <c r="E5411" t="str">
        <f t="shared" si="359"/>
        <v>1252</v>
      </c>
      <c r="F5411" t="str">
        <f>"13"</f>
        <v>13</v>
      </c>
    </row>
    <row r="5412" spans="1:6">
      <c r="A5412" t="str">
        <f>"E1262-14"</f>
        <v>E1262-14</v>
      </c>
      <c r="B5412" t="str">
        <f t="shared" si="358"/>
        <v>LUNGO POLCEVERA  14-</v>
      </c>
      <c r="C5412" t="str">
        <f t="shared" si="360"/>
        <v>SQ</v>
      </c>
      <c r="D5412">
        <v>7</v>
      </c>
      <c r="E5412" t="str">
        <f t="shared" si="359"/>
        <v>1252</v>
      </c>
      <c r="F5412" t="str">
        <f>"14"</f>
        <v>14</v>
      </c>
    </row>
    <row r="5413" spans="1:6">
      <c r="A5413" t="str">
        <f>"E1262-15"</f>
        <v>E1262-15</v>
      </c>
      <c r="B5413" t="str">
        <f t="shared" si="358"/>
        <v>LUNGO POLCEVERA  14-</v>
      </c>
      <c r="C5413" t="str">
        <f t="shared" si="360"/>
        <v>SQ</v>
      </c>
      <c r="D5413">
        <v>7</v>
      </c>
      <c r="E5413" t="str">
        <f t="shared" si="359"/>
        <v>1252</v>
      </c>
      <c r="F5413" t="str">
        <f>"15"</f>
        <v>15</v>
      </c>
    </row>
    <row r="5414" spans="1:6">
      <c r="A5414" t="str">
        <f>"E1262-16"</f>
        <v>E1262-16</v>
      </c>
      <c r="B5414" t="str">
        <f t="shared" si="358"/>
        <v>LUNGO POLCEVERA  14-</v>
      </c>
      <c r="C5414" t="str">
        <f t="shared" si="360"/>
        <v>SQ</v>
      </c>
      <c r="D5414">
        <v>7</v>
      </c>
      <c r="E5414" t="str">
        <f t="shared" si="359"/>
        <v>1252</v>
      </c>
      <c r="F5414" t="str">
        <f>"16"</f>
        <v>16</v>
      </c>
    </row>
    <row r="5415" spans="1:6">
      <c r="A5415" t="str">
        <f>"E1262-17"</f>
        <v>E1262-17</v>
      </c>
      <c r="B5415" t="str">
        <f t="shared" si="358"/>
        <v>LUNGO POLCEVERA  14-</v>
      </c>
      <c r="C5415" t="str">
        <f t="shared" si="360"/>
        <v>SQ</v>
      </c>
      <c r="D5415">
        <v>7</v>
      </c>
      <c r="E5415" t="str">
        <f t="shared" si="359"/>
        <v>1252</v>
      </c>
      <c r="F5415" t="str">
        <f>"17"</f>
        <v>17</v>
      </c>
    </row>
    <row r="5416" spans="1:6">
      <c r="A5416" t="str">
        <f>"E1262-18"</f>
        <v>E1262-18</v>
      </c>
      <c r="B5416" t="str">
        <f t="shared" si="358"/>
        <v>LUNGO POLCEVERA  14-</v>
      </c>
      <c r="C5416" t="str">
        <f t="shared" si="360"/>
        <v>SQ</v>
      </c>
      <c r="D5416">
        <v>7</v>
      </c>
      <c r="E5416" t="str">
        <f t="shared" si="359"/>
        <v>1252</v>
      </c>
      <c r="F5416" t="str">
        <f>"18"</f>
        <v>18</v>
      </c>
    </row>
    <row r="5417" spans="1:6">
      <c r="A5417" t="str">
        <f>"E1262-19"</f>
        <v>E1262-19</v>
      </c>
      <c r="B5417" t="str">
        <f t="shared" ref="B5417:B5436" si="361">"LUNGO POLCEVERA  16-"</f>
        <v>LUNGO POLCEVERA  16-</v>
      </c>
      <c r="C5417" t="str">
        <f t="shared" si="360"/>
        <v>SQ</v>
      </c>
      <c r="D5417">
        <v>7</v>
      </c>
      <c r="E5417" t="str">
        <f t="shared" si="359"/>
        <v>1252</v>
      </c>
      <c r="F5417" t="str">
        <f>"19"</f>
        <v>19</v>
      </c>
    </row>
    <row r="5418" spans="1:6">
      <c r="A5418" t="str">
        <f>"E1262-20"</f>
        <v>E1262-20</v>
      </c>
      <c r="B5418" t="str">
        <f t="shared" si="361"/>
        <v>LUNGO POLCEVERA  16-</v>
      </c>
      <c r="C5418" t="str">
        <f t="shared" si="360"/>
        <v>SQ</v>
      </c>
      <c r="D5418">
        <v>7</v>
      </c>
      <c r="E5418" t="str">
        <f t="shared" si="359"/>
        <v>1252</v>
      </c>
      <c r="F5418" t="str">
        <f>"20"</f>
        <v>20</v>
      </c>
    </row>
    <row r="5419" spans="1:6">
      <c r="A5419" t="str">
        <f>"E1262-21"</f>
        <v>E1262-21</v>
      </c>
      <c r="B5419" t="str">
        <f t="shared" si="361"/>
        <v>LUNGO POLCEVERA  16-</v>
      </c>
      <c r="C5419" t="str">
        <f t="shared" si="360"/>
        <v>SQ</v>
      </c>
      <c r="D5419">
        <v>7</v>
      </c>
      <c r="E5419" t="str">
        <f t="shared" si="359"/>
        <v>1252</v>
      </c>
      <c r="F5419" t="str">
        <f>"21"</f>
        <v>21</v>
      </c>
    </row>
    <row r="5420" spans="1:6">
      <c r="A5420" t="str">
        <f>"E1262-22"</f>
        <v>E1262-22</v>
      </c>
      <c r="B5420" t="str">
        <f t="shared" si="361"/>
        <v>LUNGO POLCEVERA  16-</v>
      </c>
      <c r="C5420" t="str">
        <f t="shared" si="360"/>
        <v>SQ</v>
      </c>
      <c r="D5420">
        <v>7</v>
      </c>
      <c r="E5420" t="str">
        <f t="shared" si="359"/>
        <v>1252</v>
      </c>
      <c r="F5420" t="str">
        <f>"22"</f>
        <v>22</v>
      </c>
    </row>
    <row r="5421" spans="1:6">
      <c r="A5421" t="str">
        <f>"E1262-23"</f>
        <v>E1262-23</v>
      </c>
      <c r="B5421" t="str">
        <f t="shared" si="361"/>
        <v>LUNGO POLCEVERA  16-</v>
      </c>
      <c r="C5421" t="str">
        <f t="shared" si="360"/>
        <v>SQ</v>
      </c>
      <c r="D5421">
        <v>7</v>
      </c>
      <c r="E5421" t="str">
        <f t="shared" si="359"/>
        <v>1252</v>
      </c>
      <c r="F5421" t="str">
        <f>"23"</f>
        <v>23</v>
      </c>
    </row>
    <row r="5422" spans="1:6">
      <c r="A5422" t="str">
        <f>"E1262-24"</f>
        <v>E1262-24</v>
      </c>
      <c r="B5422" t="str">
        <f t="shared" si="361"/>
        <v>LUNGO POLCEVERA  16-</v>
      </c>
      <c r="C5422" t="str">
        <f t="shared" si="360"/>
        <v>SQ</v>
      </c>
      <c r="D5422">
        <v>7</v>
      </c>
      <c r="E5422" t="str">
        <f t="shared" si="359"/>
        <v>1252</v>
      </c>
      <c r="F5422" t="str">
        <f>"24"</f>
        <v>24</v>
      </c>
    </row>
    <row r="5423" spans="1:6">
      <c r="A5423" t="str">
        <f>"E1262-25"</f>
        <v>E1262-25</v>
      </c>
      <c r="B5423" t="str">
        <f t="shared" si="361"/>
        <v>LUNGO POLCEVERA  16-</v>
      </c>
      <c r="C5423" t="str">
        <f t="shared" si="360"/>
        <v>SQ</v>
      </c>
      <c r="D5423">
        <v>7</v>
      </c>
      <c r="E5423" t="str">
        <f t="shared" si="359"/>
        <v>1252</v>
      </c>
      <c r="F5423" t="str">
        <f>"25"</f>
        <v>25</v>
      </c>
    </row>
    <row r="5424" spans="1:6">
      <c r="A5424" t="str">
        <f>"E1262-26"</f>
        <v>E1262-26</v>
      </c>
      <c r="B5424" t="str">
        <f t="shared" si="361"/>
        <v>LUNGO POLCEVERA  16-</v>
      </c>
      <c r="C5424" t="str">
        <f t="shared" si="360"/>
        <v>SQ</v>
      </c>
      <c r="D5424">
        <v>7</v>
      </c>
      <c r="E5424" t="str">
        <f t="shared" si="359"/>
        <v>1252</v>
      </c>
      <c r="F5424" t="str">
        <f>"26"</f>
        <v>26</v>
      </c>
    </row>
    <row r="5425" spans="1:6">
      <c r="A5425" t="str">
        <f>"E1262-27"</f>
        <v>E1262-27</v>
      </c>
      <c r="B5425" t="str">
        <f t="shared" si="361"/>
        <v>LUNGO POLCEVERA  16-</v>
      </c>
      <c r="C5425" t="str">
        <f t="shared" si="360"/>
        <v>SQ</v>
      </c>
      <c r="D5425">
        <v>7</v>
      </c>
      <c r="E5425" t="str">
        <f t="shared" si="359"/>
        <v>1252</v>
      </c>
      <c r="F5425" t="str">
        <f>"27"</f>
        <v>27</v>
      </c>
    </row>
    <row r="5426" spans="1:6">
      <c r="A5426" t="str">
        <f>"E1262-28"</f>
        <v>E1262-28</v>
      </c>
      <c r="B5426" t="str">
        <f t="shared" si="361"/>
        <v>LUNGO POLCEVERA  16-</v>
      </c>
      <c r="C5426" t="str">
        <f t="shared" si="360"/>
        <v>SQ</v>
      </c>
      <c r="D5426">
        <v>7</v>
      </c>
      <c r="E5426" t="str">
        <f t="shared" si="359"/>
        <v>1252</v>
      </c>
      <c r="F5426" t="str">
        <f>"28"</f>
        <v>28</v>
      </c>
    </row>
    <row r="5427" spans="1:6">
      <c r="A5427" t="str">
        <f>"E1262-29"</f>
        <v>E1262-29</v>
      </c>
      <c r="B5427" t="str">
        <f t="shared" si="361"/>
        <v>LUNGO POLCEVERA  16-</v>
      </c>
      <c r="C5427" t="str">
        <f t="shared" si="360"/>
        <v>SQ</v>
      </c>
      <c r="D5427">
        <v>7</v>
      </c>
      <c r="E5427" t="str">
        <f t="shared" si="359"/>
        <v>1252</v>
      </c>
      <c r="F5427" t="str">
        <f>"29"</f>
        <v>29</v>
      </c>
    </row>
    <row r="5428" spans="1:6">
      <c r="A5428" t="str">
        <f>"E1262-30"</f>
        <v>E1262-30</v>
      </c>
      <c r="B5428" t="str">
        <f t="shared" si="361"/>
        <v>LUNGO POLCEVERA  16-</v>
      </c>
      <c r="C5428" t="str">
        <f t="shared" si="360"/>
        <v>SQ</v>
      </c>
      <c r="D5428">
        <v>7</v>
      </c>
      <c r="E5428" t="str">
        <f t="shared" si="359"/>
        <v>1252</v>
      </c>
      <c r="F5428" t="str">
        <f>"30"</f>
        <v>30</v>
      </c>
    </row>
    <row r="5429" spans="1:6">
      <c r="A5429" t="str">
        <f>"E1262-31"</f>
        <v>E1262-31</v>
      </c>
      <c r="B5429" t="str">
        <f t="shared" si="361"/>
        <v>LUNGO POLCEVERA  16-</v>
      </c>
      <c r="C5429" t="str">
        <f t="shared" si="360"/>
        <v>SQ</v>
      </c>
      <c r="D5429">
        <v>7</v>
      </c>
      <c r="E5429" t="str">
        <f t="shared" si="359"/>
        <v>1252</v>
      </c>
      <c r="F5429" t="str">
        <f>"31"</f>
        <v>31</v>
      </c>
    </row>
    <row r="5430" spans="1:6">
      <c r="A5430" t="str">
        <f>"E1262-32"</f>
        <v>E1262-32</v>
      </c>
      <c r="B5430" t="str">
        <f t="shared" si="361"/>
        <v>LUNGO POLCEVERA  16-</v>
      </c>
      <c r="C5430" t="str">
        <f t="shared" si="360"/>
        <v>SQ</v>
      </c>
      <c r="D5430">
        <v>7</v>
      </c>
      <c r="E5430" t="str">
        <f t="shared" si="359"/>
        <v>1252</v>
      </c>
      <c r="F5430" t="str">
        <f>"32"</f>
        <v>32</v>
      </c>
    </row>
    <row r="5431" spans="1:6">
      <c r="A5431" t="str">
        <f>"E1262-33"</f>
        <v>E1262-33</v>
      </c>
      <c r="B5431" t="str">
        <f t="shared" si="361"/>
        <v>LUNGO POLCEVERA  16-</v>
      </c>
      <c r="C5431" t="str">
        <f t="shared" si="360"/>
        <v>SQ</v>
      </c>
      <c r="D5431">
        <v>7</v>
      </c>
      <c r="E5431" t="str">
        <f t="shared" si="359"/>
        <v>1252</v>
      </c>
      <c r="F5431" t="str">
        <f>"33"</f>
        <v>33</v>
      </c>
    </row>
    <row r="5432" spans="1:6">
      <c r="A5432" t="str">
        <f>"E1262-34"</f>
        <v>E1262-34</v>
      </c>
      <c r="B5432" t="str">
        <f t="shared" si="361"/>
        <v>LUNGO POLCEVERA  16-</v>
      </c>
      <c r="C5432" t="str">
        <f t="shared" si="360"/>
        <v>SQ</v>
      </c>
      <c r="D5432">
        <v>7</v>
      </c>
      <c r="E5432" t="str">
        <f t="shared" si="359"/>
        <v>1252</v>
      </c>
      <c r="F5432" t="str">
        <f>"34"</f>
        <v>34</v>
      </c>
    </row>
    <row r="5433" spans="1:6">
      <c r="A5433" t="str">
        <f>"E1262-35"</f>
        <v>E1262-35</v>
      </c>
      <c r="B5433" t="str">
        <f t="shared" si="361"/>
        <v>LUNGO POLCEVERA  16-</v>
      </c>
      <c r="C5433" t="str">
        <f t="shared" si="360"/>
        <v>SQ</v>
      </c>
      <c r="D5433">
        <v>7</v>
      </c>
      <c r="E5433" t="str">
        <f t="shared" si="359"/>
        <v>1252</v>
      </c>
      <c r="F5433" t="str">
        <f>"35"</f>
        <v>35</v>
      </c>
    </row>
    <row r="5434" spans="1:6">
      <c r="A5434" t="str">
        <f>"E1262-36"</f>
        <v>E1262-36</v>
      </c>
      <c r="B5434" t="str">
        <f t="shared" si="361"/>
        <v>LUNGO POLCEVERA  16-</v>
      </c>
      <c r="C5434" t="str">
        <f t="shared" si="360"/>
        <v>SQ</v>
      </c>
      <c r="D5434">
        <v>7</v>
      </c>
      <c r="E5434" t="str">
        <f t="shared" si="359"/>
        <v>1252</v>
      </c>
      <c r="F5434" t="str">
        <f>"36"</f>
        <v>36</v>
      </c>
    </row>
    <row r="5435" spans="1:6">
      <c r="A5435" t="str">
        <f>"E1262-37"</f>
        <v>E1262-37</v>
      </c>
      <c r="B5435" t="str">
        <f t="shared" si="361"/>
        <v>LUNGO POLCEVERA  16-</v>
      </c>
      <c r="C5435" t="str">
        <f t="shared" si="360"/>
        <v>SQ</v>
      </c>
      <c r="D5435">
        <v>7</v>
      </c>
      <c r="E5435" t="str">
        <f t="shared" si="359"/>
        <v>1252</v>
      </c>
      <c r="F5435" t="str">
        <f>"37"</f>
        <v>37</v>
      </c>
    </row>
    <row r="5436" spans="1:6">
      <c r="A5436" t="str">
        <f>"E1262-38"</f>
        <v>E1262-38</v>
      </c>
      <c r="B5436" t="str">
        <f t="shared" si="361"/>
        <v>LUNGO POLCEVERA  16-</v>
      </c>
      <c r="C5436" t="str">
        <f t="shared" si="360"/>
        <v>SQ</v>
      </c>
      <c r="D5436">
        <v>7</v>
      </c>
      <c r="E5436" t="str">
        <f t="shared" si="359"/>
        <v>1252</v>
      </c>
      <c r="F5436" t="str">
        <f>"38"</f>
        <v>38</v>
      </c>
    </row>
    <row r="5437" spans="1:6">
      <c r="A5437" t="str">
        <f>"E1263-1"</f>
        <v>E1263-1</v>
      </c>
      <c r="B5437" t="str">
        <f>"VIA CARLO LINNEO  232-"</f>
        <v>VIA CARLO LINNEO  232-</v>
      </c>
      <c r="C5437" t="str">
        <f t="shared" ref="C5437:C5448" si="362">"4"</f>
        <v>4</v>
      </c>
      <c r="D5437">
        <v>26</v>
      </c>
      <c r="E5437" t="str">
        <f>"105"</f>
        <v>105</v>
      </c>
      <c r="F5437" t="str">
        <f t="shared" ref="F5437:F5448" si="363">"0000"</f>
        <v>0000</v>
      </c>
    </row>
    <row r="5438" spans="1:6">
      <c r="C5438" t="str">
        <f t="shared" si="362"/>
        <v>4</v>
      </c>
      <c r="D5438">
        <v>26</v>
      </c>
      <c r="E5438" t="str">
        <f>"106"</f>
        <v>106</v>
      </c>
      <c r="F5438" t="str">
        <f t="shared" si="363"/>
        <v>0000</v>
      </c>
    </row>
    <row r="5439" spans="1:6">
      <c r="C5439" t="str">
        <f t="shared" si="362"/>
        <v>4</v>
      </c>
      <c r="D5439">
        <v>26</v>
      </c>
      <c r="E5439" t="str">
        <f>"261"</f>
        <v>261</v>
      </c>
      <c r="F5439" t="str">
        <f t="shared" si="363"/>
        <v>0000</v>
      </c>
    </row>
    <row r="5440" spans="1:6">
      <c r="C5440" t="str">
        <f t="shared" si="362"/>
        <v>4</v>
      </c>
      <c r="D5440">
        <v>26</v>
      </c>
      <c r="E5440" t="str">
        <f>"99999"</f>
        <v>99999</v>
      </c>
      <c r="F5440" t="str">
        <f t="shared" si="363"/>
        <v>0000</v>
      </c>
    </row>
    <row r="5441" spans="1:6">
      <c r="C5441" t="str">
        <f t="shared" si="362"/>
        <v>4</v>
      </c>
      <c r="D5441">
        <v>27</v>
      </c>
      <c r="E5441" t="str">
        <f>"290"</f>
        <v>290</v>
      </c>
      <c r="F5441" t="str">
        <f t="shared" si="363"/>
        <v>0000</v>
      </c>
    </row>
    <row r="5442" spans="1:6">
      <c r="C5442" t="str">
        <f t="shared" si="362"/>
        <v>4</v>
      </c>
      <c r="D5442">
        <v>27</v>
      </c>
      <c r="E5442" t="str">
        <f>"516"</f>
        <v>516</v>
      </c>
      <c r="F5442" t="str">
        <f t="shared" si="363"/>
        <v>0000</v>
      </c>
    </row>
    <row r="5443" spans="1:6">
      <c r="C5443" t="str">
        <f t="shared" si="362"/>
        <v>4</v>
      </c>
      <c r="D5443">
        <v>27</v>
      </c>
      <c r="E5443" t="str">
        <f>"297"</f>
        <v>297</v>
      </c>
      <c r="F5443" t="str">
        <f t="shared" si="363"/>
        <v>0000</v>
      </c>
    </row>
    <row r="5444" spans="1:6">
      <c r="C5444" t="str">
        <f t="shared" si="362"/>
        <v>4</v>
      </c>
      <c r="D5444">
        <v>27</v>
      </c>
      <c r="E5444" t="str">
        <f>"295"</f>
        <v>295</v>
      </c>
      <c r="F5444" t="str">
        <f t="shared" si="363"/>
        <v>0000</v>
      </c>
    </row>
    <row r="5445" spans="1:6">
      <c r="C5445" t="str">
        <f t="shared" si="362"/>
        <v>4</v>
      </c>
      <c r="D5445">
        <v>27</v>
      </c>
      <c r="E5445" t="str">
        <f>"292"</f>
        <v>292</v>
      </c>
      <c r="F5445" t="str">
        <f t="shared" si="363"/>
        <v>0000</v>
      </c>
    </row>
    <row r="5446" spans="1:6">
      <c r="C5446" t="str">
        <f t="shared" si="362"/>
        <v>4</v>
      </c>
      <c r="D5446">
        <v>27</v>
      </c>
      <c r="E5446" t="str">
        <f>"289"</f>
        <v>289</v>
      </c>
      <c r="F5446" t="str">
        <f t="shared" si="363"/>
        <v>0000</v>
      </c>
    </row>
    <row r="5447" spans="1:6">
      <c r="C5447" t="str">
        <f t="shared" si="362"/>
        <v>4</v>
      </c>
      <c r="D5447">
        <v>26</v>
      </c>
      <c r="E5447" t="str">
        <f>"262"</f>
        <v>262</v>
      </c>
      <c r="F5447" t="str">
        <f t="shared" si="363"/>
        <v>0000</v>
      </c>
    </row>
    <row r="5448" spans="1:6">
      <c r="C5448" t="str">
        <f t="shared" si="362"/>
        <v>4</v>
      </c>
      <c r="D5448">
        <v>26</v>
      </c>
      <c r="E5448" t="str">
        <f>"142"</f>
        <v>142</v>
      </c>
      <c r="F5448" t="str">
        <f t="shared" si="363"/>
        <v>0000</v>
      </c>
    </row>
    <row r="5449" spans="1:6">
      <c r="A5449" t="str">
        <f>"E1264-1"</f>
        <v>E1264-1</v>
      </c>
      <c r="B5449" t="str">
        <f t="shared" ref="B5449:B5480" si="364">"VIA A. P. CECHOV  11-"</f>
        <v>VIA A. P. CECHOV  11-</v>
      </c>
      <c r="C5449" t="str">
        <f t="shared" ref="C5449:C5512" si="365">"RIV"</f>
        <v>RIV</v>
      </c>
      <c r="D5449">
        <v>27</v>
      </c>
      <c r="E5449" t="str">
        <f t="shared" ref="E5449:E5512" si="366">"1207"</f>
        <v>1207</v>
      </c>
      <c r="F5449" t="str">
        <f>"191"</f>
        <v>191</v>
      </c>
    </row>
    <row r="5450" spans="1:6">
      <c r="A5450" t="str">
        <f>"E1264-2"</f>
        <v>E1264-2</v>
      </c>
      <c r="B5450" t="str">
        <f t="shared" si="364"/>
        <v>VIA A. P. CECHOV  11-</v>
      </c>
      <c r="C5450" t="str">
        <f t="shared" si="365"/>
        <v>RIV</v>
      </c>
      <c r="D5450">
        <v>27</v>
      </c>
      <c r="E5450" t="str">
        <f t="shared" si="366"/>
        <v>1207</v>
      </c>
      <c r="F5450" t="str">
        <f>"192"</f>
        <v>192</v>
      </c>
    </row>
    <row r="5451" spans="1:6">
      <c r="A5451" t="str">
        <f>"E1264-3"</f>
        <v>E1264-3</v>
      </c>
      <c r="B5451" t="str">
        <f t="shared" si="364"/>
        <v>VIA A. P. CECHOV  11-</v>
      </c>
      <c r="C5451" t="str">
        <f t="shared" si="365"/>
        <v>RIV</v>
      </c>
      <c r="D5451">
        <v>27</v>
      </c>
      <c r="E5451" t="str">
        <f t="shared" si="366"/>
        <v>1207</v>
      </c>
      <c r="F5451" t="str">
        <f>"193"</f>
        <v>193</v>
      </c>
    </row>
    <row r="5452" spans="1:6">
      <c r="A5452" t="str">
        <f>"E1264-4"</f>
        <v>E1264-4</v>
      </c>
      <c r="B5452" t="str">
        <f t="shared" si="364"/>
        <v>VIA A. P. CECHOV  11-</v>
      </c>
      <c r="C5452" t="str">
        <f t="shared" si="365"/>
        <v>RIV</v>
      </c>
      <c r="D5452">
        <v>27</v>
      </c>
      <c r="E5452" t="str">
        <f t="shared" si="366"/>
        <v>1207</v>
      </c>
      <c r="F5452" t="str">
        <f>"206"</f>
        <v>206</v>
      </c>
    </row>
    <row r="5453" spans="1:6">
      <c r="A5453" t="str">
        <f>"E1264-5"</f>
        <v>E1264-5</v>
      </c>
      <c r="B5453" t="str">
        <f t="shared" si="364"/>
        <v>VIA A. P. CECHOV  11-</v>
      </c>
      <c r="C5453" t="str">
        <f t="shared" si="365"/>
        <v>RIV</v>
      </c>
      <c r="D5453">
        <v>27</v>
      </c>
      <c r="E5453" t="str">
        <f t="shared" si="366"/>
        <v>1207</v>
      </c>
      <c r="F5453" t="str">
        <f>"207"</f>
        <v>207</v>
      </c>
    </row>
    <row r="5454" spans="1:6">
      <c r="A5454" t="str">
        <f>"E1264-6"</f>
        <v>E1264-6</v>
      </c>
      <c r="B5454" t="str">
        <f t="shared" si="364"/>
        <v>VIA A. P. CECHOV  11-</v>
      </c>
      <c r="C5454" t="str">
        <f t="shared" si="365"/>
        <v>RIV</v>
      </c>
      <c r="D5454">
        <v>27</v>
      </c>
      <c r="E5454" t="str">
        <f t="shared" si="366"/>
        <v>1207</v>
      </c>
      <c r="F5454" t="str">
        <f>"208"</f>
        <v>208</v>
      </c>
    </row>
    <row r="5455" spans="1:6">
      <c r="A5455" t="str">
        <f>"E1264-7"</f>
        <v>E1264-7</v>
      </c>
      <c r="B5455" t="str">
        <f t="shared" si="364"/>
        <v>VIA A. P. CECHOV  11-</v>
      </c>
      <c r="C5455" t="str">
        <f t="shared" si="365"/>
        <v>RIV</v>
      </c>
      <c r="D5455">
        <v>27</v>
      </c>
      <c r="E5455" t="str">
        <f t="shared" si="366"/>
        <v>1207</v>
      </c>
      <c r="F5455" t="str">
        <f>"222"</f>
        <v>222</v>
      </c>
    </row>
    <row r="5456" spans="1:6">
      <c r="A5456" t="str">
        <f>"E1264-8"</f>
        <v>E1264-8</v>
      </c>
      <c r="B5456" t="str">
        <f t="shared" si="364"/>
        <v>VIA A. P. CECHOV  11-</v>
      </c>
      <c r="C5456" t="str">
        <f t="shared" si="365"/>
        <v>RIV</v>
      </c>
      <c r="D5456">
        <v>27</v>
      </c>
      <c r="E5456" t="str">
        <f t="shared" si="366"/>
        <v>1207</v>
      </c>
      <c r="F5456" t="str">
        <f>"223"</f>
        <v>223</v>
      </c>
    </row>
    <row r="5457" spans="1:6">
      <c r="A5457" t="str">
        <f>"E1264-9"</f>
        <v>E1264-9</v>
      </c>
      <c r="B5457" t="str">
        <f t="shared" si="364"/>
        <v>VIA A. P. CECHOV  11-</v>
      </c>
      <c r="C5457" t="str">
        <f t="shared" si="365"/>
        <v>RIV</v>
      </c>
      <c r="D5457">
        <v>27</v>
      </c>
      <c r="E5457" t="str">
        <f t="shared" si="366"/>
        <v>1207</v>
      </c>
      <c r="F5457" t="str">
        <f>"224"</f>
        <v>224</v>
      </c>
    </row>
    <row r="5458" spans="1:6">
      <c r="A5458" t="str">
        <f>"E1264-10"</f>
        <v>E1264-10</v>
      </c>
      <c r="B5458" t="str">
        <f t="shared" si="364"/>
        <v>VIA A. P. CECHOV  11-</v>
      </c>
      <c r="C5458" t="str">
        <f t="shared" si="365"/>
        <v>RIV</v>
      </c>
      <c r="D5458">
        <v>27</v>
      </c>
      <c r="E5458" t="str">
        <f t="shared" si="366"/>
        <v>1207</v>
      </c>
      <c r="F5458" t="str">
        <f>"237"</f>
        <v>237</v>
      </c>
    </row>
    <row r="5459" spans="1:6">
      <c r="A5459" t="str">
        <f>"E1264-11"</f>
        <v>E1264-11</v>
      </c>
      <c r="B5459" t="str">
        <f t="shared" si="364"/>
        <v>VIA A. P. CECHOV  11-</v>
      </c>
      <c r="C5459" t="str">
        <f t="shared" si="365"/>
        <v>RIV</v>
      </c>
      <c r="D5459">
        <v>27</v>
      </c>
      <c r="E5459" t="str">
        <f t="shared" si="366"/>
        <v>1207</v>
      </c>
      <c r="F5459" t="str">
        <f>"238"</f>
        <v>238</v>
      </c>
    </row>
    <row r="5460" spans="1:6">
      <c r="A5460" t="str">
        <f>"E1264-12"</f>
        <v>E1264-12</v>
      </c>
      <c r="B5460" t="str">
        <f t="shared" si="364"/>
        <v>VIA A. P. CECHOV  11-</v>
      </c>
      <c r="C5460" t="str">
        <f t="shared" si="365"/>
        <v>RIV</v>
      </c>
      <c r="D5460">
        <v>27</v>
      </c>
      <c r="E5460" t="str">
        <f t="shared" si="366"/>
        <v>1207</v>
      </c>
      <c r="F5460" t="str">
        <f>"239"</f>
        <v>239</v>
      </c>
    </row>
    <row r="5461" spans="1:6">
      <c r="A5461" t="str">
        <f>"E1264-13"</f>
        <v>E1264-13</v>
      </c>
      <c r="B5461" t="str">
        <f t="shared" si="364"/>
        <v>VIA A. P. CECHOV  11-</v>
      </c>
      <c r="C5461" t="str">
        <f t="shared" si="365"/>
        <v>RIV</v>
      </c>
      <c r="D5461">
        <v>27</v>
      </c>
      <c r="E5461" t="str">
        <f t="shared" si="366"/>
        <v>1207</v>
      </c>
      <c r="F5461" t="str">
        <f>"252"</f>
        <v>252</v>
      </c>
    </row>
    <row r="5462" spans="1:6">
      <c r="A5462" t="str">
        <f>"E1264-14"</f>
        <v>E1264-14</v>
      </c>
      <c r="B5462" t="str">
        <f t="shared" si="364"/>
        <v>VIA A. P. CECHOV  11-</v>
      </c>
      <c r="C5462" t="str">
        <f t="shared" si="365"/>
        <v>RIV</v>
      </c>
      <c r="D5462">
        <v>27</v>
      </c>
      <c r="E5462" t="str">
        <f t="shared" si="366"/>
        <v>1207</v>
      </c>
      <c r="F5462" t="str">
        <f>"253"</f>
        <v>253</v>
      </c>
    </row>
    <row r="5463" spans="1:6">
      <c r="A5463" t="str">
        <f>"E1264-15"</f>
        <v>E1264-15</v>
      </c>
      <c r="B5463" t="str">
        <f t="shared" si="364"/>
        <v>VIA A. P. CECHOV  11-</v>
      </c>
      <c r="C5463" t="str">
        <f t="shared" si="365"/>
        <v>RIV</v>
      </c>
      <c r="D5463">
        <v>27</v>
      </c>
      <c r="E5463" t="str">
        <f t="shared" si="366"/>
        <v>1207</v>
      </c>
      <c r="F5463" t="str">
        <f>"254"</f>
        <v>254</v>
      </c>
    </row>
    <row r="5464" spans="1:6">
      <c r="A5464" t="str">
        <f>"E1264-16"</f>
        <v>E1264-16</v>
      </c>
      <c r="B5464" t="str">
        <f t="shared" si="364"/>
        <v>VIA A. P. CECHOV  11-</v>
      </c>
      <c r="C5464" t="str">
        <f t="shared" si="365"/>
        <v>RIV</v>
      </c>
      <c r="D5464">
        <v>27</v>
      </c>
      <c r="E5464" t="str">
        <f t="shared" si="366"/>
        <v>1207</v>
      </c>
      <c r="F5464" t="str">
        <f>"255"</f>
        <v>255</v>
      </c>
    </row>
    <row r="5465" spans="1:6">
      <c r="A5465" t="str">
        <f>"E1264-17"</f>
        <v>E1264-17</v>
      </c>
      <c r="B5465" t="str">
        <f t="shared" si="364"/>
        <v>VIA A. P. CECHOV  11-</v>
      </c>
      <c r="C5465" t="str">
        <f t="shared" si="365"/>
        <v>RIV</v>
      </c>
      <c r="D5465">
        <v>27</v>
      </c>
      <c r="E5465" t="str">
        <f t="shared" si="366"/>
        <v>1207</v>
      </c>
      <c r="F5465" t="str">
        <f>"256"</f>
        <v>256</v>
      </c>
    </row>
    <row r="5466" spans="1:6">
      <c r="A5466" t="str">
        <f>"E1264-18"</f>
        <v>E1264-18</v>
      </c>
      <c r="B5466" t="str">
        <f t="shared" si="364"/>
        <v>VIA A. P. CECHOV  11-</v>
      </c>
      <c r="C5466" t="str">
        <f t="shared" si="365"/>
        <v>RIV</v>
      </c>
      <c r="D5466">
        <v>27</v>
      </c>
      <c r="E5466" t="str">
        <f t="shared" si="366"/>
        <v>1207</v>
      </c>
      <c r="F5466" t="str">
        <f>"257"</f>
        <v>257</v>
      </c>
    </row>
    <row r="5467" spans="1:6">
      <c r="A5467" t="str">
        <f>"E1264-19"</f>
        <v>E1264-19</v>
      </c>
      <c r="B5467" t="str">
        <f t="shared" si="364"/>
        <v>VIA A. P. CECHOV  11-</v>
      </c>
      <c r="C5467" t="str">
        <f t="shared" si="365"/>
        <v>RIV</v>
      </c>
      <c r="D5467">
        <v>27</v>
      </c>
      <c r="E5467" t="str">
        <f t="shared" si="366"/>
        <v>1207</v>
      </c>
      <c r="F5467" t="str">
        <f>"258"</f>
        <v>258</v>
      </c>
    </row>
    <row r="5468" spans="1:6">
      <c r="A5468" t="str">
        <f>"E1264-20"</f>
        <v>E1264-20</v>
      </c>
      <c r="B5468" t="str">
        <f t="shared" si="364"/>
        <v>VIA A. P. CECHOV  11-</v>
      </c>
      <c r="C5468" t="str">
        <f t="shared" si="365"/>
        <v>RIV</v>
      </c>
      <c r="D5468">
        <v>27</v>
      </c>
      <c r="E5468" t="str">
        <f t="shared" si="366"/>
        <v>1207</v>
      </c>
      <c r="F5468" t="str">
        <f>"259"</f>
        <v>259</v>
      </c>
    </row>
    <row r="5469" spans="1:6">
      <c r="A5469" t="str">
        <f>"E1264-21"</f>
        <v>E1264-21</v>
      </c>
      <c r="B5469" t="str">
        <f t="shared" si="364"/>
        <v>VIA A. P. CECHOV  11-</v>
      </c>
      <c r="C5469" t="str">
        <f t="shared" si="365"/>
        <v>RIV</v>
      </c>
      <c r="D5469">
        <v>27</v>
      </c>
      <c r="E5469" t="str">
        <f t="shared" si="366"/>
        <v>1207</v>
      </c>
      <c r="F5469" t="str">
        <f>"272"</f>
        <v>272</v>
      </c>
    </row>
    <row r="5470" spans="1:6">
      <c r="A5470" t="str">
        <f>"E1264-22"</f>
        <v>E1264-22</v>
      </c>
      <c r="B5470" t="str">
        <f t="shared" si="364"/>
        <v>VIA A. P. CECHOV  11-</v>
      </c>
      <c r="C5470" t="str">
        <f t="shared" si="365"/>
        <v>RIV</v>
      </c>
      <c r="D5470">
        <v>27</v>
      </c>
      <c r="E5470" t="str">
        <f t="shared" si="366"/>
        <v>1207</v>
      </c>
      <c r="F5470" t="str">
        <f>"273"</f>
        <v>273</v>
      </c>
    </row>
    <row r="5471" spans="1:6">
      <c r="A5471" t="str">
        <f>"E1264-23"</f>
        <v>E1264-23</v>
      </c>
      <c r="B5471" t="str">
        <f t="shared" si="364"/>
        <v>VIA A. P. CECHOV  11-</v>
      </c>
      <c r="C5471" t="str">
        <f t="shared" si="365"/>
        <v>RIV</v>
      </c>
      <c r="D5471">
        <v>27</v>
      </c>
      <c r="E5471" t="str">
        <f t="shared" si="366"/>
        <v>1207</v>
      </c>
      <c r="F5471" t="str">
        <f>"274"</f>
        <v>274</v>
      </c>
    </row>
    <row r="5472" spans="1:6">
      <c r="A5472" t="str">
        <f>"E1264-24"</f>
        <v>E1264-24</v>
      </c>
      <c r="B5472" t="str">
        <f t="shared" si="364"/>
        <v>VIA A. P. CECHOV  11-</v>
      </c>
      <c r="C5472" t="str">
        <f t="shared" si="365"/>
        <v>RIV</v>
      </c>
      <c r="D5472">
        <v>27</v>
      </c>
      <c r="E5472" t="str">
        <f t="shared" si="366"/>
        <v>1207</v>
      </c>
      <c r="F5472" t="str">
        <f>"275"</f>
        <v>275</v>
      </c>
    </row>
    <row r="5473" spans="1:6">
      <c r="A5473" t="str">
        <f>"E1264-25"</f>
        <v>E1264-25</v>
      </c>
      <c r="B5473" t="str">
        <f t="shared" si="364"/>
        <v>VIA A. P. CECHOV  11-</v>
      </c>
      <c r="C5473" t="str">
        <f t="shared" si="365"/>
        <v>RIV</v>
      </c>
      <c r="D5473">
        <v>27</v>
      </c>
      <c r="E5473" t="str">
        <f t="shared" si="366"/>
        <v>1207</v>
      </c>
      <c r="F5473" t="str">
        <f>"276"</f>
        <v>276</v>
      </c>
    </row>
    <row r="5474" spans="1:6">
      <c r="A5474" t="str">
        <f>"E1264-26"</f>
        <v>E1264-26</v>
      </c>
      <c r="B5474" t="str">
        <f t="shared" si="364"/>
        <v>VIA A. P. CECHOV  11-</v>
      </c>
      <c r="C5474" t="str">
        <f t="shared" si="365"/>
        <v>RIV</v>
      </c>
      <c r="D5474">
        <v>27</v>
      </c>
      <c r="E5474" t="str">
        <f t="shared" si="366"/>
        <v>1207</v>
      </c>
      <c r="F5474" t="str">
        <f>"277"</f>
        <v>277</v>
      </c>
    </row>
    <row r="5475" spans="1:6">
      <c r="A5475" t="str">
        <f>"E1264-27"</f>
        <v>E1264-27</v>
      </c>
      <c r="B5475" t="str">
        <f t="shared" si="364"/>
        <v>VIA A. P. CECHOV  11-</v>
      </c>
      <c r="C5475" t="str">
        <f t="shared" si="365"/>
        <v>RIV</v>
      </c>
      <c r="D5475">
        <v>27</v>
      </c>
      <c r="E5475" t="str">
        <f t="shared" si="366"/>
        <v>1207</v>
      </c>
      <c r="F5475" t="str">
        <f>"278"</f>
        <v>278</v>
      </c>
    </row>
    <row r="5476" spans="1:6">
      <c r="A5476" t="str">
        <f>"E1264-28"</f>
        <v>E1264-28</v>
      </c>
      <c r="B5476" t="str">
        <f t="shared" si="364"/>
        <v>VIA A. P. CECHOV  11-</v>
      </c>
      <c r="C5476" t="str">
        <f t="shared" si="365"/>
        <v>RIV</v>
      </c>
      <c r="D5476">
        <v>27</v>
      </c>
      <c r="E5476" t="str">
        <f t="shared" si="366"/>
        <v>1207</v>
      </c>
      <c r="F5476" t="str">
        <f>"279"</f>
        <v>279</v>
      </c>
    </row>
    <row r="5477" spans="1:6">
      <c r="A5477" t="str">
        <f>"E1264-29"</f>
        <v>E1264-29</v>
      </c>
      <c r="B5477" t="str">
        <f t="shared" si="364"/>
        <v>VIA A. P. CECHOV  11-</v>
      </c>
      <c r="C5477" t="str">
        <f t="shared" si="365"/>
        <v>RIV</v>
      </c>
      <c r="D5477">
        <v>27</v>
      </c>
      <c r="E5477" t="str">
        <f t="shared" si="366"/>
        <v>1207</v>
      </c>
      <c r="F5477" t="str">
        <f>"292"</f>
        <v>292</v>
      </c>
    </row>
    <row r="5478" spans="1:6">
      <c r="A5478" t="str">
        <f>"E1264-30"</f>
        <v>E1264-30</v>
      </c>
      <c r="B5478" t="str">
        <f t="shared" si="364"/>
        <v>VIA A. P. CECHOV  11-</v>
      </c>
      <c r="C5478" t="str">
        <f t="shared" si="365"/>
        <v>RIV</v>
      </c>
      <c r="D5478">
        <v>27</v>
      </c>
      <c r="E5478" t="str">
        <f t="shared" si="366"/>
        <v>1207</v>
      </c>
      <c r="F5478" t="str">
        <f>"293"</f>
        <v>293</v>
      </c>
    </row>
    <row r="5479" spans="1:6">
      <c r="A5479" t="str">
        <f>"E1264-31"</f>
        <v>E1264-31</v>
      </c>
      <c r="B5479" t="str">
        <f t="shared" si="364"/>
        <v>VIA A. P. CECHOV  11-</v>
      </c>
      <c r="C5479" t="str">
        <f t="shared" si="365"/>
        <v>RIV</v>
      </c>
      <c r="D5479">
        <v>27</v>
      </c>
      <c r="E5479" t="str">
        <f t="shared" si="366"/>
        <v>1207</v>
      </c>
      <c r="F5479" t="str">
        <f>"294"</f>
        <v>294</v>
      </c>
    </row>
    <row r="5480" spans="1:6">
      <c r="A5480" t="str">
        <f>"E1264-32"</f>
        <v>E1264-32</v>
      </c>
      <c r="B5480" t="str">
        <f t="shared" si="364"/>
        <v>VIA A. P. CECHOV  11-</v>
      </c>
      <c r="C5480" t="str">
        <f t="shared" si="365"/>
        <v>RIV</v>
      </c>
      <c r="D5480">
        <v>27</v>
      </c>
      <c r="E5480" t="str">
        <f t="shared" si="366"/>
        <v>1207</v>
      </c>
      <c r="F5480" t="str">
        <f>"295"</f>
        <v>295</v>
      </c>
    </row>
    <row r="5481" spans="1:6">
      <c r="A5481" t="str">
        <f>"E1264-33"</f>
        <v>E1264-33</v>
      </c>
      <c r="B5481" t="str">
        <f t="shared" ref="B5481:B5516" si="367">"VIA A. P. CECHOV  11-"</f>
        <v>VIA A. P. CECHOV  11-</v>
      </c>
      <c r="C5481" t="str">
        <f t="shared" si="365"/>
        <v>RIV</v>
      </c>
      <c r="D5481">
        <v>27</v>
      </c>
      <c r="E5481" t="str">
        <f t="shared" si="366"/>
        <v>1207</v>
      </c>
      <c r="F5481" t="str">
        <f>"296"</f>
        <v>296</v>
      </c>
    </row>
    <row r="5482" spans="1:6">
      <c r="A5482" t="str">
        <f>"E1264-34"</f>
        <v>E1264-34</v>
      </c>
      <c r="B5482" t="str">
        <f t="shared" si="367"/>
        <v>VIA A. P. CECHOV  11-</v>
      </c>
      <c r="C5482" t="str">
        <f t="shared" si="365"/>
        <v>RIV</v>
      </c>
      <c r="D5482">
        <v>27</v>
      </c>
      <c r="E5482" t="str">
        <f t="shared" si="366"/>
        <v>1207</v>
      </c>
      <c r="F5482" t="str">
        <f>"297"</f>
        <v>297</v>
      </c>
    </row>
    <row r="5483" spans="1:6">
      <c r="A5483" t="str">
        <f>"E1264-35"</f>
        <v>E1264-35</v>
      </c>
      <c r="B5483" t="str">
        <f t="shared" si="367"/>
        <v>VIA A. P. CECHOV  11-</v>
      </c>
      <c r="C5483" t="str">
        <f t="shared" si="365"/>
        <v>RIV</v>
      </c>
      <c r="D5483">
        <v>27</v>
      </c>
      <c r="E5483" t="str">
        <f t="shared" si="366"/>
        <v>1207</v>
      </c>
      <c r="F5483" t="str">
        <f>"298"</f>
        <v>298</v>
      </c>
    </row>
    <row r="5484" spans="1:6">
      <c r="A5484" t="str">
        <f>"E1264-36"</f>
        <v>E1264-36</v>
      </c>
      <c r="B5484" t="str">
        <f t="shared" si="367"/>
        <v>VIA A. P. CECHOV  11-</v>
      </c>
      <c r="C5484" t="str">
        <f t="shared" si="365"/>
        <v>RIV</v>
      </c>
      <c r="D5484">
        <v>27</v>
      </c>
      <c r="E5484" t="str">
        <f t="shared" si="366"/>
        <v>1207</v>
      </c>
      <c r="F5484" t="str">
        <f>"299"</f>
        <v>299</v>
      </c>
    </row>
    <row r="5485" spans="1:6">
      <c r="A5485" t="str">
        <f>"E1264-37"</f>
        <v>E1264-37</v>
      </c>
      <c r="B5485" t="str">
        <f t="shared" si="367"/>
        <v>VIA A. P. CECHOV  11-</v>
      </c>
      <c r="C5485" t="str">
        <f t="shared" si="365"/>
        <v>RIV</v>
      </c>
      <c r="D5485">
        <v>27</v>
      </c>
      <c r="E5485" t="str">
        <f t="shared" si="366"/>
        <v>1207</v>
      </c>
      <c r="F5485" t="str">
        <f>"300"</f>
        <v>300</v>
      </c>
    </row>
    <row r="5486" spans="1:6">
      <c r="A5486" t="str">
        <f>"E1264-38"</f>
        <v>E1264-38</v>
      </c>
      <c r="B5486" t="str">
        <f t="shared" si="367"/>
        <v>VIA A. P. CECHOV  11-</v>
      </c>
      <c r="C5486" t="str">
        <f t="shared" si="365"/>
        <v>RIV</v>
      </c>
      <c r="D5486">
        <v>27</v>
      </c>
      <c r="E5486" t="str">
        <f t="shared" si="366"/>
        <v>1207</v>
      </c>
      <c r="F5486" t="str">
        <f>"301"</f>
        <v>301</v>
      </c>
    </row>
    <row r="5487" spans="1:6">
      <c r="A5487" t="str">
        <f>"E1264-39"</f>
        <v>E1264-39</v>
      </c>
      <c r="B5487" t="str">
        <f t="shared" si="367"/>
        <v>VIA A. P. CECHOV  11-</v>
      </c>
      <c r="C5487" t="str">
        <f t="shared" si="365"/>
        <v>RIV</v>
      </c>
      <c r="D5487">
        <v>27</v>
      </c>
      <c r="E5487" t="str">
        <f t="shared" si="366"/>
        <v>1207</v>
      </c>
      <c r="F5487" t="str">
        <f>"303"</f>
        <v>303</v>
      </c>
    </row>
    <row r="5488" spans="1:6">
      <c r="A5488" t="str">
        <f>"E1264-40"</f>
        <v>E1264-40</v>
      </c>
      <c r="B5488" t="str">
        <f t="shared" si="367"/>
        <v>VIA A. P. CECHOV  11-</v>
      </c>
      <c r="C5488" t="str">
        <f t="shared" si="365"/>
        <v>RIV</v>
      </c>
      <c r="D5488">
        <v>27</v>
      </c>
      <c r="E5488" t="str">
        <f t="shared" si="366"/>
        <v>1207</v>
      </c>
      <c r="F5488" t="str">
        <f>"304"</f>
        <v>304</v>
      </c>
    </row>
    <row r="5489" spans="1:6">
      <c r="A5489" t="str">
        <f>"E1264-41"</f>
        <v>E1264-41</v>
      </c>
      <c r="B5489" t="str">
        <f t="shared" si="367"/>
        <v>VIA A. P. CECHOV  11-</v>
      </c>
      <c r="C5489" t="str">
        <f t="shared" si="365"/>
        <v>RIV</v>
      </c>
      <c r="D5489">
        <v>27</v>
      </c>
      <c r="E5489" t="str">
        <f t="shared" si="366"/>
        <v>1207</v>
      </c>
      <c r="F5489" t="str">
        <f>"305"</f>
        <v>305</v>
      </c>
    </row>
    <row r="5490" spans="1:6">
      <c r="A5490" t="str">
        <f>"E1264-42"</f>
        <v>E1264-42</v>
      </c>
      <c r="B5490" t="str">
        <f t="shared" si="367"/>
        <v>VIA A. P. CECHOV  11-</v>
      </c>
      <c r="C5490" t="str">
        <f t="shared" si="365"/>
        <v>RIV</v>
      </c>
      <c r="D5490">
        <v>27</v>
      </c>
      <c r="E5490" t="str">
        <f t="shared" si="366"/>
        <v>1207</v>
      </c>
      <c r="F5490" t="str">
        <f>"306"</f>
        <v>306</v>
      </c>
    </row>
    <row r="5491" spans="1:6">
      <c r="A5491" t="str">
        <f>"E1264-43"</f>
        <v>E1264-43</v>
      </c>
      <c r="B5491" t="str">
        <f t="shared" si="367"/>
        <v>VIA A. P. CECHOV  11-</v>
      </c>
      <c r="C5491" t="str">
        <f t="shared" si="365"/>
        <v>RIV</v>
      </c>
      <c r="D5491">
        <v>27</v>
      </c>
      <c r="E5491" t="str">
        <f t="shared" si="366"/>
        <v>1207</v>
      </c>
      <c r="F5491" t="str">
        <f>"307"</f>
        <v>307</v>
      </c>
    </row>
    <row r="5492" spans="1:6">
      <c r="A5492" t="str">
        <f>"E1264-44"</f>
        <v>E1264-44</v>
      </c>
      <c r="B5492" t="str">
        <f t="shared" si="367"/>
        <v>VIA A. P. CECHOV  11-</v>
      </c>
      <c r="C5492" t="str">
        <f t="shared" si="365"/>
        <v>RIV</v>
      </c>
      <c r="D5492">
        <v>27</v>
      </c>
      <c r="E5492" t="str">
        <f t="shared" si="366"/>
        <v>1207</v>
      </c>
      <c r="F5492" t="str">
        <f>"308"</f>
        <v>308</v>
      </c>
    </row>
    <row r="5493" spans="1:6">
      <c r="A5493" t="str">
        <f>"E1264-45"</f>
        <v>E1264-45</v>
      </c>
      <c r="B5493" t="str">
        <f t="shared" si="367"/>
        <v>VIA A. P. CECHOV  11-</v>
      </c>
      <c r="C5493" t="str">
        <f t="shared" si="365"/>
        <v>RIV</v>
      </c>
      <c r="D5493">
        <v>27</v>
      </c>
      <c r="E5493" t="str">
        <f t="shared" si="366"/>
        <v>1207</v>
      </c>
      <c r="F5493" t="str">
        <f>"317"</f>
        <v>317</v>
      </c>
    </row>
    <row r="5494" spans="1:6">
      <c r="A5494" t="str">
        <f>"E1264-46"</f>
        <v>E1264-46</v>
      </c>
      <c r="B5494" t="str">
        <f t="shared" si="367"/>
        <v>VIA A. P. CECHOV  11-</v>
      </c>
      <c r="C5494" t="str">
        <f t="shared" si="365"/>
        <v>RIV</v>
      </c>
      <c r="D5494">
        <v>27</v>
      </c>
      <c r="E5494" t="str">
        <f t="shared" si="366"/>
        <v>1207</v>
      </c>
      <c r="F5494" t="str">
        <f>"311"</f>
        <v>311</v>
      </c>
    </row>
    <row r="5495" spans="1:6">
      <c r="A5495" t="str">
        <f>"E1264-47"</f>
        <v>E1264-47</v>
      </c>
      <c r="B5495" t="str">
        <f t="shared" si="367"/>
        <v>VIA A. P. CECHOV  11-</v>
      </c>
      <c r="C5495" t="str">
        <f t="shared" si="365"/>
        <v>RIV</v>
      </c>
      <c r="D5495">
        <v>27</v>
      </c>
      <c r="E5495" t="str">
        <f t="shared" si="366"/>
        <v>1207</v>
      </c>
      <c r="F5495" t="str">
        <f>"312"</f>
        <v>312</v>
      </c>
    </row>
    <row r="5496" spans="1:6">
      <c r="A5496" t="str">
        <f>"E1264-48"</f>
        <v>E1264-48</v>
      </c>
      <c r="B5496" t="str">
        <f t="shared" si="367"/>
        <v>VIA A. P. CECHOV  11-</v>
      </c>
      <c r="C5496" t="str">
        <f t="shared" si="365"/>
        <v>RIV</v>
      </c>
      <c r="D5496">
        <v>27</v>
      </c>
      <c r="E5496" t="str">
        <f t="shared" si="366"/>
        <v>1207</v>
      </c>
      <c r="F5496" t="str">
        <f>"313"</f>
        <v>313</v>
      </c>
    </row>
    <row r="5497" spans="1:6">
      <c r="A5497" t="str">
        <f>"E1264-49"</f>
        <v>E1264-49</v>
      </c>
      <c r="B5497" t="str">
        <f t="shared" si="367"/>
        <v>VIA A. P. CECHOV  11-</v>
      </c>
      <c r="C5497" t="str">
        <f t="shared" si="365"/>
        <v>RIV</v>
      </c>
      <c r="D5497">
        <v>27</v>
      </c>
      <c r="E5497" t="str">
        <f t="shared" si="366"/>
        <v>1207</v>
      </c>
      <c r="F5497" t="str">
        <f>"314"</f>
        <v>314</v>
      </c>
    </row>
    <row r="5498" spans="1:6">
      <c r="A5498" t="str">
        <f>"E1264-50"</f>
        <v>E1264-50</v>
      </c>
      <c r="B5498" t="str">
        <f t="shared" si="367"/>
        <v>VIA A. P. CECHOV  11-</v>
      </c>
      <c r="C5498" t="str">
        <f t="shared" si="365"/>
        <v>RIV</v>
      </c>
      <c r="D5498">
        <v>27</v>
      </c>
      <c r="E5498" t="str">
        <f t="shared" si="366"/>
        <v>1207</v>
      </c>
      <c r="F5498" t="str">
        <f>"315"</f>
        <v>315</v>
      </c>
    </row>
    <row r="5499" spans="1:6">
      <c r="A5499" t="str">
        <f>"E1264-51"</f>
        <v>E1264-51</v>
      </c>
      <c r="B5499" t="str">
        <f t="shared" si="367"/>
        <v>VIA A. P. CECHOV  11-</v>
      </c>
      <c r="C5499" t="str">
        <f t="shared" si="365"/>
        <v>RIV</v>
      </c>
      <c r="D5499">
        <v>27</v>
      </c>
      <c r="E5499" t="str">
        <f t="shared" si="366"/>
        <v>1207</v>
      </c>
      <c r="F5499" t="str">
        <f>"316"</f>
        <v>316</v>
      </c>
    </row>
    <row r="5500" spans="1:6">
      <c r="A5500" t="str">
        <f>"E1264-52"</f>
        <v>E1264-52</v>
      </c>
      <c r="B5500" t="str">
        <f t="shared" si="367"/>
        <v>VIA A. P. CECHOV  11-</v>
      </c>
      <c r="C5500" t="str">
        <f t="shared" si="365"/>
        <v>RIV</v>
      </c>
      <c r="D5500">
        <v>27</v>
      </c>
      <c r="E5500" t="str">
        <f t="shared" si="366"/>
        <v>1207</v>
      </c>
      <c r="F5500" t="str">
        <f>"318"</f>
        <v>318</v>
      </c>
    </row>
    <row r="5501" spans="1:6">
      <c r="A5501" t="str">
        <f>"E1264-53"</f>
        <v>E1264-53</v>
      </c>
      <c r="B5501" t="str">
        <f t="shared" si="367"/>
        <v>VIA A. P. CECHOV  11-</v>
      </c>
      <c r="C5501" t="str">
        <f t="shared" si="365"/>
        <v>RIV</v>
      </c>
      <c r="D5501">
        <v>27</v>
      </c>
      <c r="E5501" t="str">
        <f t="shared" si="366"/>
        <v>1207</v>
      </c>
      <c r="F5501" t="str">
        <f>"319"</f>
        <v>319</v>
      </c>
    </row>
    <row r="5502" spans="1:6">
      <c r="A5502" t="str">
        <f>"E1264-54"</f>
        <v>E1264-54</v>
      </c>
      <c r="B5502" t="str">
        <f t="shared" si="367"/>
        <v>VIA A. P. CECHOV  11-</v>
      </c>
      <c r="C5502" t="str">
        <f t="shared" si="365"/>
        <v>RIV</v>
      </c>
      <c r="D5502">
        <v>27</v>
      </c>
      <c r="E5502" t="str">
        <f t="shared" si="366"/>
        <v>1207</v>
      </c>
      <c r="F5502" t="str">
        <f>"320"</f>
        <v>320</v>
      </c>
    </row>
    <row r="5503" spans="1:6">
      <c r="A5503" t="str">
        <f>"E1264-55"</f>
        <v>E1264-55</v>
      </c>
      <c r="B5503" t="str">
        <f t="shared" si="367"/>
        <v>VIA A. P. CECHOV  11-</v>
      </c>
      <c r="C5503" t="str">
        <f t="shared" si="365"/>
        <v>RIV</v>
      </c>
      <c r="D5503">
        <v>27</v>
      </c>
      <c r="E5503" t="str">
        <f t="shared" si="366"/>
        <v>1207</v>
      </c>
      <c r="F5503" t="str">
        <f>"321"</f>
        <v>321</v>
      </c>
    </row>
    <row r="5504" spans="1:6">
      <c r="A5504" t="str">
        <f>"E1264-56"</f>
        <v>E1264-56</v>
      </c>
      <c r="B5504" t="str">
        <f t="shared" si="367"/>
        <v>VIA A. P. CECHOV  11-</v>
      </c>
      <c r="C5504" t="str">
        <f t="shared" si="365"/>
        <v>RIV</v>
      </c>
      <c r="D5504">
        <v>27</v>
      </c>
      <c r="E5504" t="str">
        <f t="shared" si="366"/>
        <v>1207</v>
      </c>
      <c r="F5504" t="str">
        <f>"322"</f>
        <v>322</v>
      </c>
    </row>
    <row r="5505" spans="1:6">
      <c r="A5505" t="str">
        <f>"E1264-57"</f>
        <v>E1264-57</v>
      </c>
      <c r="B5505" t="str">
        <f t="shared" si="367"/>
        <v>VIA A. P. CECHOV  11-</v>
      </c>
      <c r="C5505" t="str">
        <f t="shared" si="365"/>
        <v>RIV</v>
      </c>
      <c r="D5505">
        <v>27</v>
      </c>
      <c r="E5505" t="str">
        <f t="shared" si="366"/>
        <v>1207</v>
      </c>
      <c r="F5505" t="str">
        <f>"323"</f>
        <v>323</v>
      </c>
    </row>
    <row r="5506" spans="1:6">
      <c r="A5506" t="str">
        <f>"E1264-58"</f>
        <v>E1264-58</v>
      </c>
      <c r="B5506" t="str">
        <f t="shared" si="367"/>
        <v>VIA A. P. CECHOV  11-</v>
      </c>
      <c r="C5506" t="str">
        <f t="shared" si="365"/>
        <v>RIV</v>
      </c>
      <c r="D5506">
        <v>27</v>
      </c>
      <c r="E5506" t="str">
        <f t="shared" si="366"/>
        <v>1207</v>
      </c>
      <c r="F5506" t="str">
        <f>"324"</f>
        <v>324</v>
      </c>
    </row>
    <row r="5507" spans="1:6">
      <c r="A5507" t="str">
        <f>"E1264-59"</f>
        <v>E1264-59</v>
      </c>
      <c r="B5507" t="str">
        <f t="shared" si="367"/>
        <v>VIA A. P. CECHOV  11-</v>
      </c>
      <c r="C5507" t="str">
        <f t="shared" si="365"/>
        <v>RIV</v>
      </c>
      <c r="D5507">
        <v>27</v>
      </c>
      <c r="E5507" t="str">
        <f t="shared" si="366"/>
        <v>1207</v>
      </c>
      <c r="F5507" t="str">
        <f>"325"</f>
        <v>325</v>
      </c>
    </row>
    <row r="5508" spans="1:6">
      <c r="A5508" t="str">
        <f>"E1264-60"</f>
        <v>E1264-60</v>
      </c>
      <c r="B5508" t="str">
        <f t="shared" si="367"/>
        <v>VIA A. P. CECHOV  11-</v>
      </c>
      <c r="C5508" t="str">
        <f t="shared" si="365"/>
        <v>RIV</v>
      </c>
      <c r="D5508">
        <v>27</v>
      </c>
      <c r="E5508" t="str">
        <f t="shared" si="366"/>
        <v>1207</v>
      </c>
      <c r="F5508" t="str">
        <f>"326"</f>
        <v>326</v>
      </c>
    </row>
    <row r="5509" spans="1:6">
      <c r="A5509" t="str">
        <f>"E1264-61"</f>
        <v>E1264-61</v>
      </c>
      <c r="B5509" t="str">
        <f t="shared" si="367"/>
        <v>VIA A. P. CECHOV  11-</v>
      </c>
      <c r="C5509" t="str">
        <f t="shared" si="365"/>
        <v>RIV</v>
      </c>
      <c r="D5509">
        <v>27</v>
      </c>
      <c r="E5509" t="str">
        <f t="shared" si="366"/>
        <v>1207</v>
      </c>
      <c r="F5509" t="str">
        <f>"327"</f>
        <v>327</v>
      </c>
    </row>
    <row r="5510" spans="1:6">
      <c r="A5510" t="str">
        <f>"E1264-62"</f>
        <v>E1264-62</v>
      </c>
      <c r="B5510" t="str">
        <f t="shared" si="367"/>
        <v>VIA A. P. CECHOV  11-</v>
      </c>
      <c r="C5510" t="str">
        <f t="shared" si="365"/>
        <v>RIV</v>
      </c>
      <c r="D5510">
        <v>27</v>
      </c>
      <c r="E5510" t="str">
        <f t="shared" si="366"/>
        <v>1207</v>
      </c>
      <c r="F5510" t="str">
        <f>"328"</f>
        <v>328</v>
      </c>
    </row>
    <row r="5511" spans="1:6">
      <c r="A5511" t="str">
        <f>"E1264-63"</f>
        <v>E1264-63</v>
      </c>
      <c r="B5511" t="str">
        <f t="shared" si="367"/>
        <v>VIA A. P. CECHOV  11-</v>
      </c>
      <c r="C5511" t="str">
        <f t="shared" si="365"/>
        <v>RIV</v>
      </c>
      <c r="D5511">
        <v>27</v>
      </c>
      <c r="E5511" t="str">
        <f t="shared" si="366"/>
        <v>1207</v>
      </c>
      <c r="F5511" t="str">
        <f>"329"</f>
        <v>329</v>
      </c>
    </row>
    <row r="5512" spans="1:6">
      <c r="A5512" t="str">
        <f>"E1264-64"</f>
        <v>E1264-64</v>
      </c>
      <c r="B5512" t="str">
        <f t="shared" si="367"/>
        <v>VIA A. P. CECHOV  11-</v>
      </c>
      <c r="C5512" t="str">
        <f t="shared" si="365"/>
        <v>RIV</v>
      </c>
      <c r="D5512">
        <v>27</v>
      </c>
      <c r="E5512" t="str">
        <f t="shared" si="366"/>
        <v>1207</v>
      </c>
      <c r="F5512" t="str">
        <f>"330"</f>
        <v>330</v>
      </c>
    </row>
    <row r="5513" spans="1:6">
      <c r="A5513" t="str">
        <f>"E1264-65"</f>
        <v>E1264-65</v>
      </c>
      <c r="B5513" t="str">
        <f t="shared" si="367"/>
        <v>VIA A. P. CECHOV  11-</v>
      </c>
      <c r="C5513" t="str">
        <f t="shared" ref="C5513:C5576" si="368">"RIV"</f>
        <v>RIV</v>
      </c>
      <c r="D5513">
        <v>27</v>
      </c>
      <c r="E5513" t="str">
        <f t="shared" ref="E5513:E5576" si="369">"1207"</f>
        <v>1207</v>
      </c>
      <c r="F5513" t="str">
        <f>"331"</f>
        <v>331</v>
      </c>
    </row>
    <row r="5514" spans="1:6">
      <c r="A5514" t="str">
        <f>"E1264-66"</f>
        <v>E1264-66</v>
      </c>
      <c r="B5514" t="str">
        <f t="shared" si="367"/>
        <v>VIA A. P. CECHOV  11-</v>
      </c>
      <c r="C5514" t="str">
        <f t="shared" si="368"/>
        <v>RIV</v>
      </c>
      <c r="D5514">
        <v>27</v>
      </c>
      <c r="E5514" t="str">
        <f t="shared" si="369"/>
        <v>1207</v>
      </c>
      <c r="F5514" t="str">
        <f>"332"</f>
        <v>332</v>
      </c>
    </row>
    <row r="5515" spans="1:6">
      <c r="A5515" t="str">
        <f>"E1264-67"</f>
        <v>E1264-67</v>
      </c>
      <c r="B5515" t="str">
        <f t="shared" si="367"/>
        <v>VIA A. P. CECHOV  11-</v>
      </c>
      <c r="C5515" t="str">
        <f t="shared" si="368"/>
        <v>RIV</v>
      </c>
      <c r="D5515">
        <v>27</v>
      </c>
      <c r="E5515" t="str">
        <f t="shared" si="369"/>
        <v>1207</v>
      </c>
      <c r="F5515" t="str">
        <f>"333"</f>
        <v>333</v>
      </c>
    </row>
    <row r="5516" spans="1:6">
      <c r="A5516" t="str">
        <f>"E1264-68"</f>
        <v>E1264-68</v>
      </c>
      <c r="B5516" t="str">
        <f t="shared" si="367"/>
        <v>VIA A. P. CECHOV  11-</v>
      </c>
      <c r="C5516" t="str">
        <f t="shared" si="368"/>
        <v>RIV</v>
      </c>
      <c r="D5516">
        <v>27</v>
      </c>
      <c r="E5516" t="str">
        <f t="shared" si="369"/>
        <v>1207</v>
      </c>
      <c r="F5516" t="str">
        <f>"334"</f>
        <v>334</v>
      </c>
    </row>
    <row r="5517" spans="1:6">
      <c r="A5517" t="str">
        <f>"E1264-69"</f>
        <v>E1264-69</v>
      </c>
      <c r="B5517" t="str">
        <f t="shared" ref="B5517:B5548" si="370">"VIA FELICE MARITANO  59-"</f>
        <v>VIA FELICE MARITANO  59-</v>
      </c>
      <c r="C5517" t="str">
        <f t="shared" si="368"/>
        <v>RIV</v>
      </c>
      <c r="D5517">
        <v>27</v>
      </c>
      <c r="E5517" t="str">
        <f t="shared" si="369"/>
        <v>1207</v>
      </c>
      <c r="F5517" t="str">
        <f>"39"</f>
        <v>39</v>
      </c>
    </row>
    <row r="5518" spans="1:6">
      <c r="A5518" t="str">
        <f>"E1264-70"</f>
        <v>E1264-70</v>
      </c>
      <c r="B5518" t="str">
        <f t="shared" si="370"/>
        <v>VIA FELICE MARITANO  59-</v>
      </c>
      <c r="C5518" t="str">
        <f t="shared" si="368"/>
        <v>RIV</v>
      </c>
      <c r="D5518">
        <v>27</v>
      </c>
      <c r="E5518" t="str">
        <f t="shared" si="369"/>
        <v>1207</v>
      </c>
      <c r="F5518" t="str">
        <f>"50"</f>
        <v>50</v>
      </c>
    </row>
    <row r="5519" spans="1:6">
      <c r="A5519" t="str">
        <f>"E1264-71"</f>
        <v>E1264-71</v>
      </c>
      <c r="B5519" t="str">
        <f t="shared" si="370"/>
        <v>VIA FELICE MARITANO  59-</v>
      </c>
      <c r="C5519" t="str">
        <f t="shared" si="368"/>
        <v>RIV</v>
      </c>
      <c r="D5519">
        <v>27</v>
      </c>
      <c r="E5519" t="str">
        <f t="shared" si="369"/>
        <v>1207</v>
      </c>
      <c r="F5519" t="str">
        <f>"51"</f>
        <v>51</v>
      </c>
    </row>
    <row r="5520" spans="1:6">
      <c r="A5520" t="str">
        <f>"E1264-72"</f>
        <v>E1264-72</v>
      </c>
      <c r="B5520" t="str">
        <f t="shared" si="370"/>
        <v>VIA FELICE MARITANO  59-</v>
      </c>
      <c r="C5520" t="str">
        <f t="shared" si="368"/>
        <v>RIV</v>
      </c>
      <c r="D5520">
        <v>27</v>
      </c>
      <c r="E5520" t="str">
        <f t="shared" si="369"/>
        <v>1207</v>
      </c>
      <c r="F5520" t="str">
        <f>"52"</f>
        <v>52</v>
      </c>
    </row>
    <row r="5521" spans="1:6">
      <c r="A5521" t="str">
        <f>"E1264-73"</f>
        <v>E1264-73</v>
      </c>
      <c r="B5521" t="str">
        <f t="shared" si="370"/>
        <v>VIA FELICE MARITANO  59-</v>
      </c>
      <c r="C5521" t="str">
        <f t="shared" si="368"/>
        <v>RIV</v>
      </c>
      <c r="D5521">
        <v>27</v>
      </c>
      <c r="E5521" t="str">
        <f t="shared" si="369"/>
        <v>1207</v>
      </c>
      <c r="F5521" t="str">
        <f>"53"</f>
        <v>53</v>
      </c>
    </row>
    <row r="5522" spans="1:6">
      <c r="A5522" t="str">
        <f>"E1264-74"</f>
        <v>E1264-74</v>
      </c>
      <c r="B5522" t="str">
        <f t="shared" si="370"/>
        <v>VIA FELICE MARITANO  59-</v>
      </c>
      <c r="C5522" t="str">
        <f t="shared" si="368"/>
        <v>RIV</v>
      </c>
      <c r="D5522">
        <v>27</v>
      </c>
      <c r="E5522" t="str">
        <f t="shared" si="369"/>
        <v>1207</v>
      </c>
      <c r="F5522" t="str">
        <f>"59"</f>
        <v>59</v>
      </c>
    </row>
    <row r="5523" spans="1:6">
      <c r="A5523" t="str">
        <f>"E1264-75"</f>
        <v>E1264-75</v>
      </c>
      <c r="B5523" t="str">
        <f t="shared" si="370"/>
        <v>VIA FELICE MARITANO  59-</v>
      </c>
      <c r="C5523" t="str">
        <f t="shared" si="368"/>
        <v>RIV</v>
      </c>
      <c r="D5523">
        <v>27</v>
      </c>
      <c r="E5523" t="str">
        <f t="shared" si="369"/>
        <v>1207</v>
      </c>
      <c r="F5523" t="str">
        <f>"60"</f>
        <v>60</v>
      </c>
    </row>
    <row r="5524" spans="1:6">
      <c r="A5524" t="str">
        <f>"E1264-76"</f>
        <v>E1264-76</v>
      </c>
      <c r="B5524" t="str">
        <f t="shared" si="370"/>
        <v>VIA FELICE MARITANO  59-</v>
      </c>
      <c r="C5524" t="str">
        <f t="shared" si="368"/>
        <v>RIV</v>
      </c>
      <c r="D5524">
        <v>27</v>
      </c>
      <c r="E5524" t="str">
        <f t="shared" si="369"/>
        <v>1207</v>
      </c>
      <c r="F5524" t="str">
        <f>"61"</f>
        <v>61</v>
      </c>
    </row>
    <row r="5525" spans="1:6">
      <c r="A5525" t="str">
        <f>"E1264-77"</f>
        <v>E1264-77</v>
      </c>
      <c r="B5525" t="str">
        <f t="shared" si="370"/>
        <v>VIA FELICE MARITANO  59-</v>
      </c>
      <c r="C5525" t="str">
        <f t="shared" si="368"/>
        <v>RIV</v>
      </c>
      <c r="D5525">
        <v>27</v>
      </c>
      <c r="E5525" t="str">
        <f t="shared" si="369"/>
        <v>1207</v>
      </c>
      <c r="F5525" t="str">
        <f>"62"</f>
        <v>62</v>
      </c>
    </row>
    <row r="5526" spans="1:6">
      <c r="A5526" t="str">
        <f>"E1264-78"</f>
        <v>E1264-78</v>
      </c>
      <c r="B5526" t="str">
        <f t="shared" si="370"/>
        <v>VIA FELICE MARITANO  59-</v>
      </c>
      <c r="C5526" t="str">
        <f t="shared" si="368"/>
        <v>RIV</v>
      </c>
      <c r="D5526">
        <v>27</v>
      </c>
      <c r="E5526" t="str">
        <f t="shared" si="369"/>
        <v>1207</v>
      </c>
      <c r="F5526" t="str">
        <f>"63"</f>
        <v>63</v>
      </c>
    </row>
    <row r="5527" spans="1:6">
      <c r="A5527" t="str">
        <f>"E1264-79"</f>
        <v>E1264-79</v>
      </c>
      <c r="B5527" t="str">
        <f t="shared" si="370"/>
        <v>VIA FELICE MARITANO  59-</v>
      </c>
      <c r="C5527" t="str">
        <f t="shared" si="368"/>
        <v>RIV</v>
      </c>
      <c r="D5527">
        <v>27</v>
      </c>
      <c r="E5527" t="str">
        <f t="shared" si="369"/>
        <v>1207</v>
      </c>
      <c r="F5527" t="str">
        <f>"64"</f>
        <v>64</v>
      </c>
    </row>
    <row r="5528" spans="1:6">
      <c r="A5528" t="str">
        <f>"E1264-80"</f>
        <v>E1264-80</v>
      </c>
      <c r="B5528" t="str">
        <f t="shared" si="370"/>
        <v>VIA FELICE MARITANO  59-</v>
      </c>
      <c r="C5528" t="str">
        <f t="shared" si="368"/>
        <v>RIV</v>
      </c>
      <c r="D5528">
        <v>27</v>
      </c>
      <c r="E5528" t="str">
        <f t="shared" si="369"/>
        <v>1207</v>
      </c>
      <c r="F5528" t="str">
        <f>"70"</f>
        <v>70</v>
      </c>
    </row>
    <row r="5529" spans="1:6">
      <c r="A5529" t="str">
        <f>"E1264-81"</f>
        <v>E1264-81</v>
      </c>
      <c r="B5529" t="str">
        <f t="shared" si="370"/>
        <v>VIA FELICE MARITANO  59-</v>
      </c>
      <c r="C5529" t="str">
        <f t="shared" si="368"/>
        <v>RIV</v>
      </c>
      <c r="D5529">
        <v>27</v>
      </c>
      <c r="E5529" t="str">
        <f t="shared" si="369"/>
        <v>1207</v>
      </c>
      <c r="F5529" t="str">
        <f>"71"</f>
        <v>71</v>
      </c>
    </row>
    <row r="5530" spans="1:6">
      <c r="A5530" t="str">
        <f>"E1264-82"</f>
        <v>E1264-82</v>
      </c>
      <c r="B5530" t="str">
        <f t="shared" si="370"/>
        <v>VIA FELICE MARITANO  59-</v>
      </c>
      <c r="C5530" t="str">
        <f t="shared" si="368"/>
        <v>RIV</v>
      </c>
      <c r="D5530">
        <v>27</v>
      </c>
      <c r="E5530" t="str">
        <f t="shared" si="369"/>
        <v>1207</v>
      </c>
      <c r="F5530" t="str">
        <f>"72"</f>
        <v>72</v>
      </c>
    </row>
    <row r="5531" spans="1:6">
      <c r="A5531" t="str">
        <f>"E1264-83"</f>
        <v>E1264-83</v>
      </c>
      <c r="B5531" t="str">
        <f t="shared" si="370"/>
        <v>VIA FELICE MARITANO  59-</v>
      </c>
      <c r="C5531" t="str">
        <f t="shared" si="368"/>
        <v>RIV</v>
      </c>
      <c r="D5531">
        <v>27</v>
      </c>
      <c r="E5531" t="str">
        <f t="shared" si="369"/>
        <v>1207</v>
      </c>
      <c r="F5531" t="str">
        <f>"73"</f>
        <v>73</v>
      </c>
    </row>
    <row r="5532" spans="1:6">
      <c r="A5532" t="str">
        <f>"E1264-84"</f>
        <v>E1264-84</v>
      </c>
      <c r="B5532" t="str">
        <f t="shared" si="370"/>
        <v>VIA FELICE MARITANO  59-</v>
      </c>
      <c r="C5532" t="str">
        <f t="shared" si="368"/>
        <v>RIV</v>
      </c>
      <c r="D5532">
        <v>27</v>
      </c>
      <c r="E5532" t="str">
        <f t="shared" si="369"/>
        <v>1207</v>
      </c>
      <c r="F5532" t="str">
        <f>"74"</f>
        <v>74</v>
      </c>
    </row>
    <row r="5533" spans="1:6">
      <c r="A5533" t="str">
        <f>"E1264-85"</f>
        <v>E1264-85</v>
      </c>
      <c r="B5533" t="str">
        <f t="shared" si="370"/>
        <v>VIA FELICE MARITANO  59-</v>
      </c>
      <c r="C5533" t="str">
        <f t="shared" si="368"/>
        <v>RIV</v>
      </c>
      <c r="D5533">
        <v>27</v>
      </c>
      <c r="E5533" t="str">
        <f t="shared" si="369"/>
        <v>1207</v>
      </c>
      <c r="F5533" t="str">
        <f>"75"</f>
        <v>75</v>
      </c>
    </row>
    <row r="5534" spans="1:6">
      <c r="A5534" t="str">
        <f>"E1264-86"</f>
        <v>E1264-86</v>
      </c>
      <c r="B5534" t="str">
        <f t="shared" si="370"/>
        <v>VIA FELICE MARITANO  59-</v>
      </c>
      <c r="C5534" t="str">
        <f t="shared" si="368"/>
        <v>RIV</v>
      </c>
      <c r="D5534">
        <v>27</v>
      </c>
      <c r="E5534" t="str">
        <f t="shared" si="369"/>
        <v>1207</v>
      </c>
      <c r="F5534" t="str">
        <f>"81"</f>
        <v>81</v>
      </c>
    </row>
    <row r="5535" spans="1:6">
      <c r="A5535" t="str">
        <f>"E1264-87"</f>
        <v>E1264-87</v>
      </c>
      <c r="B5535" t="str">
        <f t="shared" si="370"/>
        <v>VIA FELICE MARITANO  59-</v>
      </c>
      <c r="C5535" t="str">
        <f t="shared" si="368"/>
        <v>RIV</v>
      </c>
      <c r="D5535">
        <v>27</v>
      </c>
      <c r="E5535" t="str">
        <f t="shared" si="369"/>
        <v>1207</v>
      </c>
      <c r="F5535" t="str">
        <f>"82"</f>
        <v>82</v>
      </c>
    </row>
    <row r="5536" spans="1:6">
      <c r="A5536" t="str">
        <f>"E1264-88"</f>
        <v>E1264-88</v>
      </c>
      <c r="B5536" t="str">
        <f t="shared" si="370"/>
        <v>VIA FELICE MARITANO  59-</v>
      </c>
      <c r="C5536" t="str">
        <f t="shared" si="368"/>
        <v>RIV</v>
      </c>
      <c r="D5536">
        <v>27</v>
      </c>
      <c r="E5536" t="str">
        <f t="shared" si="369"/>
        <v>1207</v>
      </c>
      <c r="F5536" t="str">
        <f>"83"</f>
        <v>83</v>
      </c>
    </row>
    <row r="5537" spans="1:6">
      <c r="A5537" t="str">
        <f>"E1264-89"</f>
        <v>E1264-89</v>
      </c>
      <c r="B5537" t="str">
        <f t="shared" si="370"/>
        <v>VIA FELICE MARITANO  59-</v>
      </c>
      <c r="C5537" t="str">
        <f t="shared" si="368"/>
        <v>RIV</v>
      </c>
      <c r="D5537">
        <v>27</v>
      </c>
      <c r="E5537" t="str">
        <f t="shared" si="369"/>
        <v>1207</v>
      </c>
      <c r="F5537" t="str">
        <f>"84"</f>
        <v>84</v>
      </c>
    </row>
    <row r="5538" spans="1:6">
      <c r="A5538" t="str">
        <f>"E1264-90"</f>
        <v>E1264-90</v>
      </c>
      <c r="B5538" t="str">
        <f t="shared" si="370"/>
        <v>VIA FELICE MARITANO  59-</v>
      </c>
      <c r="C5538" t="str">
        <f t="shared" si="368"/>
        <v>RIV</v>
      </c>
      <c r="D5538">
        <v>27</v>
      </c>
      <c r="E5538" t="str">
        <f t="shared" si="369"/>
        <v>1207</v>
      </c>
      <c r="F5538" t="str">
        <f>"85"</f>
        <v>85</v>
      </c>
    </row>
    <row r="5539" spans="1:6">
      <c r="A5539" t="str">
        <f>"E1264-91"</f>
        <v>E1264-91</v>
      </c>
      <c r="B5539" t="str">
        <f t="shared" si="370"/>
        <v>VIA FELICE MARITANO  59-</v>
      </c>
      <c r="C5539" t="str">
        <f t="shared" si="368"/>
        <v>RIV</v>
      </c>
      <c r="D5539">
        <v>27</v>
      </c>
      <c r="E5539" t="str">
        <f t="shared" si="369"/>
        <v>1207</v>
      </c>
      <c r="F5539" t="str">
        <f>"86"</f>
        <v>86</v>
      </c>
    </row>
    <row r="5540" spans="1:6">
      <c r="A5540" t="str">
        <f>"E1264-92"</f>
        <v>E1264-92</v>
      </c>
      <c r="B5540" t="str">
        <f t="shared" si="370"/>
        <v>VIA FELICE MARITANO  59-</v>
      </c>
      <c r="C5540" t="str">
        <f t="shared" si="368"/>
        <v>RIV</v>
      </c>
      <c r="D5540">
        <v>27</v>
      </c>
      <c r="E5540" t="str">
        <f t="shared" si="369"/>
        <v>1207</v>
      </c>
      <c r="F5540" t="str">
        <f>"145"</f>
        <v>145</v>
      </c>
    </row>
    <row r="5541" spans="1:6">
      <c r="A5541" t="str">
        <f>"E1264-93"</f>
        <v>E1264-93</v>
      </c>
      <c r="B5541" t="str">
        <f t="shared" si="370"/>
        <v>VIA FELICE MARITANO  59-</v>
      </c>
      <c r="C5541" t="str">
        <f t="shared" si="368"/>
        <v>RIV</v>
      </c>
      <c r="D5541">
        <v>27</v>
      </c>
      <c r="E5541" t="str">
        <f t="shared" si="369"/>
        <v>1207</v>
      </c>
      <c r="F5541" t="str">
        <f>"146"</f>
        <v>146</v>
      </c>
    </row>
    <row r="5542" spans="1:6">
      <c r="A5542" t="str">
        <f>"E1264-94"</f>
        <v>E1264-94</v>
      </c>
      <c r="B5542" t="str">
        <f t="shared" si="370"/>
        <v>VIA FELICE MARITANO  59-</v>
      </c>
      <c r="C5542" t="str">
        <f t="shared" si="368"/>
        <v>RIV</v>
      </c>
      <c r="D5542">
        <v>27</v>
      </c>
      <c r="E5542" t="str">
        <f t="shared" si="369"/>
        <v>1207</v>
      </c>
      <c r="F5542" t="str">
        <f>"147"</f>
        <v>147</v>
      </c>
    </row>
    <row r="5543" spans="1:6">
      <c r="A5543" t="str">
        <f>"E1264-95"</f>
        <v>E1264-95</v>
      </c>
      <c r="B5543" t="str">
        <f t="shared" si="370"/>
        <v>VIA FELICE MARITANO  59-</v>
      </c>
      <c r="C5543" t="str">
        <f t="shared" si="368"/>
        <v>RIV</v>
      </c>
      <c r="D5543">
        <v>27</v>
      </c>
      <c r="E5543" t="str">
        <f t="shared" si="369"/>
        <v>1207</v>
      </c>
      <c r="F5543" t="str">
        <f>"148"</f>
        <v>148</v>
      </c>
    </row>
    <row r="5544" spans="1:6">
      <c r="A5544" t="str">
        <f>"E1264-96"</f>
        <v>E1264-96</v>
      </c>
      <c r="B5544" t="str">
        <f t="shared" si="370"/>
        <v>VIA FELICE MARITANO  59-</v>
      </c>
      <c r="C5544" t="str">
        <f t="shared" si="368"/>
        <v>RIV</v>
      </c>
      <c r="D5544">
        <v>27</v>
      </c>
      <c r="E5544" t="str">
        <f t="shared" si="369"/>
        <v>1207</v>
      </c>
      <c r="F5544" t="str">
        <f>"154"</f>
        <v>154</v>
      </c>
    </row>
    <row r="5545" spans="1:6">
      <c r="A5545" t="str">
        <f>"E1264-97"</f>
        <v>E1264-97</v>
      </c>
      <c r="B5545" t="str">
        <f t="shared" si="370"/>
        <v>VIA FELICE MARITANO  59-</v>
      </c>
      <c r="C5545" t="str">
        <f t="shared" si="368"/>
        <v>RIV</v>
      </c>
      <c r="D5545">
        <v>27</v>
      </c>
      <c r="E5545" t="str">
        <f t="shared" si="369"/>
        <v>1207</v>
      </c>
      <c r="F5545" t="str">
        <f>"155"</f>
        <v>155</v>
      </c>
    </row>
    <row r="5546" spans="1:6">
      <c r="A5546" t="str">
        <f>"E1264-98"</f>
        <v>E1264-98</v>
      </c>
      <c r="B5546" t="str">
        <f t="shared" si="370"/>
        <v>VIA FELICE MARITANO  59-</v>
      </c>
      <c r="C5546" t="str">
        <f t="shared" si="368"/>
        <v>RIV</v>
      </c>
      <c r="D5546">
        <v>27</v>
      </c>
      <c r="E5546" t="str">
        <f t="shared" si="369"/>
        <v>1207</v>
      </c>
      <c r="F5546" t="str">
        <f>"156"</f>
        <v>156</v>
      </c>
    </row>
    <row r="5547" spans="1:6">
      <c r="A5547" t="str">
        <f>"E1264-99"</f>
        <v>E1264-99</v>
      </c>
      <c r="B5547" t="str">
        <f t="shared" si="370"/>
        <v>VIA FELICE MARITANO  59-</v>
      </c>
      <c r="C5547" t="str">
        <f t="shared" si="368"/>
        <v>RIV</v>
      </c>
      <c r="D5547">
        <v>27</v>
      </c>
      <c r="E5547" t="str">
        <f t="shared" si="369"/>
        <v>1207</v>
      </c>
      <c r="F5547" t="str">
        <f>"157"</f>
        <v>157</v>
      </c>
    </row>
    <row r="5548" spans="1:6">
      <c r="A5548" t="str">
        <f>"E1264-100"</f>
        <v>E1264-100</v>
      </c>
      <c r="B5548" t="str">
        <f t="shared" si="370"/>
        <v>VIA FELICE MARITANO  59-</v>
      </c>
      <c r="C5548" t="str">
        <f t="shared" si="368"/>
        <v>RIV</v>
      </c>
      <c r="D5548">
        <v>27</v>
      </c>
      <c r="E5548" t="str">
        <f t="shared" si="369"/>
        <v>1207</v>
      </c>
      <c r="F5548" t="str">
        <f>"158"</f>
        <v>158</v>
      </c>
    </row>
    <row r="5549" spans="1:6">
      <c r="A5549" t="str">
        <f>"E1264-101"</f>
        <v>E1264-101</v>
      </c>
      <c r="B5549" t="str">
        <f t="shared" ref="B5549:B5580" si="371">"VIA FELICE MARITANO  59-"</f>
        <v>VIA FELICE MARITANO  59-</v>
      </c>
      <c r="C5549" t="str">
        <f t="shared" si="368"/>
        <v>RIV</v>
      </c>
      <c r="D5549">
        <v>27</v>
      </c>
      <c r="E5549" t="str">
        <f t="shared" si="369"/>
        <v>1207</v>
      </c>
      <c r="F5549" t="str">
        <f>"159"</f>
        <v>159</v>
      </c>
    </row>
    <row r="5550" spans="1:6">
      <c r="A5550" t="str">
        <f>"E1264-102"</f>
        <v>E1264-102</v>
      </c>
      <c r="B5550" t="str">
        <f t="shared" si="371"/>
        <v>VIA FELICE MARITANO  59-</v>
      </c>
      <c r="C5550" t="str">
        <f t="shared" si="368"/>
        <v>RIV</v>
      </c>
      <c r="D5550">
        <v>27</v>
      </c>
      <c r="E5550" t="str">
        <f t="shared" si="369"/>
        <v>1207</v>
      </c>
      <c r="F5550" t="str">
        <f>"160"</f>
        <v>160</v>
      </c>
    </row>
    <row r="5551" spans="1:6">
      <c r="A5551" t="str">
        <f>"E1264-103"</f>
        <v>E1264-103</v>
      </c>
      <c r="B5551" t="str">
        <f t="shared" si="371"/>
        <v>VIA FELICE MARITANO  59-</v>
      </c>
      <c r="C5551" t="str">
        <f t="shared" si="368"/>
        <v>RIV</v>
      </c>
      <c r="D5551">
        <v>27</v>
      </c>
      <c r="E5551" t="str">
        <f t="shared" si="369"/>
        <v>1207</v>
      </c>
      <c r="F5551" t="str">
        <f>"161"</f>
        <v>161</v>
      </c>
    </row>
    <row r="5552" spans="1:6">
      <c r="A5552" t="str">
        <f>"E1264-104"</f>
        <v>E1264-104</v>
      </c>
      <c r="B5552" t="str">
        <f t="shared" si="371"/>
        <v>VIA FELICE MARITANO  59-</v>
      </c>
      <c r="C5552" t="str">
        <f t="shared" si="368"/>
        <v>RIV</v>
      </c>
      <c r="D5552">
        <v>27</v>
      </c>
      <c r="E5552" t="str">
        <f t="shared" si="369"/>
        <v>1207</v>
      </c>
      <c r="F5552" t="str">
        <f>"167"</f>
        <v>167</v>
      </c>
    </row>
    <row r="5553" spans="1:6">
      <c r="A5553" t="str">
        <f>"E1264-105"</f>
        <v>E1264-105</v>
      </c>
      <c r="B5553" t="str">
        <f t="shared" si="371"/>
        <v>VIA FELICE MARITANO  59-</v>
      </c>
      <c r="C5553" t="str">
        <f t="shared" si="368"/>
        <v>RIV</v>
      </c>
      <c r="D5553">
        <v>27</v>
      </c>
      <c r="E5553" t="str">
        <f t="shared" si="369"/>
        <v>1207</v>
      </c>
      <c r="F5553" t="str">
        <f>"168"</f>
        <v>168</v>
      </c>
    </row>
    <row r="5554" spans="1:6">
      <c r="A5554" t="str">
        <f>"E1264-106"</f>
        <v>E1264-106</v>
      </c>
      <c r="B5554" t="str">
        <f t="shared" si="371"/>
        <v>VIA FELICE MARITANO  59-</v>
      </c>
      <c r="C5554" t="str">
        <f t="shared" si="368"/>
        <v>RIV</v>
      </c>
      <c r="D5554">
        <v>27</v>
      </c>
      <c r="E5554" t="str">
        <f t="shared" si="369"/>
        <v>1207</v>
      </c>
      <c r="F5554" t="str">
        <f>"169"</f>
        <v>169</v>
      </c>
    </row>
    <row r="5555" spans="1:6">
      <c r="A5555" t="str">
        <f>"E1264-107"</f>
        <v>E1264-107</v>
      </c>
      <c r="B5555" t="str">
        <f t="shared" si="371"/>
        <v>VIA FELICE MARITANO  59-</v>
      </c>
      <c r="C5555" t="str">
        <f t="shared" si="368"/>
        <v>RIV</v>
      </c>
      <c r="D5555">
        <v>27</v>
      </c>
      <c r="E5555" t="str">
        <f t="shared" si="369"/>
        <v>1207</v>
      </c>
      <c r="F5555" t="str">
        <f>"170"</f>
        <v>170</v>
      </c>
    </row>
    <row r="5556" spans="1:6">
      <c r="A5556" t="str">
        <f>"E1264-108"</f>
        <v>E1264-108</v>
      </c>
      <c r="B5556" t="str">
        <f t="shared" si="371"/>
        <v>VIA FELICE MARITANO  59-</v>
      </c>
      <c r="C5556" t="str">
        <f t="shared" si="368"/>
        <v>RIV</v>
      </c>
      <c r="D5556">
        <v>27</v>
      </c>
      <c r="E5556" t="str">
        <f t="shared" si="369"/>
        <v>1207</v>
      </c>
      <c r="F5556" t="str">
        <f>"171"</f>
        <v>171</v>
      </c>
    </row>
    <row r="5557" spans="1:6">
      <c r="A5557" t="str">
        <f>"E1264-109"</f>
        <v>E1264-109</v>
      </c>
      <c r="B5557" t="str">
        <f t="shared" si="371"/>
        <v>VIA FELICE MARITANO  59-</v>
      </c>
      <c r="C5557" t="str">
        <f t="shared" si="368"/>
        <v>RIV</v>
      </c>
      <c r="D5557">
        <v>27</v>
      </c>
      <c r="E5557" t="str">
        <f t="shared" si="369"/>
        <v>1207</v>
      </c>
      <c r="F5557" t="str">
        <f>"172"</f>
        <v>172</v>
      </c>
    </row>
    <row r="5558" spans="1:6">
      <c r="A5558" t="str">
        <f>"E1264-110"</f>
        <v>E1264-110</v>
      </c>
      <c r="B5558" t="str">
        <f t="shared" si="371"/>
        <v>VIA FELICE MARITANO  59-</v>
      </c>
      <c r="C5558" t="str">
        <f t="shared" si="368"/>
        <v>RIV</v>
      </c>
      <c r="D5558">
        <v>27</v>
      </c>
      <c r="E5558" t="str">
        <f t="shared" si="369"/>
        <v>1207</v>
      </c>
      <c r="F5558" t="str">
        <f>"173"</f>
        <v>173</v>
      </c>
    </row>
    <row r="5559" spans="1:6">
      <c r="A5559" t="str">
        <f>"E1264-111"</f>
        <v>E1264-111</v>
      </c>
      <c r="B5559" t="str">
        <f t="shared" si="371"/>
        <v>VIA FELICE MARITANO  59-</v>
      </c>
      <c r="C5559" t="str">
        <f t="shared" si="368"/>
        <v>RIV</v>
      </c>
      <c r="D5559">
        <v>27</v>
      </c>
      <c r="E5559" t="str">
        <f t="shared" si="369"/>
        <v>1207</v>
      </c>
      <c r="F5559" t="str">
        <f>"174"</f>
        <v>174</v>
      </c>
    </row>
    <row r="5560" spans="1:6">
      <c r="A5560" t="str">
        <f>"E1264-112"</f>
        <v>E1264-112</v>
      </c>
      <c r="B5560" t="str">
        <f t="shared" si="371"/>
        <v>VIA FELICE MARITANO  59-</v>
      </c>
      <c r="C5560" t="str">
        <f t="shared" si="368"/>
        <v>RIV</v>
      </c>
      <c r="D5560">
        <v>27</v>
      </c>
      <c r="E5560" t="str">
        <f t="shared" si="369"/>
        <v>1207</v>
      </c>
      <c r="F5560" t="str">
        <f>"175"</f>
        <v>175</v>
      </c>
    </row>
    <row r="5561" spans="1:6">
      <c r="A5561" t="str">
        <f>"E1264-113"</f>
        <v>E1264-113</v>
      </c>
      <c r="B5561" t="str">
        <f t="shared" si="371"/>
        <v>VIA FELICE MARITANO  59-</v>
      </c>
      <c r="C5561" t="str">
        <f t="shared" si="368"/>
        <v>RIV</v>
      </c>
      <c r="D5561">
        <v>27</v>
      </c>
      <c r="E5561" t="str">
        <f t="shared" si="369"/>
        <v>1207</v>
      </c>
      <c r="F5561" t="str">
        <f>"176"</f>
        <v>176</v>
      </c>
    </row>
    <row r="5562" spans="1:6">
      <c r="A5562" t="str">
        <f>"E1264-114"</f>
        <v>E1264-114</v>
      </c>
      <c r="B5562" t="str">
        <f t="shared" si="371"/>
        <v>VIA FELICE MARITANO  59-</v>
      </c>
      <c r="C5562" t="str">
        <f t="shared" si="368"/>
        <v>RIV</v>
      </c>
      <c r="D5562">
        <v>27</v>
      </c>
      <c r="E5562" t="str">
        <f t="shared" si="369"/>
        <v>1207</v>
      </c>
      <c r="F5562" t="str">
        <f>"182"</f>
        <v>182</v>
      </c>
    </row>
    <row r="5563" spans="1:6">
      <c r="A5563" t="str">
        <f>"E1264-115"</f>
        <v>E1264-115</v>
      </c>
      <c r="B5563" t="str">
        <f t="shared" si="371"/>
        <v>VIA FELICE MARITANO  59-</v>
      </c>
      <c r="C5563" t="str">
        <f t="shared" si="368"/>
        <v>RIV</v>
      </c>
      <c r="D5563">
        <v>27</v>
      </c>
      <c r="E5563" t="str">
        <f t="shared" si="369"/>
        <v>1207</v>
      </c>
      <c r="F5563" t="str">
        <f>"183"</f>
        <v>183</v>
      </c>
    </row>
    <row r="5564" spans="1:6">
      <c r="A5564" t="str">
        <f>"E1264-116"</f>
        <v>E1264-116</v>
      </c>
      <c r="B5564" t="str">
        <f t="shared" si="371"/>
        <v>VIA FELICE MARITANO  59-</v>
      </c>
      <c r="C5564" t="str">
        <f t="shared" si="368"/>
        <v>RIV</v>
      </c>
      <c r="D5564">
        <v>27</v>
      </c>
      <c r="E5564" t="str">
        <f t="shared" si="369"/>
        <v>1207</v>
      </c>
      <c r="F5564" t="str">
        <f>"184"</f>
        <v>184</v>
      </c>
    </row>
    <row r="5565" spans="1:6">
      <c r="A5565" t="str">
        <f>"E1264-117"</f>
        <v>E1264-117</v>
      </c>
      <c r="B5565" t="str">
        <f t="shared" si="371"/>
        <v>VIA FELICE MARITANO  59-</v>
      </c>
      <c r="C5565" t="str">
        <f t="shared" si="368"/>
        <v>RIV</v>
      </c>
      <c r="D5565">
        <v>27</v>
      </c>
      <c r="E5565" t="str">
        <f t="shared" si="369"/>
        <v>1207</v>
      </c>
      <c r="F5565" t="str">
        <f>"185"</f>
        <v>185</v>
      </c>
    </row>
    <row r="5566" spans="1:6">
      <c r="A5566" t="str">
        <f>"E1264-118"</f>
        <v>E1264-118</v>
      </c>
      <c r="B5566" t="str">
        <f t="shared" si="371"/>
        <v>VIA FELICE MARITANO  59-</v>
      </c>
      <c r="C5566" t="str">
        <f t="shared" si="368"/>
        <v>RIV</v>
      </c>
      <c r="D5566">
        <v>27</v>
      </c>
      <c r="E5566" t="str">
        <f t="shared" si="369"/>
        <v>1207</v>
      </c>
      <c r="F5566" t="str">
        <f>"186"</f>
        <v>186</v>
      </c>
    </row>
    <row r="5567" spans="1:6">
      <c r="A5567" t="str">
        <f>"E1264-119"</f>
        <v>E1264-119</v>
      </c>
      <c r="B5567" t="str">
        <f t="shared" si="371"/>
        <v>VIA FELICE MARITANO  59-</v>
      </c>
      <c r="C5567" t="str">
        <f t="shared" si="368"/>
        <v>RIV</v>
      </c>
      <c r="D5567">
        <v>27</v>
      </c>
      <c r="E5567" t="str">
        <f t="shared" si="369"/>
        <v>1207</v>
      </c>
      <c r="F5567" t="str">
        <f>"187"</f>
        <v>187</v>
      </c>
    </row>
    <row r="5568" spans="1:6">
      <c r="A5568" t="str">
        <f>"E1264-120"</f>
        <v>E1264-120</v>
      </c>
      <c r="B5568" t="str">
        <f t="shared" si="371"/>
        <v>VIA FELICE MARITANO  59-</v>
      </c>
      <c r="C5568" t="str">
        <f t="shared" si="368"/>
        <v>RIV</v>
      </c>
      <c r="D5568">
        <v>27</v>
      </c>
      <c r="E5568" t="str">
        <f t="shared" si="369"/>
        <v>1207</v>
      </c>
      <c r="F5568" t="str">
        <f>"188"</f>
        <v>188</v>
      </c>
    </row>
    <row r="5569" spans="1:6">
      <c r="A5569" t="str">
        <f>"E1264-121"</f>
        <v>E1264-121</v>
      </c>
      <c r="B5569" t="str">
        <f t="shared" si="371"/>
        <v>VIA FELICE MARITANO  59-</v>
      </c>
      <c r="C5569" t="str">
        <f t="shared" si="368"/>
        <v>RIV</v>
      </c>
      <c r="D5569">
        <v>27</v>
      </c>
      <c r="E5569" t="str">
        <f t="shared" si="369"/>
        <v>1207</v>
      </c>
      <c r="F5569" t="str">
        <f>"199"</f>
        <v>199</v>
      </c>
    </row>
    <row r="5570" spans="1:6">
      <c r="A5570" t="str">
        <f>"E1264-122"</f>
        <v>E1264-122</v>
      </c>
      <c r="B5570" t="str">
        <f t="shared" si="371"/>
        <v>VIA FELICE MARITANO  59-</v>
      </c>
      <c r="C5570" t="str">
        <f t="shared" si="368"/>
        <v>RIV</v>
      </c>
      <c r="D5570">
        <v>27</v>
      </c>
      <c r="E5570" t="str">
        <f t="shared" si="369"/>
        <v>1207</v>
      </c>
      <c r="F5570" t="str">
        <f>"200"</f>
        <v>200</v>
      </c>
    </row>
    <row r="5571" spans="1:6">
      <c r="A5571" t="str">
        <f>"E1264-123"</f>
        <v>E1264-123</v>
      </c>
      <c r="B5571" t="str">
        <f t="shared" si="371"/>
        <v>VIA FELICE MARITANO  59-</v>
      </c>
      <c r="C5571" t="str">
        <f t="shared" si="368"/>
        <v>RIV</v>
      </c>
      <c r="D5571">
        <v>27</v>
      </c>
      <c r="E5571" t="str">
        <f t="shared" si="369"/>
        <v>1207</v>
      </c>
      <c r="F5571" t="str">
        <f>"201"</f>
        <v>201</v>
      </c>
    </row>
    <row r="5572" spans="1:6">
      <c r="A5572" t="str">
        <f>"E1264-124"</f>
        <v>E1264-124</v>
      </c>
      <c r="B5572" t="str">
        <f t="shared" si="371"/>
        <v>VIA FELICE MARITANO  59-</v>
      </c>
      <c r="C5572" t="str">
        <f t="shared" si="368"/>
        <v>RIV</v>
      </c>
      <c r="D5572">
        <v>27</v>
      </c>
      <c r="E5572" t="str">
        <f t="shared" si="369"/>
        <v>1207</v>
      </c>
      <c r="F5572" t="str">
        <f>"202"</f>
        <v>202</v>
      </c>
    </row>
    <row r="5573" spans="1:6">
      <c r="A5573" t="str">
        <f>"E1264-125"</f>
        <v>E1264-125</v>
      </c>
      <c r="B5573" t="str">
        <f t="shared" si="371"/>
        <v>VIA FELICE MARITANO  59-</v>
      </c>
      <c r="C5573" t="str">
        <f t="shared" si="368"/>
        <v>RIV</v>
      </c>
      <c r="D5573">
        <v>27</v>
      </c>
      <c r="E5573" t="str">
        <f t="shared" si="369"/>
        <v>1207</v>
      </c>
      <c r="F5573" t="str">
        <f>"203"</f>
        <v>203</v>
      </c>
    </row>
    <row r="5574" spans="1:6">
      <c r="A5574" t="str">
        <f>"E1264-126"</f>
        <v>E1264-126</v>
      </c>
      <c r="B5574" t="str">
        <f t="shared" si="371"/>
        <v>VIA FELICE MARITANO  59-</v>
      </c>
      <c r="C5574" t="str">
        <f t="shared" si="368"/>
        <v>RIV</v>
      </c>
      <c r="D5574">
        <v>27</v>
      </c>
      <c r="E5574" t="str">
        <f t="shared" si="369"/>
        <v>1207</v>
      </c>
      <c r="F5574" t="str">
        <f>"204"</f>
        <v>204</v>
      </c>
    </row>
    <row r="5575" spans="1:6">
      <c r="A5575" t="str">
        <f>"E1264-127"</f>
        <v>E1264-127</v>
      </c>
      <c r="B5575" t="str">
        <f t="shared" si="371"/>
        <v>VIA FELICE MARITANO  59-</v>
      </c>
      <c r="C5575" t="str">
        <f t="shared" si="368"/>
        <v>RIV</v>
      </c>
      <c r="D5575">
        <v>27</v>
      </c>
      <c r="E5575" t="str">
        <f t="shared" si="369"/>
        <v>1207</v>
      </c>
      <c r="F5575" t="str">
        <f>"205"</f>
        <v>205</v>
      </c>
    </row>
    <row r="5576" spans="1:6">
      <c r="A5576" t="str">
        <f>"E1264-128"</f>
        <v>E1264-128</v>
      </c>
      <c r="B5576" t="str">
        <f t="shared" si="371"/>
        <v>VIA FELICE MARITANO  59-</v>
      </c>
      <c r="C5576" t="str">
        <f t="shared" si="368"/>
        <v>RIV</v>
      </c>
      <c r="D5576">
        <v>27</v>
      </c>
      <c r="E5576" t="str">
        <f t="shared" si="369"/>
        <v>1207</v>
      </c>
      <c r="F5576" t="str">
        <f>"214"</f>
        <v>214</v>
      </c>
    </row>
    <row r="5577" spans="1:6">
      <c r="A5577" t="str">
        <f>"E1264-129"</f>
        <v>E1264-129</v>
      </c>
      <c r="B5577" t="str">
        <f t="shared" si="371"/>
        <v>VIA FELICE MARITANO  59-</v>
      </c>
      <c r="C5577" t="str">
        <f t="shared" ref="C5577:C5640" si="372">"RIV"</f>
        <v>RIV</v>
      </c>
      <c r="D5577">
        <v>27</v>
      </c>
      <c r="E5577" t="str">
        <f t="shared" ref="E5577:E5640" si="373">"1207"</f>
        <v>1207</v>
      </c>
      <c r="F5577" t="str">
        <f>"215"</f>
        <v>215</v>
      </c>
    </row>
    <row r="5578" spans="1:6">
      <c r="A5578" t="str">
        <f>"E1264-130"</f>
        <v>E1264-130</v>
      </c>
      <c r="B5578" t="str">
        <f t="shared" si="371"/>
        <v>VIA FELICE MARITANO  59-</v>
      </c>
      <c r="C5578" t="str">
        <f t="shared" si="372"/>
        <v>RIV</v>
      </c>
      <c r="D5578">
        <v>27</v>
      </c>
      <c r="E5578" t="str">
        <f t="shared" si="373"/>
        <v>1207</v>
      </c>
      <c r="F5578" t="str">
        <f>"216"</f>
        <v>216</v>
      </c>
    </row>
    <row r="5579" spans="1:6">
      <c r="A5579" t="str">
        <f>"E1264-131"</f>
        <v>E1264-131</v>
      </c>
      <c r="B5579" t="str">
        <f t="shared" si="371"/>
        <v>VIA FELICE MARITANO  59-</v>
      </c>
      <c r="C5579" t="str">
        <f t="shared" si="372"/>
        <v>RIV</v>
      </c>
      <c r="D5579">
        <v>27</v>
      </c>
      <c r="E5579" t="str">
        <f t="shared" si="373"/>
        <v>1207</v>
      </c>
      <c r="F5579" t="str">
        <f>"217"</f>
        <v>217</v>
      </c>
    </row>
    <row r="5580" spans="1:6">
      <c r="A5580" t="str">
        <f>"E1264-132"</f>
        <v>E1264-132</v>
      </c>
      <c r="B5580" t="str">
        <f t="shared" si="371"/>
        <v>VIA FELICE MARITANO  59-</v>
      </c>
      <c r="C5580" t="str">
        <f t="shared" si="372"/>
        <v>RIV</v>
      </c>
      <c r="D5580">
        <v>27</v>
      </c>
      <c r="E5580" t="str">
        <f t="shared" si="373"/>
        <v>1207</v>
      </c>
      <c r="F5580" t="str">
        <f>"218"</f>
        <v>218</v>
      </c>
    </row>
    <row r="5581" spans="1:6">
      <c r="A5581" t="str">
        <f>"E1264-133"</f>
        <v>E1264-133</v>
      </c>
      <c r="B5581" t="str">
        <f t="shared" ref="B5581:B5610" si="374">"VIA FELICE MARITANO  59-"</f>
        <v>VIA FELICE MARITANO  59-</v>
      </c>
      <c r="C5581" t="str">
        <f t="shared" si="372"/>
        <v>RIV</v>
      </c>
      <c r="D5581">
        <v>27</v>
      </c>
      <c r="E5581" t="str">
        <f t="shared" si="373"/>
        <v>1207</v>
      </c>
      <c r="F5581" t="str">
        <f>"219"</f>
        <v>219</v>
      </c>
    </row>
    <row r="5582" spans="1:6">
      <c r="A5582" t="str">
        <f>"E1264-134"</f>
        <v>E1264-134</v>
      </c>
      <c r="B5582" t="str">
        <f t="shared" si="374"/>
        <v>VIA FELICE MARITANO  59-</v>
      </c>
      <c r="C5582" t="str">
        <f t="shared" si="372"/>
        <v>RIV</v>
      </c>
      <c r="D5582">
        <v>27</v>
      </c>
      <c r="E5582" t="str">
        <f t="shared" si="373"/>
        <v>1207</v>
      </c>
      <c r="F5582" t="str">
        <f>"220"</f>
        <v>220</v>
      </c>
    </row>
    <row r="5583" spans="1:6">
      <c r="A5583" t="str">
        <f>"E1264-135"</f>
        <v>E1264-135</v>
      </c>
      <c r="B5583" t="str">
        <f t="shared" si="374"/>
        <v>VIA FELICE MARITANO  59-</v>
      </c>
      <c r="C5583" t="str">
        <f t="shared" si="372"/>
        <v>RIV</v>
      </c>
      <c r="D5583">
        <v>27</v>
      </c>
      <c r="E5583" t="str">
        <f t="shared" si="373"/>
        <v>1207</v>
      </c>
      <c r="F5583" t="str">
        <f>"230"</f>
        <v>230</v>
      </c>
    </row>
    <row r="5584" spans="1:6">
      <c r="A5584" t="str">
        <f>"E1264-136"</f>
        <v>E1264-136</v>
      </c>
      <c r="B5584" t="str">
        <f t="shared" si="374"/>
        <v>VIA FELICE MARITANO  59-</v>
      </c>
      <c r="C5584" t="str">
        <f t="shared" si="372"/>
        <v>RIV</v>
      </c>
      <c r="D5584">
        <v>27</v>
      </c>
      <c r="E5584" t="str">
        <f t="shared" si="373"/>
        <v>1207</v>
      </c>
      <c r="F5584" t="str">
        <f>"231"</f>
        <v>231</v>
      </c>
    </row>
    <row r="5585" spans="1:6">
      <c r="A5585" t="str">
        <f>"E1264-137"</f>
        <v>E1264-137</v>
      </c>
      <c r="B5585" t="str">
        <f t="shared" si="374"/>
        <v>VIA FELICE MARITANO  59-</v>
      </c>
      <c r="C5585" t="str">
        <f t="shared" si="372"/>
        <v>RIV</v>
      </c>
      <c r="D5585">
        <v>27</v>
      </c>
      <c r="E5585" t="str">
        <f t="shared" si="373"/>
        <v>1207</v>
      </c>
      <c r="F5585" t="str">
        <f>"232"</f>
        <v>232</v>
      </c>
    </row>
    <row r="5586" spans="1:6">
      <c r="A5586" t="str">
        <f>"E1264-138"</f>
        <v>E1264-138</v>
      </c>
      <c r="B5586" t="str">
        <f t="shared" si="374"/>
        <v>VIA FELICE MARITANO  59-</v>
      </c>
      <c r="C5586" t="str">
        <f t="shared" si="372"/>
        <v>RIV</v>
      </c>
      <c r="D5586">
        <v>27</v>
      </c>
      <c r="E5586" t="str">
        <f t="shared" si="373"/>
        <v>1207</v>
      </c>
      <c r="F5586" t="str">
        <f>"233"</f>
        <v>233</v>
      </c>
    </row>
    <row r="5587" spans="1:6">
      <c r="A5587" t="str">
        <f>"E1264-139"</f>
        <v>E1264-139</v>
      </c>
      <c r="B5587" t="str">
        <f t="shared" si="374"/>
        <v>VIA FELICE MARITANO  59-</v>
      </c>
      <c r="C5587" t="str">
        <f t="shared" si="372"/>
        <v>RIV</v>
      </c>
      <c r="D5587">
        <v>27</v>
      </c>
      <c r="E5587" t="str">
        <f t="shared" si="373"/>
        <v>1207</v>
      </c>
      <c r="F5587" t="str">
        <f>"234"</f>
        <v>234</v>
      </c>
    </row>
    <row r="5588" spans="1:6">
      <c r="A5588" t="str">
        <f>"E1264-140"</f>
        <v>E1264-140</v>
      </c>
      <c r="B5588" t="str">
        <f t="shared" si="374"/>
        <v>VIA FELICE MARITANO  59-</v>
      </c>
      <c r="C5588" t="str">
        <f t="shared" si="372"/>
        <v>RIV</v>
      </c>
      <c r="D5588">
        <v>27</v>
      </c>
      <c r="E5588" t="str">
        <f t="shared" si="373"/>
        <v>1207</v>
      </c>
      <c r="F5588" t="str">
        <f>"235"</f>
        <v>235</v>
      </c>
    </row>
    <row r="5589" spans="1:6">
      <c r="A5589" t="str">
        <f>"E1264-141"</f>
        <v>E1264-141</v>
      </c>
      <c r="B5589" t="str">
        <f t="shared" si="374"/>
        <v>VIA FELICE MARITANO  59-</v>
      </c>
      <c r="C5589" t="str">
        <f t="shared" si="372"/>
        <v>RIV</v>
      </c>
      <c r="D5589">
        <v>27</v>
      </c>
      <c r="E5589" t="str">
        <f t="shared" si="373"/>
        <v>1207</v>
      </c>
      <c r="F5589" t="str">
        <f>"236"</f>
        <v>236</v>
      </c>
    </row>
    <row r="5590" spans="1:6">
      <c r="A5590" t="str">
        <f>"E1264-142"</f>
        <v>E1264-142</v>
      </c>
      <c r="B5590" t="str">
        <f t="shared" si="374"/>
        <v>VIA FELICE MARITANO  59-</v>
      </c>
      <c r="C5590" t="str">
        <f t="shared" si="372"/>
        <v>RIV</v>
      </c>
      <c r="D5590">
        <v>27</v>
      </c>
      <c r="E5590" t="str">
        <f t="shared" si="373"/>
        <v>1207</v>
      </c>
      <c r="F5590" t="str">
        <f>"245"</f>
        <v>245</v>
      </c>
    </row>
    <row r="5591" spans="1:6">
      <c r="A5591" t="str">
        <f>"E1264-143"</f>
        <v>E1264-143</v>
      </c>
      <c r="B5591" t="str">
        <f t="shared" si="374"/>
        <v>VIA FELICE MARITANO  59-</v>
      </c>
      <c r="C5591" t="str">
        <f t="shared" si="372"/>
        <v>RIV</v>
      </c>
      <c r="D5591">
        <v>27</v>
      </c>
      <c r="E5591" t="str">
        <f t="shared" si="373"/>
        <v>1207</v>
      </c>
      <c r="F5591" t="str">
        <f>"246"</f>
        <v>246</v>
      </c>
    </row>
    <row r="5592" spans="1:6">
      <c r="A5592" t="str">
        <f>"E1264-144"</f>
        <v>E1264-144</v>
      </c>
      <c r="B5592" t="str">
        <f t="shared" si="374"/>
        <v>VIA FELICE MARITANO  59-</v>
      </c>
      <c r="C5592" t="str">
        <f t="shared" si="372"/>
        <v>RIV</v>
      </c>
      <c r="D5592">
        <v>27</v>
      </c>
      <c r="E5592" t="str">
        <f t="shared" si="373"/>
        <v>1207</v>
      </c>
      <c r="F5592" t="str">
        <f>"247"</f>
        <v>247</v>
      </c>
    </row>
    <row r="5593" spans="1:6">
      <c r="A5593" t="str">
        <f>"E1264-145"</f>
        <v>E1264-145</v>
      </c>
      <c r="B5593" t="str">
        <f t="shared" si="374"/>
        <v>VIA FELICE MARITANO  59-</v>
      </c>
      <c r="C5593" t="str">
        <f t="shared" si="372"/>
        <v>RIV</v>
      </c>
      <c r="D5593">
        <v>27</v>
      </c>
      <c r="E5593" t="str">
        <f t="shared" si="373"/>
        <v>1207</v>
      </c>
      <c r="F5593" t="str">
        <f>"248"</f>
        <v>248</v>
      </c>
    </row>
    <row r="5594" spans="1:6">
      <c r="A5594" t="str">
        <f>"E1264-146"</f>
        <v>E1264-146</v>
      </c>
      <c r="B5594" t="str">
        <f t="shared" si="374"/>
        <v>VIA FELICE MARITANO  59-</v>
      </c>
      <c r="C5594" t="str">
        <f t="shared" si="372"/>
        <v>RIV</v>
      </c>
      <c r="D5594">
        <v>27</v>
      </c>
      <c r="E5594" t="str">
        <f t="shared" si="373"/>
        <v>1207</v>
      </c>
      <c r="F5594" t="str">
        <f>"249"</f>
        <v>249</v>
      </c>
    </row>
    <row r="5595" spans="1:6">
      <c r="A5595" t="str">
        <f>"E1264-147"</f>
        <v>E1264-147</v>
      </c>
      <c r="B5595" t="str">
        <f t="shared" si="374"/>
        <v>VIA FELICE MARITANO  59-</v>
      </c>
      <c r="C5595" t="str">
        <f t="shared" si="372"/>
        <v>RIV</v>
      </c>
      <c r="D5595">
        <v>27</v>
      </c>
      <c r="E5595" t="str">
        <f t="shared" si="373"/>
        <v>1207</v>
      </c>
      <c r="F5595" t="str">
        <f>"250"</f>
        <v>250</v>
      </c>
    </row>
    <row r="5596" spans="1:6">
      <c r="A5596" t="str">
        <f>"E1264-148"</f>
        <v>E1264-148</v>
      </c>
      <c r="B5596" t="str">
        <f t="shared" si="374"/>
        <v>VIA FELICE MARITANO  59-</v>
      </c>
      <c r="C5596" t="str">
        <f t="shared" si="372"/>
        <v>RIV</v>
      </c>
      <c r="D5596">
        <v>27</v>
      </c>
      <c r="E5596" t="str">
        <f t="shared" si="373"/>
        <v>1207</v>
      </c>
      <c r="F5596" t="str">
        <f>"251"</f>
        <v>251</v>
      </c>
    </row>
    <row r="5597" spans="1:6">
      <c r="A5597" t="str">
        <f>"E1264-149"</f>
        <v>E1264-149</v>
      </c>
      <c r="B5597" t="str">
        <f t="shared" si="374"/>
        <v>VIA FELICE MARITANO  59-</v>
      </c>
      <c r="C5597" t="str">
        <f t="shared" si="372"/>
        <v>RIV</v>
      </c>
      <c r="D5597">
        <v>27</v>
      </c>
      <c r="E5597" t="str">
        <f t="shared" si="373"/>
        <v>1207</v>
      </c>
      <c r="F5597" t="str">
        <f>"265"</f>
        <v>265</v>
      </c>
    </row>
    <row r="5598" spans="1:6">
      <c r="A5598" t="str">
        <f>"E1264-150"</f>
        <v>E1264-150</v>
      </c>
      <c r="B5598" t="str">
        <f t="shared" si="374"/>
        <v>VIA FELICE MARITANO  59-</v>
      </c>
      <c r="C5598" t="str">
        <f t="shared" si="372"/>
        <v>RIV</v>
      </c>
      <c r="D5598">
        <v>27</v>
      </c>
      <c r="E5598" t="str">
        <f t="shared" si="373"/>
        <v>1207</v>
      </c>
      <c r="F5598" t="str">
        <f>"266"</f>
        <v>266</v>
      </c>
    </row>
    <row r="5599" spans="1:6">
      <c r="A5599" t="str">
        <f>"E1264-151"</f>
        <v>E1264-151</v>
      </c>
      <c r="B5599" t="str">
        <f t="shared" si="374"/>
        <v>VIA FELICE MARITANO  59-</v>
      </c>
      <c r="C5599" t="str">
        <f t="shared" si="372"/>
        <v>RIV</v>
      </c>
      <c r="D5599">
        <v>27</v>
      </c>
      <c r="E5599" t="str">
        <f t="shared" si="373"/>
        <v>1207</v>
      </c>
      <c r="F5599" t="str">
        <f>"267"</f>
        <v>267</v>
      </c>
    </row>
    <row r="5600" spans="1:6">
      <c r="A5600" t="str">
        <f>"E1264-152"</f>
        <v>E1264-152</v>
      </c>
      <c r="B5600" t="str">
        <f t="shared" si="374"/>
        <v>VIA FELICE MARITANO  59-</v>
      </c>
      <c r="C5600" t="str">
        <f t="shared" si="372"/>
        <v>RIV</v>
      </c>
      <c r="D5600">
        <v>27</v>
      </c>
      <c r="E5600" t="str">
        <f t="shared" si="373"/>
        <v>1207</v>
      </c>
      <c r="F5600" t="str">
        <f>"268"</f>
        <v>268</v>
      </c>
    </row>
    <row r="5601" spans="1:6">
      <c r="A5601" t="str">
        <f>"E1264-153"</f>
        <v>E1264-153</v>
      </c>
      <c r="B5601" t="str">
        <f t="shared" si="374"/>
        <v>VIA FELICE MARITANO  59-</v>
      </c>
      <c r="C5601" t="str">
        <f t="shared" si="372"/>
        <v>RIV</v>
      </c>
      <c r="D5601">
        <v>27</v>
      </c>
      <c r="E5601" t="str">
        <f t="shared" si="373"/>
        <v>1207</v>
      </c>
      <c r="F5601" t="str">
        <f>"269"</f>
        <v>269</v>
      </c>
    </row>
    <row r="5602" spans="1:6">
      <c r="A5602" t="str">
        <f>"E1264-154"</f>
        <v>E1264-154</v>
      </c>
      <c r="B5602" t="str">
        <f t="shared" si="374"/>
        <v>VIA FELICE MARITANO  59-</v>
      </c>
      <c r="C5602" t="str">
        <f t="shared" si="372"/>
        <v>RIV</v>
      </c>
      <c r="D5602">
        <v>27</v>
      </c>
      <c r="E5602" t="str">
        <f t="shared" si="373"/>
        <v>1207</v>
      </c>
      <c r="F5602" t="str">
        <f>"270"</f>
        <v>270</v>
      </c>
    </row>
    <row r="5603" spans="1:6">
      <c r="A5603" t="str">
        <f>"E1264-155"</f>
        <v>E1264-155</v>
      </c>
      <c r="B5603" t="str">
        <f t="shared" si="374"/>
        <v>VIA FELICE MARITANO  59-</v>
      </c>
      <c r="C5603" t="str">
        <f t="shared" si="372"/>
        <v>RIV</v>
      </c>
      <c r="D5603">
        <v>27</v>
      </c>
      <c r="E5603" t="str">
        <f t="shared" si="373"/>
        <v>1207</v>
      </c>
      <c r="F5603" t="str">
        <f>"271"</f>
        <v>271</v>
      </c>
    </row>
    <row r="5604" spans="1:6">
      <c r="A5604" t="str">
        <f>"E1264-156"</f>
        <v>E1264-156</v>
      </c>
      <c r="B5604" t="str">
        <f t="shared" si="374"/>
        <v>VIA FELICE MARITANO  59-</v>
      </c>
      <c r="C5604" t="str">
        <f t="shared" si="372"/>
        <v>RIV</v>
      </c>
      <c r="D5604">
        <v>27</v>
      </c>
      <c r="E5604" t="str">
        <f t="shared" si="373"/>
        <v>1207</v>
      </c>
      <c r="F5604" t="str">
        <f>"285"</f>
        <v>285</v>
      </c>
    </row>
    <row r="5605" spans="1:6">
      <c r="A5605" t="str">
        <f>"E1264-157"</f>
        <v>E1264-157</v>
      </c>
      <c r="B5605" t="str">
        <f t="shared" si="374"/>
        <v>VIA FELICE MARITANO  59-</v>
      </c>
      <c r="C5605" t="str">
        <f t="shared" si="372"/>
        <v>RIV</v>
      </c>
      <c r="D5605">
        <v>27</v>
      </c>
      <c r="E5605" t="str">
        <f t="shared" si="373"/>
        <v>1207</v>
      </c>
      <c r="F5605" t="str">
        <f>"286"</f>
        <v>286</v>
      </c>
    </row>
    <row r="5606" spans="1:6">
      <c r="A5606" t="str">
        <f>"E1264-158"</f>
        <v>E1264-158</v>
      </c>
      <c r="B5606" t="str">
        <f t="shared" si="374"/>
        <v>VIA FELICE MARITANO  59-</v>
      </c>
      <c r="C5606" t="str">
        <f t="shared" si="372"/>
        <v>RIV</v>
      </c>
      <c r="D5606">
        <v>27</v>
      </c>
      <c r="E5606" t="str">
        <f t="shared" si="373"/>
        <v>1207</v>
      </c>
      <c r="F5606" t="str">
        <f>"287"</f>
        <v>287</v>
      </c>
    </row>
    <row r="5607" spans="1:6">
      <c r="A5607" t="str">
        <f>"E1264-159"</f>
        <v>E1264-159</v>
      </c>
      <c r="B5607" t="str">
        <f t="shared" si="374"/>
        <v>VIA FELICE MARITANO  59-</v>
      </c>
      <c r="C5607" t="str">
        <f t="shared" si="372"/>
        <v>RIV</v>
      </c>
      <c r="D5607">
        <v>27</v>
      </c>
      <c r="E5607" t="str">
        <f t="shared" si="373"/>
        <v>1207</v>
      </c>
      <c r="F5607" t="str">
        <f>"288"</f>
        <v>288</v>
      </c>
    </row>
    <row r="5608" spans="1:6">
      <c r="A5608" t="str">
        <f>"E1264-160"</f>
        <v>E1264-160</v>
      </c>
      <c r="B5608" t="str">
        <f t="shared" si="374"/>
        <v>VIA FELICE MARITANO  59-</v>
      </c>
      <c r="C5608" t="str">
        <f t="shared" si="372"/>
        <v>RIV</v>
      </c>
      <c r="D5608">
        <v>27</v>
      </c>
      <c r="E5608" t="str">
        <f t="shared" si="373"/>
        <v>1207</v>
      </c>
      <c r="F5608" t="str">
        <f>"289"</f>
        <v>289</v>
      </c>
    </row>
    <row r="5609" spans="1:6">
      <c r="A5609" t="str">
        <f>"E1264-161"</f>
        <v>E1264-161</v>
      </c>
      <c r="B5609" t="str">
        <f t="shared" si="374"/>
        <v>VIA FELICE MARITANO  59-</v>
      </c>
      <c r="C5609" t="str">
        <f t="shared" si="372"/>
        <v>RIV</v>
      </c>
      <c r="D5609">
        <v>27</v>
      </c>
      <c r="E5609" t="str">
        <f t="shared" si="373"/>
        <v>1207</v>
      </c>
      <c r="F5609" t="str">
        <f>"290"</f>
        <v>290</v>
      </c>
    </row>
    <row r="5610" spans="1:6">
      <c r="A5610" t="str">
        <f>"E1264-162"</f>
        <v>E1264-162</v>
      </c>
      <c r="B5610" t="str">
        <f t="shared" si="374"/>
        <v>VIA FELICE MARITANO  59-</v>
      </c>
      <c r="C5610" t="str">
        <f t="shared" si="372"/>
        <v>RIV</v>
      </c>
      <c r="D5610">
        <v>27</v>
      </c>
      <c r="E5610" t="str">
        <f t="shared" si="373"/>
        <v>1207</v>
      </c>
      <c r="F5610" t="str">
        <f>"291"</f>
        <v>291</v>
      </c>
    </row>
    <row r="5611" spans="1:6">
      <c r="A5611" t="str">
        <f>"E1264-163"</f>
        <v>E1264-163</v>
      </c>
      <c r="B5611" t="str">
        <f t="shared" ref="B5611:B5656" si="375">"VIA FELICE MARITANO  70-"</f>
        <v>VIA FELICE MARITANO  70-</v>
      </c>
      <c r="C5611" t="str">
        <f t="shared" si="372"/>
        <v>RIV</v>
      </c>
      <c r="D5611">
        <v>27</v>
      </c>
      <c r="E5611" t="str">
        <f t="shared" si="373"/>
        <v>1207</v>
      </c>
      <c r="F5611" t="str">
        <f>"7"</f>
        <v>7</v>
      </c>
    </row>
    <row r="5612" spans="1:6">
      <c r="A5612" t="str">
        <f>"E1264-164"</f>
        <v>E1264-164</v>
      </c>
      <c r="B5612" t="str">
        <f t="shared" si="375"/>
        <v>VIA FELICE MARITANO  70-</v>
      </c>
      <c r="C5612" t="str">
        <f t="shared" si="372"/>
        <v>RIV</v>
      </c>
      <c r="D5612">
        <v>27</v>
      </c>
      <c r="E5612" t="str">
        <f t="shared" si="373"/>
        <v>1207</v>
      </c>
      <c r="F5612" t="str">
        <f>"8"</f>
        <v>8</v>
      </c>
    </row>
    <row r="5613" spans="1:6">
      <c r="A5613" t="str">
        <f>"E1264-165"</f>
        <v>E1264-165</v>
      </c>
      <c r="B5613" t="str">
        <f t="shared" si="375"/>
        <v>VIA FELICE MARITANO  70-</v>
      </c>
      <c r="C5613" t="str">
        <f t="shared" si="372"/>
        <v>RIV</v>
      </c>
      <c r="D5613">
        <v>27</v>
      </c>
      <c r="E5613" t="str">
        <f t="shared" si="373"/>
        <v>1207</v>
      </c>
      <c r="F5613" t="str">
        <f>"9"</f>
        <v>9</v>
      </c>
    </row>
    <row r="5614" spans="1:6">
      <c r="A5614" t="str">
        <f>"E1264-166"</f>
        <v>E1264-166</v>
      </c>
      <c r="B5614" t="str">
        <f t="shared" si="375"/>
        <v>VIA FELICE MARITANO  70-</v>
      </c>
      <c r="C5614" t="str">
        <f t="shared" si="372"/>
        <v>RIV</v>
      </c>
      <c r="D5614">
        <v>27</v>
      </c>
      <c r="E5614" t="str">
        <f t="shared" si="373"/>
        <v>1207</v>
      </c>
      <c r="F5614" t="str">
        <f>"10"</f>
        <v>10</v>
      </c>
    </row>
    <row r="5615" spans="1:6">
      <c r="A5615" t="str">
        <f>"E1264-167"</f>
        <v>E1264-167</v>
      </c>
      <c r="B5615" t="str">
        <f t="shared" si="375"/>
        <v>VIA FELICE MARITANO  70-</v>
      </c>
      <c r="C5615" t="str">
        <f t="shared" si="372"/>
        <v>RIV</v>
      </c>
      <c r="D5615">
        <v>27</v>
      </c>
      <c r="E5615" t="str">
        <f t="shared" si="373"/>
        <v>1207</v>
      </c>
      <c r="F5615" t="str">
        <f>"11"</f>
        <v>11</v>
      </c>
    </row>
    <row r="5616" spans="1:6">
      <c r="A5616" t="str">
        <f>"E1264-168"</f>
        <v>E1264-168</v>
      </c>
      <c r="B5616" t="str">
        <f t="shared" si="375"/>
        <v>VIA FELICE MARITANO  70-</v>
      </c>
      <c r="C5616" t="str">
        <f t="shared" si="372"/>
        <v>RIV</v>
      </c>
      <c r="D5616">
        <v>27</v>
      </c>
      <c r="E5616" t="str">
        <f t="shared" si="373"/>
        <v>1207</v>
      </c>
      <c r="F5616" t="str">
        <f>"12"</f>
        <v>12</v>
      </c>
    </row>
    <row r="5617" spans="1:6">
      <c r="A5617" t="str">
        <f>"E1264-169"</f>
        <v>E1264-169</v>
      </c>
      <c r="B5617" t="str">
        <f t="shared" si="375"/>
        <v>VIA FELICE MARITANO  70-</v>
      </c>
      <c r="C5617" t="str">
        <f t="shared" si="372"/>
        <v>RIV</v>
      </c>
      <c r="D5617">
        <v>27</v>
      </c>
      <c r="E5617" t="str">
        <f t="shared" si="373"/>
        <v>1207</v>
      </c>
      <c r="F5617" t="str">
        <f>"13"</f>
        <v>13</v>
      </c>
    </row>
    <row r="5618" spans="1:6">
      <c r="A5618" t="str">
        <f>"E1264-170"</f>
        <v>E1264-170</v>
      </c>
      <c r="B5618" t="str">
        <f t="shared" si="375"/>
        <v>VIA FELICE MARITANO  70-</v>
      </c>
      <c r="C5618" t="str">
        <f t="shared" si="372"/>
        <v>RIV</v>
      </c>
      <c r="D5618">
        <v>27</v>
      </c>
      <c r="E5618" t="str">
        <f t="shared" si="373"/>
        <v>1207</v>
      </c>
      <c r="F5618" t="str">
        <f>"14"</f>
        <v>14</v>
      </c>
    </row>
    <row r="5619" spans="1:6">
      <c r="A5619" t="str">
        <f>"E1264-171"</f>
        <v>E1264-171</v>
      </c>
      <c r="B5619" t="str">
        <f t="shared" si="375"/>
        <v>VIA FELICE MARITANO  70-</v>
      </c>
      <c r="C5619" t="str">
        <f t="shared" si="372"/>
        <v>RIV</v>
      </c>
      <c r="D5619">
        <v>27</v>
      </c>
      <c r="E5619" t="str">
        <f t="shared" si="373"/>
        <v>1207</v>
      </c>
      <c r="F5619" t="str">
        <f>"15"</f>
        <v>15</v>
      </c>
    </row>
    <row r="5620" spans="1:6">
      <c r="A5620" t="str">
        <f>"E1264-172"</f>
        <v>E1264-172</v>
      </c>
      <c r="B5620" t="str">
        <f t="shared" si="375"/>
        <v>VIA FELICE MARITANO  70-</v>
      </c>
      <c r="C5620" t="str">
        <f t="shared" si="372"/>
        <v>RIV</v>
      </c>
      <c r="D5620">
        <v>27</v>
      </c>
      <c r="E5620" t="str">
        <f t="shared" si="373"/>
        <v>1207</v>
      </c>
      <c r="F5620" t="str">
        <f>"16"</f>
        <v>16</v>
      </c>
    </row>
    <row r="5621" spans="1:6">
      <c r="A5621" t="str">
        <f>"E1264-173"</f>
        <v>E1264-173</v>
      </c>
      <c r="B5621" t="str">
        <f t="shared" si="375"/>
        <v>VIA FELICE MARITANO  70-</v>
      </c>
      <c r="C5621" t="str">
        <f t="shared" si="372"/>
        <v>RIV</v>
      </c>
      <c r="D5621">
        <v>27</v>
      </c>
      <c r="E5621" t="str">
        <f t="shared" si="373"/>
        <v>1207</v>
      </c>
      <c r="F5621" t="str">
        <f>"17"</f>
        <v>17</v>
      </c>
    </row>
    <row r="5622" spans="1:6">
      <c r="A5622" t="str">
        <f>"E1264-174"</f>
        <v>E1264-174</v>
      </c>
      <c r="B5622" t="str">
        <f t="shared" si="375"/>
        <v>VIA FELICE MARITANO  70-</v>
      </c>
      <c r="C5622" t="str">
        <f t="shared" si="372"/>
        <v>RIV</v>
      </c>
      <c r="D5622">
        <v>27</v>
      </c>
      <c r="E5622" t="str">
        <f t="shared" si="373"/>
        <v>1207</v>
      </c>
      <c r="F5622" t="str">
        <f>"18"</f>
        <v>18</v>
      </c>
    </row>
    <row r="5623" spans="1:6">
      <c r="A5623" t="str">
        <f>"E1264-175"</f>
        <v>E1264-175</v>
      </c>
      <c r="B5623" t="str">
        <f t="shared" si="375"/>
        <v>VIA FELICE MARITANO  70-</v>
      </c>
      <c r="C5623" t="str">
        <f t="shared" si="372"/>
        <v>RIV</v>
      </c>
      <c r="D5623">
        <v>27</v>
      </c>
      <c r="E5623" t="str">
        <f t="shared" si="373"/>
        <v>1207</v>
      </c>
      <c r="F5623" t="str">
        <f>"19"</f>
        <v>19</v>
      </c>
    </row>
    <row r="5624" spans="1:6">
      <c r="A5624" t="str">
        <f>"E1264-176"</f>
        <v>E1264-176</v>
      </c>
      <c r="B5624" t="str">
        <f t="shared" si="375"/>
        <v>VIA FELICE MARITANO  70-</v>
      </c>
      <c r="C5624" t="str">
        <f t="shared" si="372"/>
        <v>RIV</v>
      </c>
      <c r="D5624">
        <v>27</v>
      </c>
      <c r="E5624" t="str">
        <f t="shared" si="373"/>
        <v>1207</v>
      </c>
      <c r="F5624" t="str">
        <f>"20"</f>
        <v>20</v>
      </c>
    </row>
    <row r="5625" spans="1:6">
      <c r="A5625" t="str">
        <f>"E1264-177"</f>
        <v>E1264-177</v>
      </c>
      <c r="B5625" t="str">
        <f t="shared" si="375"/>
        <v>VIA FELICE MARITANO  70-</v>
      </c>
      <c r="C5625" t="str">
        <f t="shared" si="372"/>
        <v>RIV</v>
      </c>
      <c r="D5625">
        <v>27</v>
      </c>
      <c r="E5625" t="str">
        <f t="shared" si="373"/>
        <v>1207</v>
      </c>
      <c r="F5625" t="str">
        <f>"21"</f>
        <v>21</v>
      </c>
    </row>
    <row r="5626" spans="1:6">
      <c r="A5626" t="str">
        <f>"E1264-178"</f>
        <v>E1264-178</v>
      </c>
      <c r="B5626" t="str">
        <f t="shared" si="375"/>
        <v>VIA FELICE MARITANO  70-</v>
      </c>
      <c r="C5626" t="str">
        <f t="shared" si="372"/>
        <v>RIV</v>
      </c>
      <c r="D5626">
        <v>27</v>
      </c>
      <c r="E5626" t="str">
        <f t="shared" si="373"/>
        <v>1207</v>
      </c>
      <c r="F5626" t="str">
        <f>"22"</f>
        <v>22</v>
      </c>
    </row>
    <row r="5627" spans="1:6">
      <c r="A5627" t="str">
        <f>"E1264-179"</f>
        <v>E1264-179</v>
      </c>
      <c r="B5627" t="str">
        <f t="shared" si="375"/>
        <v>VIA FELICE MARITANO  70-</v>
      </c>
      <c r="C5627" t="str">
        <f t="shared" si="372"/>
        <v>RIV</v>
      </c>
      <c r="D5627">
        <v>27</v>
      </c>
      <c r="E5627" t="str">
        <f t="shared" si="373"/>
        <v>1207</v>
      </c>
      <c r="F5627" t="str">
        <f>"97"</f>
        <v>97</v>
      </c>
    </row>
    <row r="5628" spans="1:6">
      <c r="A5628" t="str">
        <f>"E1264-180"</f>
        <v>E1264-180</v>
      </c>
      <c r="B5628" t="str">
        <f t="shared" si="375"/>
        <v>VIA FELICE MARITANO  70-</v>
      </c>
      <c r="C5628" t="str">
        <f t="shared" si="372"/>
        <v>RIV</v>
      </c>
      <c r="D5628">
        <v>27</v>
      </c>
      <c r="E5628" t="str">
        <f t="shared" si="373"/>
        <v>1207</v>
      </c>
      <c r="F5628" t="str">
        <f>"98"</f>
        <v>98</v>
      </c>
    </row>
    <row r="5629" spans="1:6">
      <c r="A5629" t="str">
        <f>"E1264-181"</f>
        <v>E1264-181</v>
      </c>
      <c r="B5629" t="str">
        <f t="shared" si="375"/>
        <v>VIA FELICE MARITANO  70-</v>
      </c>
      <c r="C5629" t="str">
        <f t="shared" si="372"/>
        <v>RIV</v>
      </c>
      <c r="D5629">
        <v>27</v>
      </c>
      <c r="E5629" t="str">
        <f t="shared" si="373"/>
        <v>1207</v>
      </c>
      <c r="F5629" t="str">
        <f>"99"</f>
        <v>99</v>
      </c>
    </row>
    <row r="5630" spans="1:6">
      <c r="A5630" t="str">
        <f>"E1264-182"</f>
        <v>E1264-182</v>
      </c>
      <c r="B5630" t="str">
        <f t="shared" si="375"/>
        <v>VIA FELICE MARITANO  70-</v>
      </c>
      <c r="C5630" t="str">
        <f t="shared" si="372"/>
        <v>RIV</v>
      </c>
      <c r="D5630">
        <v>27</v>
      </c>
      <c r="E5630" t="str">
        <f t="shared" si="373"/>
        <v>1207</v>
      </c>
      <c r="F5630" t="str">
        <f>"100"</f>
        <v>100</v>
      </c>
    </row>
    <row r="5631" spans="1:6">
      <c r="A5631" t="str">
        <f>"E1264-183"</f>
        <v>E1264-183</v>
      </c>
      <c r="B5631" t="str">
        <f t="shared" si="375"/>
        <v>VIA FELICE MARITANO  70-</v>
      </c>
      <c r="C5631" t="str">
        <f t="shared" si="372"/>
        <v>RIV</v>
      </c>
      <c r="D5631">
        <v>27</v>
      </c>
      <c r="E5631" t="str">
        <f t="shared" si="373"/>
        <v>1207</v>
      </c>
      <c r="F5631" t="str">
        <f>"101"</f>
        <v>101</v>
      </c>
    </row>
    <row r="5632" spans="1:6">
      <c r="A5632" t="str">
        <f>"E1264-184"</f>
        <v>E1264-184</v>
      </c>
      <c r="B5632" t="str">
        <f t="shared" si="375"/>
        <v>VIA FELICE MARITANO  70-</v>
      </c>
      <c r="C5632" t="str">
        <f t="shared" si="372"/>
        <v>RIV</v>
      </c>
      <c r="D5632">
        <v>27</v>
      </c>
      <c r="E5632" t="str">
        <f t="shared" si="373"/>
        <v>1207</v>
      </c>
      <c r="F5632" t="str">
        <f>"102"</f>
        <v>102</v>
      </c>
    </row>
    <row r="5633" spans="1:6">
      <c r="A5633" t="str">
        <f>"E1264-185"</f>
        <v>E1264-185</v>
      </c>
      <c r="B5633" t="str">
        <f t="shared" si="375"/>
        <v>VIA FELICE MARITANO  70-</v>
      </c>
      <c r="C5633" t="str">
        <f t="shared" si="372"/>
        <v>RIV</v>
      </c>
      <c r="D5633">
        <v>27</v>
      </c>
      <c r="E5633" t="str">
        <f t="shared" si="373"/>
        <v>1207</v>
      </c>
      <c r="F5633" t="str">
        <f>"103"</f>
        <v>103</v>
      </c>
    </row>
    <row r="5634" spans="1:6">
      <c r="A5634" t="str">
        <f>"E1264-186"</f>
        <v>E1264-186</v>
      </c>
      <c r="B5634" t="str">
        <f t="shared" si="375"/>
        <v>VIA FELICE MARITANO  70-</v>
      </c>
      <c r="C5634" t="str">
        <f t="shared" si="372"/>
        <v>RIV</v>
      </c>
      <c r="D5634">
        <v>27</v>
      </c>
      <c r="E5634" t="str">
        <f t="shared" si="373"/>
        <v>1207</v>
      </c>
      <c r="F5634" t="str">
        <f>"104"</f>
        <v>104</v>
      </c>
    </row>
    <row r="5635" spans="1:6">
      <c r="A5635" t="str">
        <f>"E1264-187"</f>
        <v>E1264-187</v>
      </c>
      <c r="B5635" t="str">
        <f t="shared" si="375"/>
        <v>VIA FELICE MARITANO  70-</v>
      </c>
      <c r="C5635" t="str">
        <f t="shared" si="372"/>
        <v>RIV</v>
      </c>
      <c r="D5635">
        <v>27</v>
      </c>
      <c r="E5635" t="str">
        <f t="shared" si="373"/>
        <v>1207</v>
      </c>
      <c r="F5635" t="str">
        <f>"105"</f>
        <v>105</v>
      </c>
    </row>
    <row r="5636" spans="1:6">
      <c r="A5636" t="str">
        <f>"E1264-188"</f>
        <v>E1264-188</v>
      </c>
      <c r="B5636" t="str">
        <f t="shared" si="375"/>
        <v>VIA FELICE MARITANO  70-</v>
      </c>
      <c r="C5636" t="str">
        <f t="shared" si="372"/>
        <v>RIV</v>
      </c>
      <c r="D5636">
        <v>27</v>
      </c>
      <c r="E5636" t="str">
        <f t="shared" si="373"/>
        <v>1207</v>
      </c>
      <c r="F5636" t="str">
        <f>"106"</f>
        <v>106</v>
      </c>
    </row>
    <row r="5637" spans="1:6">
      <c r="A5637" t="str">
        <f>"E1264-189"</f>
        <v>E1264-189</v>
      </c>
      <c r="B5637" t="str">
        <f t="shared" si="375"/>
        <v>VIA FELICE MARITANO  70-</v>
      </c>
      <c r="C5637" t="str">
        <f t="shared" si="372"/>
        <v>RIV</v>
      </c>
      <c r="D5637">
        <v>27</v>
      </c>
      <c r="E5637" t="str">
        <f t="shared" si="373"/>
        <v>1207</v>
      </c>
      <c r="F5637" t="str">
        <f>"107"</f>
        <v>107</v>
      </c>
    </row>
    <row r="5638" spans="1:6">
      <c r="A5638" t="str">
        <f>"E1264-190"</f>
        <v>E1264-190</v>
      </c>
      <c r="B5638" t="str">
        <f t="shared" si="375"/>
        <v>VIA FELICE MARITANO  70-</v>
      </c>
      <c r="C5638" t="str">
        <f t="shared" si="372"/>
        <v>RIV</v>
      </c>
      <c r="D5638">
        <v>27</v>
      </c>
      <c r="E5638" t="str">
        <f t="shared" si="373"/>
        <v>1207</v>
      </c>
      <c r="F5638" t="str">
        <f>"108"</f>
        <v>108</v>
      </c>
    </row>
    <row r="5639" spans="1:6">
      <c r="A5639" t="str">
        <f>"E1264-191"</f>
        <v>E1264-191</v>
      </c>
      <c r="B5639" t="str">
        <f t="shared" si="375"/>
        <v>VIA FELICE MARITANO  70-</v>
      </c>
      <c r="C5639" t="str">
        <f t="shared" si="372"/>
        <v>RIV</v>
      </c>
      <c r="D5639">
        <v>27</v>
      </c>
      <c r="E5639" t="str">
        <f t="shared" si="373"/>
        <v>1207</v>
      </c>
      <c r="F5639" t="str">
        <f>"109"</f>
        <v>109</v>
      </c>
    </row>
    <row r="5640" spans="1:6">
      <c r="A5640" t="str">
        <f>"E1264-192"</f>
        <v>E1264-192</v>
      </c>
      <c r="B5640" t="str">
        <f t="shared" si="375"/>
        <v>VIA FELICE MARITANO  70-</v>
      </c>
      <c r="C5640" t="str">
        <f t="shared" si="372"/>
        <v>RIV</v>
      </c>
      <c r="D5640">
        <v>27</v>
      </c>
      <c r="E5640" t="str">
        <f t="shared" si="373"/>
        <v>1207</v>
      </c>
      <c r="F5640" t="str">
        <f>"110"</f>
        <v>110</v>
      </c>
    </row>
    <row r="5641" spans="1:6">
      <c r="A5641" t="str">
        <f>"E1264-193"</f>
        <v>E1264-193</v>
      </c>
      <c r="B5641" t="str">
        <f t="shared" si="375"/>
        <v>VIA FELICE MARITANO  70-</v>
      </c>
      <c r="C5641" t="str">
        <f t="shared" ref="C5641:C5704" si="376">"RIV"</f>
        <v>RIV</v>
      </c>
      <c r="D5641">
        <v>27</v>
      </c>
      <c r="E5641" t="str">
        <f t="shared" ref="E5641:E5704" si="377">"1207"</f>
        <v>1207</v>
      </c>
      <c r="F5641" t="str">
        <f>"111"</f>
        <v>111</v>
      </c>
    </row>
    <row r="5642" spans="1:6">
      <c r="A5642" t="str">
        <f>"E1264-194"</f>
        <v>E1264-194</v>
      </c>
      <c r="B5642" t="str">
        <f t="shared" si="375"/>
        <v>VIA FELICE MARITANO  70-</v>
      </c>
      <c r="C5642" t="str">
        <f t="shared" si="376"/>
        <v>RIV</v>
      </c>
      <c r="D5642">
        <v>27</v>
      </c>
      <c r="E5642" t="str">
        <f t="shared" si="377"/>
        <v>1207</v>
      </c>
      <c r="F5642" t="str">
        <f>"112"</f>
        <v>112</v>
      </c>
    </row>
    <row r="5643" spans="1:6">
      <c r="A5643" t="str">
        <f>"E1264-195"</f>
        <v>E1264-195</v>
      </c>
      <c r="B5643" t="str">
        <f t="shared" si="375"/>
        <v>VIA FELICE MARITANO  70-</v>
      </c>
      <c r="C5643" t="str">
        <f t="shared" si="376"/>
        <v>RIV</v>
      </c>
      <c r="D5643">
        <v>27</v>
      </c>
      <c r="E5643" t="str">
        <f t="shared" si="377"/>
        <v>1207</v>
      </c>
      <c r="F5643" t="str">
        <f>"113"</f>
        <v>113</v>
      </c>
    </row>
    <row r="5644" spans="1:6">
      <c r="A5644" t="str">
        <f>"E1264-196"</f>
        <v>E1264-196</v>
      </c>
      <c r="B5644" t="str">
        <f t="shared" si="375"/>
        <v>VIA FELICE MARITANO  70-</v>
      </c>
      <c r="C5644" t="str">
        <f t="shared" si="376"/>
        <v>RIV</v>
      </c>
      <c r="D5644">
        <v>27</v>
      </c>
      <c r="E5644" t="str">
        <f t="shared" si="377"/>
        <v>1207</v>
      </c>
      <c r="F5644" t="str">
        <f>"114"</f>
        <v>114</v>
      </c>
    </row>
    <row r="5645" spans="1:6">
      <c r="A5645" t="str">
        <f>"E1264-197"</f>
        <v>E1264-197</v>
      </c>
      <c r="B5645" t="str">
        <f t="shared" si="375"/>
        <v>VIA FELICE MARITANO  70-</v>
      </c>
      <c r="C5645" t="str">
        <f t="shared" si="376"/>
        <v>RIV</v>
      </c>
      <c r="D5645">
        <v>27</v>
      </c>
      <c r="E5645" t="str">
        <f t="shared" si="377"/>
        <v>1207</v>
      </c>
      <c r="F5645" t="str">
        <f>"115"</f>
        <v>115</v>
      </c>
    </row>
    <row r="5646" spans="1:6">
      <c r="A5646" t="str">
        <f>"E1264-198"</f>
        <v>E1264-198</v>
      </c>
      <c r="B5646" t="str">
        <f t="shared" si="375"/>
        <v>VIA FELICE MARITANO  70-</v>
      </c>
      <c r="C5646" t="str">
        <f t="shared" si="376"/>
        <v>RIV</v>
      </c>
      <c r="D5646">
        <v>27</v>
      </c>
      <c r="E5646" t="str">
        <f t="shared" si="377"/>
        <v>1207</v>
      </c>
      <c r="F5646" t="str">
        <f>"116"</f>
        <v>116</v>
      </c>
    </row>
    <row r="5647" spans="1:6">
      <c r="A5647" t="str">
        <f>"E1264-199"</f>
        <v>E1264-199</v>
      </c>
      <c r="B5647" t="str">
        <f t="shared" si="375"/>
        <v>VIA FELICE MARITANO  70-</v>
      </c>
      <c r="C5647" t="str">
        <f t="shared" si="376"/>
        <v>RIV</v>
      </c>
      <c r="D5647">
        <v>27</v>
      </c>
      <c r="E5647" t="str">
        <f t="shared" si="377"/>
        <v>1207</v>
      </c>
      <c r="F5647" t="str">
        <f>"117"</f>
        <v>117</v>
      </c>
    </row>
    <row r="5648" spans="1:6">
      <c r="A5648" t="str">
        <f>"E1264-200"</f>
        <v>E1264-200</v>
      </c>
      <c r="B5648" t="str">
        <f t="shared" si="375"/>
        <v>VIA FELICE MARITANO  70-</v>
      </c>
      <c r="C5648" t="str">
        <f t="shared" si="376"/>
        <v>RIV</v>
      </c>
      <c r="D5648">
        <v>27</v>
      </c>
      <c r="E5648" t="str">
        <f t="shared" si="377"/>
        <v>1207</v>
      </c>
      <c r="F5648" t="str">
        <f>"118"</f>
        <v>118</v>
      </c>
    </row>
    <row r="5649" spans="1:6">
      <c r="A5649" t="str">
        <f>"E1264-201"</f>
        <v>E1264-201</v>
      </c>
      <c r="B5649" t="str">
        <f t="shared" si="375"/>
        <v>VIA FELICE MARITANO  70-</v>
      </c>
      <c r="C5649" t="str">
        <f t="shared" si="376"/>
        <v>RIV</v>
      </c>
      <c r="D5649">
        <v>27</v>
      </c>
      <c r="E5649" t="str">
        <f t="shared" si="377"/>
        <v>1207</v>
      </c>
      <c r="F5649" t="str">
        <f>"119"</f>
        <v>119</v>
      </c>
    </row>
    <row r="5650" spans="1:6">
      <c r="A5650" t="str">
        <f>"E1264-202"</f>
        <v>E1264-202</v>
      </c>
      <c r="B5650" t="str">
        <f t="shared" si="375"/>
        <v>VIA FELICE MARITANO  70-</v>
      </c>
      <c r="C5650" t="str">
        <f t="shared" si="376"/>
        <v>RIV</v>
      </c>
      <c r="D5650">
        <v>27</v>
      </c>
      <c r="E5650" t="str">
        <f t="shared" si="377"/>
        <v>1207</v>
      </c>
      <c r="F5650" t="str">
        <f>"120"</f>
        <v>120</v>
      </c>
    </row>
    <row r="5651" spans="1:6">
      <c r="A5651" t="str">
        <f>"E1264-203"</f>
        <v>E1264-203</v>
      </c>
      <c r="B5651" t="str">
        <f t="shared" si="375"/>
        <v>VIA FELICE MARITANO  70-</v>
      </c>
      <c r="C5651" t="str">
        <f t="shared" si="376"/>
        <v>RIV</v>
      </c>
      <c r="D5651">
        <v>27</v>
      </c>
      <c r="E5651" t="str">
        <f t="shared" si="377"/>
        <v>1207</v>
      </c>
      <c r="F5651" t="str">
        <f>"121"</f>
        <v>121</v>
      </c>
    </row>
    <row r="5652" spans="1:6">
      <c r="A5652" t="str">
        <f>"E1264-204"</f>
        <v>E1264-204</v>
      </c>
      <c r="B5652" t="str">
        <f t="shared" si="375"/>
        <v>VIA FELICE MARITANO  70-</v>
      </c>
      <c r="C5652" t="str">
        <f t="shared" si="376"/>
        <v>RIV</v>
      </c>
      <c r="D5652">
        <v>27</v>
      </c>
      <c r="E5652" t="str">
        <f t="shared" si="377"/>
        <v>1207</v>
      </c>
      <c r="F5652" t="str">
        <f>"122"</f>
        <v>122</v>
      </c>
    </row>
    <row r="5653" spans="1:6">
      <c r="A5653" t="str">
        <f>"E1264-205"</f>
        <v>E1264-205</v>
      </c>
      <c r="B5653" t="str">
        <f t="shared" si="375"/>
        <v>VIA FELICE MARITANO  70-</v>
      </c>
      <c r="C5653" t="str">
        <f t="shared" si="376"/>
        <v>RIV</v>
      </c>
      <c r="D5653">
        <v>27</v>
      </c>
      <c r="E5653" t="str">
        <f t="shared" si="377"/>
        <v>1207</v>
      </c>
      <c r="F5653" t="str">
        <f>"123"</f>
        <v>123</v>
      </c>
    </row>
    <row r="5654" spans="1:6">
      <c r="A5654" t="str">
        <f>"E1264-206"</f>
        <v>E1264-206</v>
      </c>
      <c r="B5654" t="str">
        <f t="shared" si="375"/>
        <v>VIA FELICE MARITANO  70-</v>
      </c>
      <c r="C5654" t="str">
        <f t="shared" si="376"/>
        <v>RIV</v>
      </c>
      <c r="D5654">
        <v>27</v>
      </c>
      <c r="E5654" t="str">
        <f t="shared" si="377"/>
        <v>1207</v>
      </c>
      <c r="F5654" t="str">
        <f>"124"</f>
        <v>124</v>
      </c>
    </row>
    <row r="5655" spans="1:6">
      <c r="A5655" t="str">
        <f>"E1264-207"</f>
        <v>E1264-207</v>
      </c>
      <c r="B5655" t="str">
        <f t="shared" si="375"/>
        <v>VIA FELICE MARITANO  70-</v>
      </c>
      <c r="C5655" t="str">
        <f t="shared" si="376"/>
        <v>RIV</v>
      </c>
      <c r="D5655">
        <v>27</v>
      </c>
      <c r="E5655" t="str">
        <f t="shared" si="377"/>
        <v>1207</v>
      </c>
      <c r="F5655" t="str">
        <f>"125"</f>
        <v>125</v>
      </c>
    </row>
    <row r="5656" spans="1:6">
      <c r="A5656" t="str">
        <f>"E1264-208"</f>
        <v>E1264-208</v>
      </c>
      <c r="B5656" t="str">
        <f t="shared" si="375"/>
        <v>VIA FELICE MARITANO  70-</v>
      </c>
      <c r="C5656" t="str">
        <f t="shared" si="376"/>
        <v>RIV</v>
      </c>
      <c r="D5656">
        <v>27</v>
      </c>
      <c r="E5656" t="str">
        <f t="shared" si="377"/>
        <v>1207</v>
      </c>
      <c r="F5656" t="str">
        <f>"126"</f>
        <v>126</v>
      </c>
    </row>
    <row r="5657" spans="1:6">
      <c r="A5657" t="str">
        <f>"E1264-209"</f>
        <v>E1264-209</v>
      </c>
      <c r="B5657" t="str">
        <f t="shared" ref="B5657:B5674" si="378">"VIA FELICE MARITANO  59-"</f>
        <v>VIA FELICE MARITANO  59-</v>
      </c>
      <c r="C5657" t="str">
        <f t="shared" si="376"/>
        <v>RIV</v>
      </c>
      <c r="D5657">
        <v>27</v>
      </c>
      <c r="E5657" t="str">
        <f t="shared" si="377"/>
        <v>1207</v>
      </c>
      <c r="F5657" t="str">
        <f>"127"</f>
        <v>127</v>
      </c>
    </row>
    <row r="5658" spans="1:6">
      <c r="A5658" t="str">
        <f>"E1264-210"</f>
        <v>E1264-210</v>
      </c>
      <c r="B5658" t="str">
        <f t="shared" si="378"/>
        <v>VIA FELICE MARITANO  59-</v>
      </c>
      <c r="C5658" t="str">
        <f t="shared" si="376"/>
        <v>RIV</v>
      </c>
      <c r="D5658">
        <v>27</v>
      </c>
      <c r="E5658" t="str">
        <f t="shared" si="377"/>
        <v>1207</v>
      </c>
      <c r="F5658" t="str">
        <f>"128"</f>
        <v>128</v>
      </c>
    </row>
    <row r="5659" spans="1:6">
      <c r="A5659" t="str">
        <f>"E1264-211"</f>
        <v>E1264-211</v>
      </c>
      <c r="B5659" t="str">
        <f t="shared" si="378"/>
        <v>VIA FELICE MARITANO  59-</v>
      </c>
      <c r="C5659" t="str">
        <f t="shared" si="376"/>
        <v>RIV</v>
      </c>
      <c r="D5659">
        <v>27</v>
      </c>
      <c r="E5659" t="str">
        <f t="shared" si="377"/>
        <v>1207</v>
      </c>
      <c r="F5659" t="str">
        <f>"129"</f>
        <v>129</v>
      </c>
    </row>
    <row r="5660" spans="1:6">
      <c r="A5660" t="str">
        <f>"E1264-212"</f>
        <v>E1264-212</v>
      </c>
      <c r="B5660" t="str">
        <f t="shared" si="378"/>
        <v>VIA FELICE MARITANO  59-</v>
      </c>
      <c r="C5660" t="str">
        <f t="shared" si="376"/>
        <v>RIV</v>
      </c>
      <c r="D5660">
        <v>27</v>
      </c>
      <c r="E5660" t="str">
        <f t="shared" si="377"/>
        <v>1207</v>
      </c>
      <c r="F5660" t="str">
        <f>"130"</f>
        <v>130</v>
      </c>
    </row>
    <row r="5661" spans="1:6">
      <c r="A5661" t="str">
        <f>"E1264-213"</f>
        <v>E1264-213</v>
      </c>
      <c r="B5661" t="str">
        <f t="shared" si="378"/>
        <v>VIA FELICE MARITANO  59-</v>
      </c>
      <c r="C5661" t="str">
        <f t="shared" si="376"/>
        <v>RIV</v>
      </c>
      <c r="D5661">
        <v>27</v>
      </c>
      <c r="E5661" t="str">
        <f t="shared" si="377"/>
        <v>1207</v>
      </c>
      <c r="F5661" t="str">
        <f>"131"</f>
        <v>131</v>
      </c>
    </row>
    <row r="5662" spans="1:6">
      <c r="A5662" t="str">
        <f>"E1264-214"</f>
        <v>E1264-214</v>
      </c>
      <c r="B5662" t="str">
        <f t="shared" si="378"/>
        <v>VIA FELICE MARITANO  59-</v>
      </c>
      <c r="C5662" t="str">
        <f t="shared" si="376"/>
        <v>RIV</v>
      </c>
      <c r="D5662">
        <v>27</v>
      </c>
      <c r="E5662" t="str">
        <f t="shared" si="377"/>
        <v>1207</v>
      </c>
      <c r="F5662" t="str">
        <f>"132"</f>
        <v>132</v>
      </c>
    </row>
    <row r="5663" spans="1:6">
      <c r="A5663" t="str">
        <f>"E1264-215"</f>
        <v>E1264-215</v>
      </c>
      <c r="B5663" t="str">
        <f t="shared" si="378"/>
        <v>VIA FELICE MARITANO  59-</v>
      </c>
      <c r="C5663" t="str">
        <f t="shared" si="376"/>
        <v>RIV</v>
      </c>
      <c r="D5663">
        <v>27</v>
      </c>
      <c r="E5663" t="str">
        <f t="shared" si="377"/>
        <v>1207</v>
      </c>
      <c r="F5663" t="str">
        <f>"133"</f>
        <v>133</v>
      </c>
    </row>
    <row r="5664" spans="1:6">
      <c r="A5664" t="str">
        <f>"E1264-216"</f>
        <v>E1264-216</v>
      </c>
      <c r="B5664" t="str">
        <f t="shared" si="378"/>
        <v>VIA FELICE MARITANO  59-</v>
      </c>
      <c r="C5664" t="str">
        <f t="shared" si="376"/>
        <v>RIV</v>
      </c>
      <c r="D5664">
        <v>27</v>
      </c>
      <c r="E5664" t="str">
        <f t="shared" si="377"/>
        <v>1207</v>
      </c>
      <c r="F5664" t="str">
        <f>"134"</f>
        <v>134</v>
      </c>
    </row>
    <row r="5665" spans="1:6">
      <c r="A5665" t="str">
        <f>"E1264-217"</f>
        <v>E1264-217</v>
      </c>
      <c r="B5665" t="str">
        <f t="shared" si="378"/>
        <v>VIA FELICE MARITANO  59-</v>
      </c>
      <c r="C5665" t="str">
        <f t="shared" si="376"/>
        <v>RIV</v>
      </c>
      <c r="D5665">
        <v>27</v>
      </c>
      <c r="E5665" t="str">
        <f t="shared" si="377"/>
        <v>1207</v>
      </c>
      <c r="F5665" t="str">
        <f>"135"</f>
        <v>135</v>
      </c>
    </row>
    <row r="5666" spans="1:6">
      <c r="A5666" t="str">
        <f>"E1264-218"</f>
        <v>E1264-218</v>
      </c>
      <c r="B5666" t="str">
        <f t="shared" si="378"/>
        <v>VIA FELICE MARITANO  59-</v>
      </c>
      <c r="C5666" t="str">
        <f t="shared" si="376"/>
        <v>RIV</v>
      </c>
      <c r="D5666">
        <v>27</v>
      </c>
      <c r="E5666" t="str">
        <f t="shared" si="377"/>
        <v>1207</v>
      </c>
      <c r="F5666" t="str">
        <f>"136"</f>
        <v>136</v>
      </c>
    </row>
    <row r="5667" spans="1:6">
      <c r="A5667" t="str">
        <f>"E1264-219"</f>
        <v>E1264-219</v>
      </c>
      <c r="B5667" t="str">
        <f t="shared" si="378"/>
        <v>VIA FELICE MARITANO  59-</v>
      </c>
      <c r="C5667" t="str">
        <f t="shared" si="376"/>
        <v>RIV</v>
      </c>
      <c r="D5667">
        <v>27</v>
      </c>
      <c r="E5667" t="str">
        <f t="shared" si="377"/>
        <v>1207</v>
      </c>
      <c r="F5667" t="str">
        <f>"137"</f>
        <v>137</v>
      </c>
    </row>
    <row r="5668" spans="1:6">
      <c r="A5668" t="str">
        <f>"E1264-220"</f>
        <v>E1264-220</v>
      </c>
      <c r="B5668" t="str">
        <f t="shared" si="378"/>
        <v>VIA FELICE MARITANO  59-</v>
      </c>
      <c r="C5668" t="str">
        <f t="shared" si="376"/>
        <v>RIV</v>
      </c>
      <c r="D5668">
        <v>27</v>
      </c>
      <c r="E5668" t="str">
        <f t="shared" si="377"/>
        <v>1207</v>
      </c>
      <c r="F5668" t="str">
        <f>"138"</f>
        <v>138</v>
      </c>
    </row>
    <row r="5669" spans="1:6">
      <c r="A5669" t="str">
        <f>"E1264-221"</f>
        <v>E1264-221</v>
      </c>
      <c r="B5669" t="str">
        <f t="shared" si="378"/>
        <v>VIA FELICE MARITANO  59-</v>
      </c>
      <c r="C5669" t="str">
        <f t="shared" si="376"/>
        <v>RIV</v>
      </c>
      <c r="D5669">
        <v>27</v>
      </c>
      <c r="E5669" t="str">
        <f t="shared" si="377"/>
        <v>1207</v>
      </c>
      <c r="F5669" t="str">
        <f>"139"</f>
        <v>139</v>
      </c>
    </row>
    <row r="5670" spans="1:6">
      <c r="A5670" t="str">
        <f>"E1264-222"</f>
        <v>E1264-222</v>
      </c>
      <c r="B5670" t="str">
        <f t="shared" si="378"/>
        <v>VIA FELICE MARITANO  59-</v>
      </c>
      <c r="C5670" t="str">
        <f t="shared" si="376"/>
        <v>RIV</v>
      </c>
      <c r="D5670">
        <v>27</v>
      </c>
      <c r="E5670" t="str">
        <f t="shared" si="377"/>
        <v>1207</v>
      </c>
      <c r="F5670" t="str">
        <f>"140"</f>
        <v>140</v>
      </c>
    </row>
    <row r="5671" spans="1:6">
      <c r="A5671" t="str">
        <f>"E1264-223"</f>
        <v>E1264-223</v>
      </c>
      <c r="B5671" t="str">
        <f t="shared" si="378"/>
        <v>VIA FELICE MARITANO  59-</v>
      </c>
      <c r="C5671" t="str">
        <f t="shared" si="376"/>
        <v>RIV</v>
      </c>
      <c r="D5671">
        <v>27</v>
      </c>
      <c r="E5671" t="str">
        <f t="shared" si="377"/>
        <v>1207</v>
      </c>
      <c r="F5671" t="str">
        <f>"141"</f>
        <v>141</v>
      </c>
    </row>
    <row r="5672" spans="1:6">
      <c r="A5672" t="str">
        <f>"E1264-224"</f>
        <v>E1264-224</v>
      </c>
      <c r="B5672" t="str">
        <f t="shared" si="378"/>
        <v>VIA FELICE MARITANO  59-</v>
      </c>
      <c r="C5672" t="str">
        <f t="shared" si="376"/>
        <v>RIV</v>
      </c>
      <c r="D5672">
        <v>27</v>
      </c>
      <c r="E5672" t="str">
        <f t="shared" si="377"/>
        <v>1207</v>
      </c>
      <c r="F5672" t="str">
        <f>"142"</f>
        <v>142</v>
      </c>
    </row>
    <row r="5673" spans="1:6">
      <c r="A5673" t="str">
        <f>"E1264-225"</f>
        <v>E1264-225</v>
      </c>
      <c r="B5673" t="str">
        <f t="shared" si="378"/>
        <v>VIA FELICE MARITANO  59-</v>
      </c>
      <c r="C5673" t="str">
        <f t="shared" si="376"/>
        <v>RIV</v>
      </c>
      <c r="D5673">
        <v>27</v>
      </c>
      <c r="E5673" t="str">
        <f t="shared" si="377"/>
        <v>1207</v>
      </c>
      <c r="F5673" t="str">
        <f>"143"</f>
        <v>143</v>
      </c>
    </row>
    <row r="5674" spans="1:6">
      <c r="A5674" t="str">
        <f>"E1264-226"</f>
        <v>E1264-226</v>
      </c>
      <c r="B5674" t="str">
        <f t="shared" si="378"/>
        <v>VIA FELICE MARITANO  59-</v>
      </c>
      <c r="C5674" t="str">
        <f t="shared" si="376"/>
        <v>RIV</v>
      </c>
      <c r="D5674">
        <v>27</v>
      </c>
      <c r="E5674" t="str">
        <f t="shared" si="377"/>
        <v>1207</v>
      </c>
      <c r="F5674" t="str">
        <f>"144"</f>
        <v>144</v>
      </c>
    </row>
    <row r="5675" spans="1:6">
      <c r="A5675" t="str">
        <f>"E1264-227"</f>
        <v>E1264-227</v>
      </c>
      <c r="B5675" t="str">
        <f t="shared" ref="B5675:B5706" si="379">"VIA FELICE MARITANO  70-"</f>
        <v>VIA FELICE MARITANO  70-</v>
      </c>
      <c r="C5675" t="str">
        <f t="shared" si="376"/>
        <v>RIV</v>
      </c>
      <c r="D5675">
        <v>27</v>
      </c>
      <c r="E5675" t="str">
        <f t="shared" si="377"/>
        <v>1207</v>
      </c>
      <c r="F5675" t="str">
        <f>"23"</f>
        <v>23</v>
      </c>
    </row>
    <row r="5676" spans="1:6">
      <c r="A5676" t="str">
        <f>"E1264-228"</f>
        <v>E1264-228</v>
      </c>
      <c r="B5676" t="str">
        <f t="shared" si="379"/>
        <v>VIA FELICE MARITANO  70-</v>
      </c>
      <c r="C5676" t="str">
        <f t="shared" si="376"/>
        <v>RIV</v>
      </c>
      <c r="D5676">
        <v>27</v>
      </c>
      <c r="E5676" t="str">
        <f t="shared" si="377"/>
        <v>1207</v>
      </c>
      <c r="F5676" t="str">
        <f>"24"</f>
        <v>24</v>
      </c>
    </row>
    <row r="5677" spans="1:6">
      <c r="A5677" t="str">
        <f>"E1264-229"</f>
        <v>E1264-229</v>
      </c>
      <c r="B5677" t="str">
        <f t="shared" si="379"/>
        <v>VIA FELICE MARITANO  70-</v>
      </c>
      <c r="C5677" t="str">
        <f t="shared" si="376"/>
        <v>RIV</v>
      </c>
      <c r="D5677">
        <v>27</v>
      </c>
      <c r="E5677" t="str">
        <f t="shared" si="377"/>
        <v>1207</v>
      </c>
      <c r="F5677" t="str">
        <f>"25"</f>
        <v>25</v>
      </c>
    </row>
    <row r="5678" spans="1:6">
      <c r="A5678" t="str">
        <f>"E1264-230"</f>
        <v>E1264-230</v>
      </c>
      <c r="B5678" t="str">
        <f t="shared" si="379"/>
        <v>VIA FELICE MARITANO  70-</v>
      </c>
      <c r="C5678" t="str">
        <f t="shared" si="376"/>
        <v>RIV</v>
      </c>
      <c r="D5678">
        <v>27</v>
      </c>
      <c r="E5678" t="str">
        <f t="shared" si="377"/>
        <v>1207</v>
      </c>
      <c r="F5678" t="str">
        <f>"26"</f>
        <v>26</v>
      </c>
    </row>
    <row r="5679" spans="1:6">
      <c r="A5679" t="str">
        <f>"E1264-231"</f>
        <v>E1264-231</v>
      </c>
      <c r="B5679" t="str">
        <f t="shared" si="379"/>
        <v>VIA FELICE MARITANO  70-</v>
      </c>
      <c r="C5679" t="str">
        <f t="shared" si="376"/>
        <v>RIV</v>
      </c>
      <c r="D5679">
        <v>27</v>
      </c>
      <c r="E5679" t="str">
        <f t="shared" si="377"/>
        <v>1207</v>
      </c>
      <c r="F5679" t="str">
        <f>"27"</f>
        <v>27</v>
      </c>
    </row>
    <row r="5680" spans="1:6">
      <c r="A5680" t="str">
        <f>"E1264-232"</f>
        <v>E1264-232</v>
      </c>
      <c r="B5680" t="str">
        <f t="shared" si="379"/>
        <v>VIA FELICE MARITANO  70-</v>
      </c>
      <c r="C5680" t="str">
        <f t="shared" si="376"/>
        <v>RIV</v>
      </c>
      <c r="D5680">
        <v>27</v>
      </c>
      <c r="E5680" t="str">
        <f t="shared" si="377"/>
        <v>1207</v>
      </c>
      <c r="F5680" t="str">
        <f>"28"</f>
        <v>28</v>
      </c>
    </row>
    <row r="5681" spans="1:6">
      <c r="A5681" t="str">
        <f>"E1264-233"</f>
        <v>E1264-233</v>
      </c>
      <c r="B5681" t="str">
        <f t="shared" si="379"/>
        <v>VIA FELICE MARITANO  70-</v>
      </c>
      <c r="C5681" t="str">
        <f t="shared" si="376"/>
        <v>RIV</v>
      </c>
      <c r="D5681">
        <v>27</v>
      </c>
      <c r="E5681" t="str">
        <f t="shared" si="377"/>
        <v>1207</v>
      </c>
      <c r="F5681" t="str">
        <f>"29"</f>
        <v>29</v>
      </c>
    </row>
    <row r="5682" spans="1:6">
      <c r="A5682" t="str">
        <f>"E1264-234"</f>
        <v>E1264-234</v>
      </c>
      <c r="B5682" t="str">
        <f t="shared" si="379"/>
        <v>VIA FELICE MARITANO  70-</v>
      </c>
      <c r="C5682" t="str">
        <f t="shared" si="376"/>
        <v>RIV</v>
      </c>
      <c r="D5682">
        <v>27</v>
      </c>
      <c r="E5682" t="str">
        <f t="shared" si="377"/>
        <v>1207</v>
      </c>
      <c r="F5682" t="str">
        <f>"30"</f>
        <v>30</v>
      </c>
    </row>
    <row r="5683" spans="1:6">
      <c r="A5683" t="str">
        <f>"E1264-235"</f>
        <v>E1264-235</v>
      </c>
      <c r="B5683" t="str">
        <f t="shared" si="379"/>
        <v>VIA FELICE MARITANO  70-</v>
      </c>
      <c r="C5683" t="str">
        <f t="shared" si="376"/>
        <v>RIV</v>
      </c>
      <c r="D5683">
        <v>27</v>
      </c>
      <c r="E5683" t="str">
        <f t="shared" si="377"/>
        <v>1207</v>
      </c>
      <c r="F5683" t="str">
        <f>"31"</f>
        <v>31</v>
      </c>
    </row>
    <row r="5684" spans="1:6">
      <c r="A5684" t="str">
        <f>"E1264-236"</f>
        <v>E1264-236</v>
      </c>
      <c r="B5684" t="str">
        <f t="shared" si="379"/>
        <v>VIA FELICE MARITANO  70-</v>
      </c>
      <c r="C5684" t="str">
        <f t="shared" si="376"/>
        <v>RIV</v>
      </c>
      <c r="D5684">
        <v>27</v>
      </c>
      <c r="E5684" t="str">
        <f t="shared" si="377"/>
        <v>1207</v>
      </c>
      <c r="F5684" t="str">
        <f>"32"</f>
        <v>32</v>
      </c>
    </row>
    <row r="5685" spans="1:6">
      <c r="A5685" t="str">
        <f>"E1264-237"</f>
        <v>E1264-237</v>
      </c>
      <c r="B5685" t="str">
        <f t="shared" si="379"/>
        <v>VIA FELICE MARITANO  70-</v>
      </c>
      <c r="C5685" t="str">
        <f t="shared" si="376"/>
        <v>RIV</v>
      </c>
      <c r="D5685">
        <v>27</v>
      </c>
      <c r="E5685" t="str">
        <f t="shared" si="377"/>
        <v>1207</v>
      </c>
      <c r="F5685" t="str">
        <f>"33"</f>
        <v>33</v>
      </c>
    </row>
    <row r="5686" spans="1:6">
      <c r="A5686" t="str">
        <f>"E1264-238"</f>
        <v>E1264-238</v>
      </c>
      <c r="B5686" t="str">
        <f t="shared" si="379"/>
        <v>VIA FELICE MARITANO  70-</v>
      </c>
      <c r="C5686" t="str">
        <f t="shared" si="376"/>
        <v>RIV</v>
      </c>
      <c r="D5686">
        <v>27</v>
      </c>
      <c r="E5686" t="str">
        <f t="shared" si="377"/>
        <v>1207</v>
      </c>
      <c r="F5686" t="str">
        <f>"34"</f>
        <v>34</v>
      </c>
    </row>
    <row r="5687" spans="1:6">
      <c r="A5687" t="str">
        <f>"E1264-239"</f>
        <v>E1264-239</v>
      </c>
      <c r="B5687" t="str">
        <f t="shared" si="379"/>
        <v>VIA FELICE MARITANO  70-</v>
      </c>
      <c r="C5687" t="str">
        <f t="shared" si="376"/>
        <v>RIV</v>
      </c>
      <c r="D5687">
        <v>27</v>
      </c>
      <c r="E5687" t="str">
        <f t="shared" si="377"/>
        <v>1207</v>
      </c>
      <c r="F5687" t="str">
        <f>"35"</f>
        <v>35</v>
      </c>
    </row>
    <row r="5688" spans="1:6">
      <c r="A5688" t="str">
        <f>"E1264-240"</f>
        <v>E1264-240</v>
      </c>
      <c r="B5688" t="str">
        <f t="shared" si="379"/>
        <v>VIA FELICE MARITANO  70-</v>
      </c>
      <c r="C5688" t="str">
        <f t="shared" si="376"/>
        <v>RIV</v>
      </c>
      <c r="D5688">
        <v>27</v>
      </c>
      <c r="E5688" t="str">
        <f t="shared" si="377"/>
        <v>1207</v>
      </c>
      <c r="F5688" t="str">
        <f>"36"</f>
        <v>36</v>
      </c>
    </row>
    <row r="5689" spans="1:6">
      <c r="A5689" t="str">
        <f>"E1264-241"</f>
        <v>E1264-241</v>
      </c>
      <c r="B5689" t="str">
        <f t="shared" si="379"/>
        <v>VIA FELICE MARITANO  70-</v>
      </c>
      <c r="C5689" t="str">
        <f t="shared" si="376"/>
        <v>RIV</v>
      </c>
      <c r="D5689">
        <v>27</v>
      </c>
      <c r="E5689" t="str">
        <f t="shared" si="377"/>
        <v>1207</v>
      </c>
      <c r="F5689" t="str">
        <f>"40"</f>
        <v>40</v>
      </c>
    </row>
    <row r="5690" spans="1:6">
      <c r="A5690" t="str">
        <f>"E1264-242"</f>
        <v>E1264-242</v>
      </c>
      <c r="B5690" t="str">
        <f t="shared" si="379"/>
        <v>VIA FELICE MARITANO  70-</v>
      </c>
      <c r="C5690" t="str">
        <f t="shared" si="376"/>
        <v>RIV</v>
      </c>
      <c r="D5690">
        <v>27</v>
      </c>
      <c r="E5690" t="str">
        <f t="shared" si="377"/>
        <v>1207</v>
      </c>
      <c r="F5690" t="str">
        <f>"41"</f>
        <v>41</v>
      </c>
    </row>
    <row r="5691" spans="1:6">
      <c r="A5691" t="str">
        <f>"E1264-243"</f>
        <v>E1264-243</v>
      </c>
      <c r="B5691" t="str">
        <f t="shared" si="379"/>
        <v>VIA FELICE MARITANO  70-</v>
      </c>
      <c r="C5691" t="str">
        <f t="shared" si="376"/>
        <v>RIV</v>
      </c>
      <c r="D5691">
        <v>27</v>
      </c>
      <c r="E5691" t="str">
        <f t="shared" si="377"/>
        <v>1207</v>
      </c>
      <c r="F5691" t="str">
        <f>"42"</f>
        <v>42</v>
      </c>
    </row>
    <row r="5692" spans="1:6">
      <c r="A5692" t="str">
        <f>"E1264-244"</f>
        <v>E1264-244</v>
      </c>
      <c r="B5692" t="str">
        <f t="shared" si="379"/>
        <v>VIA FELICE MARITANO  70-</v>
      </c>
      <c r="C5692" t="str">
        <f t="shared" si="376"/>
        <v>RIV</v>
      </c>
      <c r="D5692">
        <v>27</v>
      </c>
      <c r="E5692" t="str">
        <f t="shared" si="377"/>
        <v>1207</v>
      </c>
      <c r="F5692" t="str">
        <f>"43"</f>
        <v>43</v>
      </c>
    </row>
    <row r="5693" spans="1:6">
      <c r="A5693" t="str">
        <f>"E1264-245"</f>
        <v>E1264-245</v>
      </c>
      <c r="B5693" t="str">
        <f t="shared" si="379"/>
        <v>VIA FELICE MARITANO  70-</v>
      </c>
      <c r="C5693" t="str">
        <f t="shared" si="376"/>
        <v>RIV</v>
      </c>
      <c r="D5693">
        <v>27</v>
      </c>
      <c r="E5693" t="str">
        <f t="shared" si="377"/>
        <v>1207</v>
      </c>
      <c r="F5693" t="str">
        <f>"44"</f>
        <v>44</v>
      </c>
    </row>
    <row r="5694" spans="1:6">
      <c r="A5694" t="str">
        <f>"E1264-246"</f>
        <v>E1264-246</v>
      </c>
      <c r="B5694" t="str">
        <f t="shared" si="379"/>
        <v>VIA FELICE MARITANO  70-</v>
      </c>
      <c r="C5694" t="str">
        <f t="shared" si="376"/>
        <v>RIV</v>
      </c>
      <c r="D5694">
        <v>27</v>
      </c>
      <c r="E5694" t="str">
        <f t="shared" si="377"/>
        <v>1207</v>
      </c>
      <c r="F5694" t="str">
        <f>"45"</f>
        <v>45</v>
      </c>
    </row>
    <row r="5695" spans="1:6">
      <c r="A5695" t="str">
        <f>"E1264-247"</f>
        <v>E1264-247</v>
      </c>
      <c r="B5695" t="str">
        <f t="shared" si="379"/>
        <v>VIA FELICE MARITANO  70-</v>
      </c>
      <c r="C5695" t="str">
        <f t="shared" si="376"/>
        <v>RIV</v>
      </c>
      <c r="D5695">
        <v>27</v>
      </c>
      <c r="E5695" t="str">
        <f t="shared" si="377"/>
        <v>1207</v>
      </c>
      <c r="F5695" t="str">
        <f>"46"</f>
        <v>46</v>
      </c>
    </row>
    <row r="5696" spans="1:6">
      <c r="A5696" t="str">
        <f>"E1264-248"</f>
        <v>E1264-248</v>
      </c>
      <c r="B5696" t="str">
        <f t="shared" si="379"/>
        <v>VIA FELICE MARITANO  70-</v>
      </c>
      <c r="C5696" t="str">
        <f t="shared" si="376"/>
        <v>RIV</v>
      </c>
      <c r="D5696">
        <v>27</v>
      </c>
      <c r="E5696" t="str">
        <f t="shared" si="377"/>
        <v>1207</v>
      </c>
      <c r="F5696" t="str">
        <f>"47"</f>
        <v>47</v>
      </c>
    </row>
    <row r="5697" spans="1:6">
      <c r="A5697" t="str">
        <f>"E1264-249"</f>
        <v>E1264-249</v>
      </c>
      <c r="B5697" t="str">
        <f t="shared" si="379"/>
        <v>VIA FELICE MARITANO  70-</v>
      </c>
      <c r="C5697" t="str">
        <f t="shared" si="376"/>
        <v>RIV</v>
      </c>
      <c r="D5697">
        <v>27</v>
      </c>
      <c r="E5697" t="str">
        <f t="shared" si="377"/>
        <v>1207</v>
      </c>
      <c r="F5697" t="str">
        <f>"48"</f>
        <v>48</v>
      </c>
    </row>
    <row r="5698" spans="1:6">
      <c r="A5698" t="str">
        <f>"E1264-250"</f>
        <v>E1264-250</v>
      </c>
      <c r="B5698" t="str">
        <f t="shared" si="379"/>
        <v>VIA FELICE MARITANO  70-</v>
      </c>
      <c r="C5698" t="str">
        <f t="shared" si="376"/>
        <v>RIV</v>
      </c>
      <c r="D5698">
        <v>27</v>
      </c>
      <c r="E5698" t="str">
        <f t="shared" si="377"/>
        <v>1207</v>
      </c>
      <c r="F5698" t="str">
        <f>"49"</f>
        <v>49</v>
      </c>
    </row>
    <row r="5699" spans="1:6">
      <c r="A5699" t="str">
        <f>"E1264-251"</f>
        <v>E1264-251</v>
      </c>
      <c r="B5699" t="str">
        <f t="shared" si="379"/>
        <v>VIA FELICE MARITANO  70-</v>
      </c>
      <c r="C5699" t="str">
        <f t="shared" si="376"/>
        <v>RIV</v>
      </c>
      <c r="D5699">
        <v>27</v>
      </c>
      <c r="E5699" t="str">
        <f t="shared" si="377"/>
        <v>1207</v>
      </c>
      <c r="F5699" t="str">
        <f>"54"</f>
        <v>54</v>
      </c>
    </row>
    <row r="5700" spans="1:6">
      <c r="A5700" t="str">
        <f>"E1264-252"</f>
        <v>E1264-252</v>
      </c>
      <c r="B5700" t="str">
        <f t="shared" si="379"/>
        <v>VIA FELICE MARITANO  70-</v>
      </c>
      <c r="C5700" t="str">
        <f t="shared" si="376"/>
        <v>RIV</v>
      </c>
      <c r="D5700">
        <v>27</v>
      </c>
      <c r="E5700" t="str">
        <f t="shared" si="377"/>
        <v>1207</v>
      </c>
      <c r="F5700" t="str">
        <f>"55"</f>
        <v>55</v>
      </c>
    </row>
    <row r="5701" spans="1:6">
      <c r="A5701" t="str">
        <f>"E1264-253"</f>
        <v>E1264-253</v>
      </c>
      <c r="B5701" t="str">
        <f t="shared" si="379"/>
        <v>VIA FELICE MARITANO  70-</v>
      </c>
      <c r="C5701" t="str">
        <f t="shared" si="376"/>
        <v>RIV</v>
      </c>
      <c r="D5701">
        <v>27</v>
      </c>
      <c r="E5701" t="str">
        <f t="shared" si="377"/>
        <v>1207</v>
      </c>
      <c r="F5701" t="str">
        <f>"56"</f>
        <v>56</v>
      </c>
    </row>
    <row r="5702" spans="1:6">
      <c r="A5702" t="str">
        <f>"E1264-254"</f>
        <v>E1264-254</v>
      </c>
      <c r="B5702" t="str">
        <f t="shared" si="379"/>
        <v>VIA FELICE MARITANO  70-</v>
      </c>
      <c r="C5702" t="str">
        <f t="shared" si="376"/>
        <v>RIV</v>
      </c>
      <c r="D5702">
        <v>27</v>
      </c>
      <c r="E5702" t="str">
        <f t="shared" si="377"/>
        <v>1207</v>
      </c>
      <c r="F5702" t="str">
        <f>"57"</f>
        <v>57</v>
      </c>
    </row>
    <row r="5703" spans="1:6">
      <c r="A5703" t="str">
        <f>"E1264-255"</f>
        <v>E1264-255</v>
      </c>
      <c r="B5703" t="str">
        <f t="shared" si="379"/>
        <v>VIA FELICE MARITANO  70-</v>
      </c>
      <c r="C5703" t="str">
        <f t="shared" si="376"/>
        <v>RIV</v>
      </c>
      <c r="D5703">
        <v>27</v>
      </c>
      <c r="E5703" t="str">
        <f t="shared" si="377"/>
        <v>1207</v>
      </c>
      <c r="F5703" t="str">
        <f>"58"</f>
        <v>58</v>
      </c>
    </row>
    <row r="5704" spans="1:6">
      <c r="A5704" t="str">
        <f>"E1264-256"</f>
        <v>E1264-256</v>
      </c>
      <c r="B5704" t="str">
        <f t="shared" si="379"/>
        <v>VIA FELICE MARITANO  70-</v>
      </c>
      <c r="C5704" t="str">
        <f t="shared" si="376"/>
        <v>RIV</v>
      </c>
      <c r="D5704">
        <v>27</v>
      </c>
      <c r="E5704" t="str">
        <f t="shared" si="377"/>
        <v>1207</v>
      </c>
      <c r="F5704" t="str">
        <f>"65"</f>
        <v>65</v>
      </c>
    </row>
    <row r="5705" spans="1:6">
      <c r="A5705" t="str">
        <f>"E1264-257"</f>
        <v>E1264-257</v>
      </c>
      <c r="B5705" t="str">
        <f t="shared" si="379"/>
        <v>VIA FELICE MARITANO  70-</v>
      </c>
      <c r="C5705" t="str">
        <f t="shared" ref="C5705:C5758" si="380">"RIV"</f>
        <v>RIV</v>
      </c>
      <c r="D5705">
        <v>27</v>
      </c>
      <c r="E5705" t="str">
        <f t="shared" ref="E5705:E5758" si="381">"1207"</f>
        <v>1207</v>
      </c>
      <c r="F5705" t="str">
        <f>"66"</f>
        <v>66</v>
      </c>
    </row>
    <row r="5706" spans="1:6">
      <c r="A5706" t="str">
        <f>"E1264-258"</f>
        <v>E1264-258</v>
      </c>
      <c r="B5706" t="str">
        <f t="shared" si="379"/>
        <v>VIA FELICE MARITANO  70-</v>
      </c>
      <c r="C5706" t="str">
        <f t="shared" si="380"/>
        <v>RIV</v>
      </c>
      <c r="D5706">
        <v>27</v>
      </c>
      <c r="E5706" t="str">
        <f t="shared" si="381"/>
        <v>1207</v>
      </c>
      <c r="F5706" t="str">
        <f>"67"</f>
        <v>67</v>
      </c>
    </row>
    <row r="5707" spans="1:6">
      <c r="A5707" t="str">
        <f>"E1264-259"</f>
        <v>E1264-259</v>
      </c>
      <c r="B5707" t="str">
        <f t="shared" ref="B5707:B5738" si="382">"VIA FELICE MARITANO  70-"</f>
        <v>VIA FELICE MARITANO  70-</v>
      </c>
      <c r="C5707" t="str">
        <f t="shared" si="380"/>
        <v>RIV</v>
      </c>
      <c r="D5707">
        <v>27</v>
      </c>
      <c r="E5707" t="str">
        <f t="shared" si="381"/>
        <v>1207</v>
      </c>
      <c r="F5707" t="str">
        <f>"68"</f>
        <v>68</v>
      </c>
    </row>
    <row r="5708" spans="1:6">
      <c r="A5708" t="str">
        <f>"E1264-260"</f>
        <v>E1264-260</v>
      </c>
      <c r="B5708" t="str">
        <f t="shared" si="382"/>
        <v>VIA FELICE MARITANO  70-</v>
      </c>
      <c r="C5708" t="str">
        <f t="shared" si="380"/>
        <v>RIV</v>
      </c>
      <c r="D5708">
        <v>27</v>
      </c>
      <c r="E5708" t="str">
        <f t="shared" si="381"/>
        <v>1207</v>
      </c>
      <c r="F5708" t="str">
        <f>"69"</f>
        <v>69</v>
      </c>
    </row>
    <row r="5709" spans="1:6">
      <c r="A5709" t="str">
        <f>"E1264-261"</f>
        <v>E1264-261</v>
      </c>
      <c r="B5709" t="str">
        <f t="shared" si="382"/>
        <v>VIA FELICE MARITANO  70-</v>
      </c>
      <c r="C5709" t="str">
        <f t="shared" si="380"/>
        <v>RIV</v>
      </c>
      <c r="D5709">
        <v>27</v>
      </c>
      <c r="E5709" t="str">
        <f t="shared" si="381"/>
        <v>1207</v>
      </c>
      <c r="F5709" t="str">
        <f>"76"</f>
        <v>76</v>
      </c>
    </row>
    <row r="5710" spans="1:6">
      <c r="A5710" t="str">
        <f>"E1264-262"</f>
        <v>E1264-262</v>
      </c>
      <c r="B5710" t="str">
        <f t="shared" si="382"/>
        <v>VIA FELICE MARITANO  70-</v>
      </c>
      <c r="C5710" t="str">
        <f t="shared" si="380"/>
        <v>RIV</v>
      </c>
      <c r="D5710">
        <v>27</v>
      </c>
      <c r="E5710" t="str">
        <f t="shared" si="381"/>
        <v>1207</v>
      </c>
      <c r="F5710" t="str">
        <f>"77"</f>
        <v>77</v>
      </c>
    </row>
    <row r="5711" spans="1:6">
      <c r="A5711" t="str">
        <f>"E1264-263"</f>
        <v>E1264-263</v>
      </c>
      <c r="B5711" t="str">
        <f t="shared" si="382"/>
        <v>VIA FELICE MARITANO  70-</v>
      </c>
      <c r="C5711" t="str">
        <f t="shared" si="380"/>
        <v>RIV</v>
      </c>
      <c r="D5711">
        <v>27</v>
      </c>
      <c r="E5711" t="str">
        <f t="shared" si="381"/>
        <v>1207</v>
      </c>
      <c r="F5711" t="str">
        <f>"78"</f>
        <v>78</v>
      </c>
    </row>
    <row r="5712" spans="1:6">
      <c r="A5712" t="str">
        <f>"E1264-264"</f>
        <v>E1264-264</v>
      </c>
      <c r="B5712" t="str">
        <f t="shared" si="382"/>
        <v>VIA FELICE MARITANO  70-</v>
      </c>
      <c r="C5712" t="str">
        <f t="shared" si="380"/>
        <v>RIV</v>
      </c>
      <c r="D5712">
        <v>27</v>
      </c>
      <c r="E5712" t="str">
        <f t="shared" si="381"/>
        <v>1207</v>
      </c>
      <c r="F5712" t="str">
        <f>"79"</f>
        <v>79</v>
      </c>
    </row>
    <row r="5713" spans="1:6">
      <c r="A5713" t="str">
        <f>"E1264-265"</f>
        <v>E1264-265</v>
      </c>
      <c r="B5713" t="str">
        <f t="shared" si="382"/>
        <v>VIA FELICE MARITANO  70-</v>
      </c>
      <c r="C5713" t="str">
        <f t="shared" si="380"/>
        <v>RIV</v>
      </c>
      <c r="D5713">
        <v>27</v>
      </c>
      <c r="E5713" t="str">
        <f t="shared" si="381"/>
        <v>1207</v>
      </c>
      <c r="F5713" t="str">
        <f>"80"</f>
        <v>80</v>
      </c>
    </row>
    <row r="5714" spans="1:6">
      <c r="A5714" t="str">
        <f>"E1264-266"</f>
        <v>E1264-266</v>
      </c>
      <c r="B5714" t="str">
        <f t="shared" si="382"/>
        <v>VIA FELICE MARITANO  70-</v>
      </c>
      <c r="C5714" t="str">
        <f t="shared" si="380"/>
        <v>RIV</v>
      </c>
      <c r="D5714">
        <v>27</v>
      </c>
      <c r="E5714" t="str">
        <f t="shared" si="381"/>
        <v>1207</v>
      </c>
      <c r="F5714" t="str">
        <f>"149"</f>
        <v>149</v>
      </c>
    </row>
    <row r="5715" spans="1:6">
      <c r="A5715" t="str">
        <f>"E1264-267"</f>
        <v>E1264-267</v>
      </c>
      <c r="B5715" t="str">
        <f t="shared" si="382"/>
        <v>VIA FELICE MARITANO  70-</v>
      </c>
      <c r="C5715" t="str">
        <f t="shared" si="380"/>
        <v>RIV</v>
      </c>
      <c r="D5715">
        <v>27</v>
      </c>
      <c r="E5715" t="str">
        <f t="shared" si="381"/>
        <v>1207</v>
      </c>
      <c r="F5715" t="str">
        <f>"150"</f>
        <v>150</v>
      </c>
    </row>
    <row r="5716" spans="1:6">
      <c r="A5716" t="str">
        <f>"E1264-268"</f>
        <v>E1264-268</v>
      </c>
      <c r="B5716" t="str">
        <f t="shared" si="382"/>
        <v>VIA FELICE MARITANO  70-</v>
      </c>
      <c r="C5716" t="str">
        <f t="shared" si="380"/>
        <v>RIV</v>
      </c>
      <c r="D5716">
        <v>27</v>
      </c>
      <c r="E5716" t="str">
        <f t="shared" si="381"/>
        <v>1207</v>
      </c>
      <c r="F5716" t="str">
        <f>"151"</f>
        <v>151</v>
      </c>
    </row>
    <row r="5717" spans="1:6">
      <c r="A5717" t="str">
        <f>"E1264-269"</f>
        <v>E1264-269</v>
      </c>
      <c r="B5717" t="str">
        <f t="shared" si="382"/>
        <v>VIA FELICE MARITANO  70-</v>
      </c>
      <c r="C5717" t="str">
        <f t="shared" si="380"/>
        <v>RIV</v>
      </c>
      <c r="D5717">
        <v>27</v>
      </c>
      <c r="E5717" t="str">
        <f t="shared" si="381"/>
        <v>1207</v>
      </c>
      <c r="F5717" t="str">
        <f>"152"</f>
        <v>152</v>
      </c>
    </row>
    <row r="5718" spans="1:6">
      <c r="A5718" t="str">
        <f>"E1264-270"</f>
        <v>E1264-270</v>
      </c>
      <c r="B5718" t="str">
        <f t="shared" si="382"/>
        <v>VIA FELICE MARITANO  70-</v>
      </c>
      <c r="C5718" t="str">
        <f t="shared" si="380"/>
        <v>RIV</v>
      </c>
      <c r="D5718">
        <v>27</v>
      </c>
      <c r="E5718" t="str">
        <f t="shared" si="381"/>
        <v>1207</v>
      </c>
      <c r="F5718" t="str">
        <f>"153"</f>
        <v>153</v>
      </c>
    </row>
    <row r="5719" spans="1:6">
      <c r="A5719" t="str">
        <f>"E1264-271"</f>
        <v>E1264-271</v>
      </c>
      <c r="B5719" t="str">
        <f t="shared" si="382"/>
        <v>VIA FELICE MARITANO  70-</v>
      </c>
      <c r="C5719" t="str">
        <f t="shared" si="380"/>
        <v>RIV</v>
      </c>
      <c r="D5719">
        <v>27</v>
      </c>
      <c r="E5719" t="str">
        <f t="shared" si="381"/>
        <v>1207</v>
      </c>
      <c r="F5719" t="str">
        <f>"162"</f>
        <v>162</v>
      </c>
    </row>
    <row r="5720" spans="1:6">
      <c r="A5720" t="str">
        <f>"E1264-272"</f>
        <v>E1264-272</v>
      </c>
      <c r="B5720" t="str">
        <f t="shared" si="382"/>
        <v>VIA FELICE MARITANO  70-</v>
      </c>
      <c r="C5720" t="str">
        <f t="shared" si="380"/>
        <v>RIV</v>
      </c>
      <c r="D5720">
        <v>27</v>
      </c>
      <c r="E5720" t="str">
        <f t="shared" si="381"/>
        <v>1207</v>
      </c>
      <c r="F5720" t="str">
        <f>"163"</f>
        <v>163</v>
      </c>
    </row>
    <row r="5721" spans="1:6">
      <c r="A5721" t="str">
        <f>"E1264-273"</f>
        <v>E1264-273</v>
      </c>
      <c r="B5721" t="str">
        <f t="shared" si="382"/>
        <v>VIA FELICE MARITANO  70-</v>
      </c>
      <c r="C5721" t="str">
        <f t="shared" si="380"/>
        <v>RIV</v>
      </c>
      <c r="D5721">
        <v>27</v>
      </c>
      <c r="E5721" t="str">
        <f t="shared" si="381"/>
        <v>1207</v>
      </c>
      <c r="F5721" t="str">
        <f>"164"</f>
        <v>164</v>
      </c>
    </row>
    <row r="5722" spans="1:6">
      <c r="A5722" t="str">
        <f>"E1264-274"</f>
        <v>E1264-274</v>
      </c>
      <c r="B5722" t="str">
        <f t="shared" si="382"/>
        <v>VIA FELICE MARITANO  70-</v>
      </c>
      <c r="C5722" t="str">
        <f t="shared" si="380"/>
        <v>RIV</v>
      </c>
      <c r="D5722">
        <v>27</v>
      </c>
      <c r="E5722" t="str">
        <f t="shared" si="381"/>
        <v>1207</v>
      </c>
      <c r="F5722" t="str">
        <f>"165"</f>
        <v>165</v>
      </c>
    </row>
    <row r="5723" spans="1:6">
      <c r="A5723" t="str">
        <f>"E1264-275"</f>
        <v>E1264-275</v>
      </c>
      <c r="B5723" t="str">
        <f t="shared" si="382"/>
        <v>VIA FELICE MARITANO  70-</v>
      </c>
      <c r="C5723" t="str">
        <f t="shared" si="380"/>
        <v>RIV</v>
      </c>
      <c r="D5723">
        <v>27</v>
      </c>
      <c r="E5723" t="str">
        <f t="shared" si="381"/>
        <v>1207</v>
      </c>
      <c r="F5723" t="str">
        <f>"166"</f>
        <v>166</v>
      </c>
    </row>
    <row r="5724" spans="1:6">
      <c r="A5724" t="str">
        <f>"E1264-276"</f>
        <v>E1264-276</v>
      </c>
      <c r="B5724" t="str">
        <f t="shared" si="382"/>
        <v>VIA FELICE MARITANO  70-</v>
      </c>
      <c r="C5724" t="str">
        <f t="shared" si="380"/>
        <v>RIV</v>
      </c>
      <c r="D5724">
        <v>27</v>
      </c>
      <c r="E5724" t="str">
        <f t="shared" si="381"/>
        <v>1207</v>
      </c>
      <c r="F5724" t="str">
        <f>"177"</f>
        <v>177</v>
      </c>
    </row>
    <row r="5725" spans="1:6">
      <c r="A5725" t="str">
        <f>"E1264-277"</f>
        <v>E1264-277</v>
      </c>
      <c r="B5725" t="str">
        <f t="shared" si="382"/>
        <v>VIA FELICE MARITANO  70-</v>
      </c>
      <c r="C5725" t="str">
        <f t="shared" si="380"/>
        <v>RIV</v>
      </c>
      <c r="D5725">
        <v>27</v>
      </c>
      <c r="E5725" t="str">
        <f t="shared" si="381"/>
        <v>1207</v>
      </c>
      <c r="F5725" t="str">
        <f>"178"</f>
        <v>178</v>
      </c>
    </row>
    <row r="5726" spans="1:6">
      <c r="A5726" t="str">
        <f>"E1264-278"</f>
        <v>E1264-278</v>
      </c>
      <c r="B5726" t="str">
        <f t="shared" si="382"/>
        <v>VIA FELICE MARITANO  70-</v>
      </c>
      <c r="C5726" t="str">
        <f t="shared" si="380"/>
        <v>RIV</v>
      </c>
      <c r="D5726">
        <v>27</v>
      </c>
      <c r="E5726" t="str">
        <f t="shared" si="381"/>
        <v>1207</v>
      </c>
      <c r="F5726" t="str">
        <f>"179"</f>
        <v>179</v>
      </c>
    </row>
    <row r="5727" spans="1:6">
      <c r="A5727" t="str">
        <f>"E1264-279"</f>
        <v>E1264-279</v>
      </c>
      <c r="B5727" t="str">
        <f t="shared" si="382"/>
        <v>VIA FELICE MARITANO  70-</v>
      </c>
      <c r="C5727" t="str">
        <f t="shared" si="380"/>
        <v>RIV</v>
      </c>
      <c r="D5727">
        <v>27</v>
      </c>
      <c r="E5727" t="str">
        <f t="shared" si="381"/>
        <v>1207</v>
      </c>
      <c r="F5727" t="str">
        <f>"180"</f>
        <v>180</v>
      </c>
    </row>
    <row r="5728" spans="1:6">
      <c r="A5728" t="str">
        <f>"E1264-280"</f>
        <v>E1264-280</v>
      </c>
      <c r="B5728" t="str">
        <f t="shared" si="382"/>
        <v>VIA FELICE MARITANO  70-</v>
      </c>
      <c r="C5728" t="str">
        <f t="shared" si="380"/>
        <v>RIV</v>
      </c>
      <c r="D5728">
        <v>27</v>
      </c>
      <c r="E5728" t="str">
        <f t="shared" si="381"/>
        <v>1207</v>
      </c>
      <c r="F5728" t="str">
        <f>"181"</f>
        <v>181</v>
      </c>
    </row>
    <row r="5729" spans="1:6">
      <c r="A5729" t="str">
        <f>"E1264-281"</f>
        <v>E1264-281</v>
      </c>
      <c r="B5729" t="str">
        <f t="shared" si="382"/>
        <v>VIA FELICE MARITANO  70-</v>
      </c>
      <c r="C5729" t="str">
        <f t="shared" si="380"/>
        <v>RIV</v>
      </c>
      <c r="D5729">
        <v>27</v>
      </c>
      <c r="E5729" t="str">
        <f t="shared" si="381"/>
        <v>1207</v>
      </c>
      <c r="F5729" t="str">
        <f>"194"</f>
        <v>194</v>
      </c>
    </row>
    <row r="5730" spans="1:6">
      <c r="A5730" t="str">
        <f>"E1264-282"</f>
        <v>E1264-282</v>
      </c>
      <c r="B5730" t="str">
        <f t="shared" si="382"/>
        <v>VIA FELICE MARITANO  70-</v>
      </c>
      <c r="C5730" t="str">
        <f t="shared" si="380"/>
        <v>RIV</v>
      </c>
      <c r="D5730">
        <v>27</v>
      </c>
      <c r="E5730" t="str">
        <f t="shared" si="381"/>
        <v>1207</v>
      </c>
      <c r="F5730" t="str">
        <f>"195"</f>
        <v>195</v>
      </c>
    </row>
    <row r="5731" spans="1:6">
      <c r="A5731" t="str">
        <f>"E1264-283"</f>
        <v>E1264-283</v>
      </c>
      <c r="B5731" t="str">
        <f t="shared" si="382"/>
        <v>VIA FELICE MARITANO  70-</v>
      </c>
      <c r="C5731" t="str">
        <f t="shared" si="380"/>
        <v>RIV</v>
      </c>
      <c r="D5731">
        <v>27</v>
      </c>
      <c r="E5731" t="str">
        <f t="shared" si="381"/>
        <v>1207</v>
      </c>
      <c r="F5731" t="str">
        <f>"196"</f>
        <v>196</v>
      </c>
    </row>
    <row r="5732" spans="1:6">
      <c r="A5732" t="str">
        <f>"E1264-284"</f>
        <v>E1264-284</v>
      </c>
      <c r="B5732" t="str">
        <f t="shared" si="382"/>
        <v>VIA FELICE MARITANO  70-</v>
      </c>
      <c r="C5732" t="str">
        <f t="shared" si="380"/>
        <v>RIV</v>
      </c>
      <c r="D5732">
        <v>27</v>
      </c>
      <c r="E5732" t="str">
        <f t="shared" si="381"/>
        <v>1207</v>
      </c>
      <c r="F5732" t="str">
        <f>"197"</f>
        <v>197</v>
      </c>
    </row>
    <row r="5733" spans="1:6">
      <c r="A5733" t="str">
        <f>"E1264-285"</f>
        <v>E1264-285</v>
      </c>
      <c r="B5733" t="str">
        <f t="shared" si="382"/>
        <v>VIA FELICE MARITANO  70-</v>
      </c>
      <c r="C5733" t="str">
        <f t="shared" si="380"/>
        <v>RIV</v>
      </c>
      <c r="D5733">
        <v>27</v>
      </c>
      <c r="E5733" t="str">
        <f t="shared" si="381"/>
        <v>1207</v>
      </c>
      <c r="F5733" t="str">
        <f>"198"</f>
        <v>198</v>
      </c>
    </row>
    <row r="5734" spans="1:6">
      <c r="A5734" t="str">
        <f>"E1264-286"</f>
        <v>E1264-286</v>
      </c>
      <c r="B5734" t="str">
        <f t="shared" si="382"/>
        <v>VIA FELICE MARITANO  70-</v>
      </c>
      <c r="C5734" t="str">
        <f t="shared" si="380"/>
        <v>RIV</v>
      </c>
      <c r="D5734">
        <v>27</v>
      </c>
      <c r="E5734" t="str">
        <f t="shared" si="381"/>
        <v>1207</v>
      </c>
      <c r="F5734" t="str">
        <f>"209"</f>
        <v>209</v>
      </c>
    </row>
    <row r="5735" spans="1:6">
      <c r="A5735" t="str">
        <f>"E1264-287"</f>
        <v>E1264-287</v>
      </c>
      <c r="B5735" t="str">
        <f t="shared" si="382"/>
        <v>VIA FELICE MARITANO  70-</v>
      </c>
      <c r="C5735" t="str">
        <f t="shared" si="380"/>
        <v>RIV</v>
      </c>
      <c r="D5735">
        <v>27</v>
      </c>
      <c r="E5735" t="str">
        <f t="shared" si="381"/>
        <v>1207</v>
      </c>
      <c r="F5735" t="str">
        <f>"210"</f>
        <v>210</v>
      </c>
    </row>
    <row r="5736" spans="1:6">
      <c r="A5736" t="str">
        <f>"E1264-288"</f>
        <v>E1264-288</v>
      </c>
      <c r="B5736" t="str">
        <f t="shared" si="382"/>
        <v>VIA FELICE MARITANO  70-</v>
      </c>
      <c r="C5736" t="str">
        <f t="shared" si="380"/>
        <v>RIV</v>
      </c>
      <c r="D5736">
        <v>27</v>
      </c>
      <c r="E5736" t="str">
        <f t="shared" si="381"/>
        <v>1207</v>
      </c>
      <c r="F5736" t="str">
        <f>"211"</f>
        <v>211</v>
      </c>
    </row>
    <row r="5737" spans="1:6">
      <c r="A5737" t="str">
        <f>"E1264-289"</f>
        <v>E1264-289</v>
      </c>
      <c r="B5737" t="str">
        <f t="shared" si="382"/>
        <v>VIA FELICE MARITANO  70-</v>
      </c>
      <c r="C5737" t="str">
        <f t="shared" si="380"/>
        <v>RIV</v>
      </c>
      <c r="D5737">
        <v>27</v>
      </c>
      <c r="E5737" t="str">
        <f t="shared" si="381"/>
        <v>1207</v>
      </c>
      <c r="F5737" t="str">
        <f>"212"</f>
        <v>212</v>
      </c>
    </row>
    <row r="5738" spans="1:6">
      <c r="A5738" t="str">
        <f>"E1264-290"</f>
        <v>E1264-290</v>
      </c>
      <c r="B5738" t="str">
        <f t="shared" si="382"/>
        <v>VIA FELICE MARITANO  70-</v>
      </c>
      <c r="C5738" t="str">
        <f t="shared" si="380"/>
        <v>RIV</v>
      </c>
      <c r="D5738">
        <v>27</v>
      </c>
      <c r="E5738" t="str">
        <f t="shared" si="381"/>
        <v>1207</v>
      </c>
      <c r="F5738" t="str">
        <f>"213"</f>
        <v>213</v>
      </c>
    </row>
    <row r="5739" spans="1:6">
      <c r="A5739" t="str">
        <f>"E1264-291"</f>
        <v>E1264-291</v>
      </c>
      <c r="B5739" t="str">
        <f t="shared" ref="B5739:B5768" si="383">"VIA FELICE MARITANO  70-"</f>
        <v>VIA FELICE MARITANO  70-</v>
      </c>
      <c r="C5739" t="str">
        <f t="shared" si="380"/>
        <v>RIV</v>
      </c>
      <c r="D5739">
        <v>27</v>
      </c>
      <c r="E5739" t="str">
        <f t="shared" si="381"/>
        <v>1207</v>
      </c>
      <c r="F5739" t="str">
        <f>"225"</f>
        <v>225</v>
      </c>
    </row>
    <row r="5740" spans="1:6">
      <c r="A5740" t="str">
        <f>"E1264-292"</f>
        <v>E1264-292</v>
      </c>
      <c r="B5740" t="str">
        <f t="shared" si="383"/>
        <v>VIA FELICE MARITANO  70-</v>
      </c>
      <c r="C5740" t="str">
        <f t="shared" si="380"/>
        <v>RIV</v>
      </c>
      <c r="D5740">
        <v>27</v>
      </c>
      <c r="E5740" t="str">
        <f t="shared" si="381"/>
        <v>1207</v>
      </c>
      <c r="F5740" t="str">
        <f>"226"</f>
        <v>226</v>
      </c>
    </row>
    <row r="5741" spans="1:6">
      <c r="A5741" t="str">
        <f>"E1264-293"</f>
        <v>E1264-293</v>
      </c>
      <c r="B5741" t="str">
        <f t="shared" si="383"/>
        <v>VIA FELICE MARITANO  70-</v>
      </c>
      <c r="C5741" t="str">
        <f t="shared" si="380"/>
        <v>RIV</v>
      </c>
      <c r="D5741">
        <v>27</v>
      </c>
      <c r="E5741" t="str">
        <f t="shared" si="381"/>
        <v>1207</v>
      </c>
      <c r="F5741" t="str">
        <f>"227"</f>
        <v>227</v>
      </c>
    </row>
    <row r="5742" spans="1:6">
      <c r="A5742" t="str">
        <f>"E1264-294"</f>
        <v>E1264-294</v>
      </c>
      <c r="B5742" t="str">
        <f t="shared" si="383"/>
        <v>VIA FELICE MARITANO  70-</v>
      </c>
      <c r="C5742" t="str">
        <f t="shared" si="380"/>
        <v>RIV</v>
      </c>
      <c r="D5742">
        <v>27</v>
      </c>
      <c r="E5742" t="str">
        <f t="shared" si="381"/>
        <v>1207</v>
      </c>
      <c r="F5742" t="str">
        <f>"228"</f>
        <v>228</v>
      </c>
    </row>
    <row r="5743" spans="1:6">
      <c r="A5743" t="str">
        <f>"E1264-295"</f>
        <v>E1264-295</v>
      </c>
      <c r="B5743" t="str">
        <f t="shared" si="383"/>
        <v>VIA FELICE MARITANO  70-</v>
      </c>
      <c r="C5743" t="str">
        <f t="shared" si="380"/>
        <v>RIV</v>
      </c>
      <c r="D5743">
        <v>27</v>
      </c>
      <c r="E5743" t="str">
        <f t="shared" si="381"/>
        <v>1207</v>
      </c>
      <c r="F5743" t="str">
        <f>"229"</f>
        <v>229</v>
      </c>
    </row>
    <row r="5744" spans="1:6">
      <c r="A5744" t="str">
        <f>"E1264-296"</f>
        <v>E1264-296</v>
      </c>
      <c r="B5744" t="str">
        <f t="shared" si="383"/>
        <v>VIA FELICE MARITANO  70-</v>
      </c>
      <c r="C5744" t="str">
        <f t="shared" si="380"/>
        <v>RIV</v>
      </c>
      <c r="D5744">
        <v>27</v>
      </c>
      <c r="E5744" t="str">
        <f t="shared" si="381"/>
        <v>1207</v>
      </c>
      <c r="F5744" t="str">
        <f>"240"</f>
        <v>240</v>
      </c>
    </row>
    <row r="5745" spans="1:6">
      <c r="A5745" t="str">
        <f>"E1264-297"</f>
        <v>E1264-297</v>
      </c>
      <c r="B5745" t="str">
        <f t="shared" si="383"/>
        <v>VIA FELICE MARITANO  70-</v>
      </c>
      <c r="C5745" t="str">
        <f t="shared" si="380"/>
        <v>RIV</v>
      </c>
      <c r="D5745">
        <v>27</v>
      </c>
      <c r="E5745" t="str">
        <f t="shared" si="381"/>
        <v>1207</v>
      </c>
      <c r="F5745" t="str">
        <f>"241"</f>
        <v>241</v>
      </c>
    </row>
    <row r="5746" spans="1:6">
      <c r="A5746" t="str">
        <f>"E1264-298"</f>
        <v>E1264-298</v>
      </c>
      <c r="B5746" t="str">
        <f t="shared" si="383"/>
        <v>VIA FELICE MARITANO  70-</v>
      </c>
      <c r="C5746" t="str">
        <f t="shared" si="380"/>
        <v>RIV</v>
      </c>
      <c r="D5746">
        <v>27</v>
      </c>
      <c r="E5746" t="str">
        <f t="shared" si="381"/>
        <v>1207</v>
      </c>
      <c r="F5746" t="str">
        <f>"242"</f>
        <v>242</v>
      </c>
    </row>
    <row r="5747" spans="1:6">
      <c r="A5747" t="str">
        <f>"E1264-299"</f>
        <v>E1264-299</v>
      </c>
      <c r="B5747" t="str">
        <f t="shared" si="383"/>
        <v>VIA FELICE MARITANO  70-</v>
      </c>
      <c r="C5747" t="str">
        <f t="shared" si="380"/>
        <v>RIV</v>
      </c>
      <c r="D5747">
        <v>27</v>
      </c>
      <c r="E5747" t="str">
        <f t="shared" si="381"/>
        <v>1207</v>
      </c>
      <c r="F5747" t="str">
        <f>"243"</f>
        <v>243</v>
      </c>
    </row>
    <row r="5748" spans="1:6">
      <c r="A5748" t="str">
        <f>"E1264-300"</f>
        <v>E1264-300</v>
      </c>
      <c r="B5748" t="str">
        <f t="shared" si="383"/>
        <v>VIA FELICE MARITANO  70-</v>
      </c>
      <c r="C5748" t="str">
        <f t="shared" si="380"/>
        <v>RIV</v>
      </c>
      <c r="D5748">
        <v>27</v>
      </c>
      <c r="E5748" t="str">
        <f t="shared" si="381"/>
        <v>1207</v>
      </c>
      <c r="F5748" t="str">
        <f>"244"</f>
        <v>244</v>
      </c>
    </row>
    <row r="5749" spans="1:6">
      <c r="A5749" t="str">
        <f>"E1264-301"</f>
        <v>E1264-301</v>
      </c>
      <c r="B5749" t="str">
        <f t="shared" si="383"/>
        <v>VIA FELICE MARITANO  70-</v>
      </c>
      <c r="C5749" t="str">
        <f t="shared" si="380"/>
        <v>RIV</v>
      </c>
      <c r="D5749">
        <v>27</v>
      </c>
      <c r="E5749" t="str">
        <f t="shared" si="381"/>
        <v>1207</v>
      </c>
      <c r="F5749" t="str">
        <f>"260"</f>
        <v>260</v>
      </c>
    </row>
    <row r="5750" spans="1:6">
      <c r="A5750" t="str">
        <f>"E1264-302"</f>
        <v>E1264-302</v>
      </c>
      <c r="B5750" t="str">
        <f t="shared" si="383"/>
        <v>VIA FELICE MARITANO  70-</v>
      </c>
      <c r="C5750" t="str">
        <f t="shared" si="380"/>
        <v>RIV</v>
      </c>
      <c r="D5750">
        <v>27</v>
      </c>
      <c r="E5750" t="str">
        <f t="shared" si="381"/>
        <v>1207</v>
      </c>
      <c r="F5750" t="str">
        <f>"261"</f>
        <v>261</v>
      </c>
    </row>
    <row r="5751" spans="1:6">
      <c r="A5751" t="str">
        <f>"E1264-303"</f>
        <v>E1264-303</v>
      </c>
      <c r="B5751" t="str">
        <f t="shared" si="383"/>
        <v>VIA FELICE MARITANO  70-</v>
      </c>
      <c r="C5751" t="str">
        <f t="shared" si="380"/>
        <v>RIV</v>
      </c>
      <c r="D5751">
        <v>27</v>
      </c>
      <c r="E5751" t="str">
        <f t="shared" si="381"/>
        <v>1207</v>
      </c>
      <c r="F5751" t="str">
        <f>"262"</f>
        <v>262</v>
      </c>
    </row>
    <row r="5752" spans="1:6">
      <c r="A5752" t="str">
        <f>"E1264-304"</f>
        <v>E1264-304</v>
      </c>
      <c r="B5752" t="str">
        <f t="shared" si="383"/>
        <v>VIA FELICE MARITANO  70-</v>
      </c>
      <c r="C5752" t="str">
        <f t="shared" si="380"/>
        <v>RIV</v>
      </c>
      <c r="D5752">
        <v>27</v>
      </c>
      <c r="E5752" t="str">
        <f t="shared" si="381"/>
        <v>1207</v>
      </c>
      <c r="F5752" t="str">
        <f>"263"</f>
        <v>263</v>
      </c>
    </row>
    <row r="5753" spans="1:6">
      <c r="A5753" t="str">
        <f>"E1264-305"</f>
        <v>E1264-305</v>
      </c>
      <c r="B5753" t="str">
        <f t="shared" si="383"/>
        <v>VIA FELICE MARITANO  70-</v>
      </c>
      <c r="C5753" t="str">
        <f t="shared" si="380"/>
        <v>RIV</v>
      </c>
      <c r="D5753">
        <v>27</v>
      </c>
      <c r="E5753" t="str">
        <f t="shared" si="381"/>
        <v>1207</v>
      </c>
      <c r="F5753" t="str">
        <f>"264"</f>
        <v>264</v>
      </c>
    </row>
    <row r="5754" spans="1:6">
      <c r="A5754" t="str">
        <f>"E1264-306"</f>
        <v>E1264-306</v>
      </c>
      <c r="B5754" t="str">
        <f t="shared" si="383"/>
        <v>VIA FELICE MARITANO  70-</v>
      </c>
      <c r="C5754" t="str">
        <f t="shared" si="380"/>
        <v>RIV</v>
      </c>
      <c r="D5754">
        <v>27</v>
      </c>
      <c r="E5754" t="str">
        <f t="shared" si="381"/>
        <v>1207</v>
      </c>
      <c r="F5754" t="str">
        <f>"280"</f>
        <v>280</v>
      </c>
    </row>
    <row r="5755" spans="1:6">
      <c r="A5755" t="str">
        <f>"E1264-307"</f>
        <v>E1264-307</v>
      </c>
      <c r="B5755" t="str">
        <f t="shared" si="383"/>
        <v>VIA FELICE MARITANO  70-</v>
      </c>
      <c r="C5755" t="str">
        <f t="shared" si="380"/>
        <v>RIV</v>
      </c>
      <c r="D5755">
        <v>27</v>
      </c>
      <c r="E5755" t="str">
        <f t="shared" si="381"/>
        <v>1207</v>
      </c>
      <c r="F5755" t="str">
        <f>"281"</f>
        <v>281</v>
      </c>
    </row>
    <row r="5756" spans="1:6">
      <c r="A5756" t="str">
        <f>"E1264-308"</f>
        <v>E1264-308</v>
      </c>
      <c r="B5756" t="str">
        <f t="shared" si="383"/>
        <v>VIA FELICE MARITANO  70-</v>
      </c>
      <c r="C5756" t="str">
        <f t="shared" si="380"/>
        <v>RIV</v>
      </c>
      <c r="D5756">
        <v>27</v>
      </c>
      <c r="E5756" t="str">
        <f t="shared" si="381"/>
        <v>1207</v>
      </c>
      <c r="F5756" t="str">
        <f>"282"</f>
        <v>282</v>
      </c>
    </row>
    <row r="5757" spans="1:6">
      <c r="A5757" t="str">
        <f>"E1264-309"</f>
        <v>E1264-309</v>
      </c>
      <c r="B5757" t="str">
        <f t="shared" si="383"/>
        <v>VIA FELICE MARITANO  70-</v>
      </c>
      <c r="C5757" t="str">
        <f t="shared" si="380"/>
        <v>RIV</v>
      </c>
      <c r="D5757">
        <v>27</v>
      </c>
      <c r="E5757" t="str">
        <f t="shared" si="381"/>
        <v>1207</v>
      </c>
      <c r="F5757" t="str">
        <f>"283"</f>
        <v>283</v>
      </c>
    </row>
    <row r="5758" spans="1:6">
      <c r="A5758" t="str">
        <f>"E1264-310"</f>
        <v>E1264-310</v>
      </c>
      <c r="B5758" t="str">
        <f t="shared" si="383"/>
        <v>VIA FELICE MARITANO  70-</v>
      </c>
      <c r="C5758" t="str">
        <f t="shared" si="380"/>
        <v>RIV</v>
      </c>
      <c r="D5758">
        <v>27</v>
      </c>
      <c r="E5758" t="str">
        <f t="shared" si="381"/>
        <v>1207</v>
      </c>
      <c r="F5758" t="str">
        <f>"284"</f>
        <v>284</v>
      </c>
    </row>
    <row r="5759" spans="1:6">
      <c r="A5759" t="str">
        <f>"E1264-311"</f>
        <v>E1264-311</v>
      </c>
      <c r="B5759" t="str">
        <f t="shared" si="383"/>
        <v>VIA FELICE MARITANO  70-</v>
      </c>
      <c r="C5759" t="str">
        <f t="shared" ref="C5759:C5790" si="384">"4"</f>
        <v>4</v>
      </c>
      <c r="D5759">
        <v>27</v>
      </c>
      <c r="E5759" t="str">
        <f>"180"</f>
        <v>180</v>
      </c>
      <c r="F5759" t="str">
        <f t="shared" ref="F5759:F5790" si="385">"0000"</f>
        <v>0000</v>
      </c>
    </row>
    <row r="5760" spans="1:6">
      <c r="C5760" t="str">
        <f t="shared" si="384"/>
        <v>4</v>
      </c>
      <c r="D5760">
        <v>27</v>
      </c>
      <c r="E5760" t="str">
        <f>"184"</f>
        <v>184</v>
      </c>
      <c r="F5760" t="str">
        <f t="shared" si="385"/>
        <v>0000</v>
      </c>
    </row>
    <row r="5761" spans="1:6">
      <c r="C5761" t="str">
        <f t="shared" si="384"/>
        <v>4</v>
      </c>
      <c r="D5761">
        <v>27</v>
      </c>
      <c r="E5761" t="str">
        <f>"214"</f>
        <v>214</v>
      </c>
      <c r="F5761" t="str">
        <f t="shared" si="385"/>
        <v>0000</v>
      </c>
    </row>
    <row r="5762" spans="1:6">
      <c r="C5762" t="str">
        <f t="shared" si="384"/>
        <v>4</v>
      </c>
      <c r="D5762">
        <v>27</v>
      </c>
      <c r="E5762" t="str">
        <f>"99999"</f>
        <v>99999</v>
      </c>
      <c r="F5762" t="str">
        <f t="shared" si="385"/>
        <v>0000</v>
      </c>
    </row>
    <row r="5763" spans="1:6">
      <c r="C5763" t="str">
        <f t="shared" si="384"/>
        <v>4</v>
      </c>
      <c r="D5763">
        <v>27</v>
      </c>
      <c r="E5763" t="str">
        <f>"453"</f>
        <v>453</v>
      </c>
      <c r="F5763" t="str">
        <f t="shared" si="385"/>
        <v>0000</v>
      </c>
    </row>
    <row r="5764" spans="1:6">
      <c r="C5764" t="str">
        <f t="shared" si="384"/>
        <v>4</v>
      </c>
      <c r="D5764">
        <v>27</v>
      </c>
      <c r="E5764" t="str">
        <f>"215"</f>
        <v>215</v>
      </c>
      <c r="F5764" t="str">
        <f t="shared" si="385"/>
        <v>0000</v>
      </c>
    </row>
    <row r="5765" spans="1:6">
      <c r="C5765" t="str">
        <f t="shared" si="384"/>
        <v>4</v>
      </c>
      <c r="D5765">
        <v>27</v>
      </c>
      <c r="E5765" t="str">
        <f>"213"</f>
        <v>213</v>
      </c>
      <c r="F5765" t="str">
        <f t="shared" si="385"/>
        <v>0000</v>
      </c>
    </row>
    <row r="5766" spans="1:6">
      <c r="C5766" t="str">
        <f t="shared" si="384"/>
        <v>4</v>
      </c>
      <c r="D5766">
        <v>27</v>
      </c>
      <c r="E5766" t="str">
        <f>"183"</f>
        <v>183</v>
      </c>
      <c r="F5766" t="str">
        <f t="shared" si="385"/>
        <v>0000</v>
      </c>
    </row>
    <row r="5767" spans="1:6">
      <c r="C5767" t="str">
        <f t="shared" si="384"/>
        <v>4</v>
      </c>
      <c r="D5767">
        <v>27</v>
      </c>
      <c r="E5767" t="str">
        <f>"181"</f>
        <v>181</v>
      </c>
      <c r="F5767" t="str">
        <f t="shared" si="385"/>
        <v>0000</v>
      </c>
    </row>
    <row r="5768" spans="1:6">
      <c r="A5768" t="str">
        <f>"E1264-312"</f>
        <v>E1264-312</v>
      </c>
      <c r="B5768" t="str">
        <f t="shared" si="383"/>
        <v>VIA FELICE MARITANO  70-</v>
      </c>
      <c r="C5768" t="str">
        <f t="shared" si="384"/>
        <v>4</v>
      </c>
      <c r="D5768">
        <v>27</v>
      </c>
      <c r="E5768" t="str">
        <f>"180"</f>
        <v>180</v>
      </c>
      <c r="F5768" t="str">
        <f t="shared" si="385"/>
        <v>0000</v>
      </c>
    </row>
    <row r="5769" spans="1:6">
      <c r="C5769" t="str">
        <f t="shared" si="384"/>
        <v>4</v>
      </c>
      <c r="D5769">
        <v>27</v>
      </c>
      <c r="E5769" t="str">
        <f>"213"</f>
        <v>213</v>
      </c>
      <c r="F5769" t="str">
        <f t="shared" si="385"/>
        <v>0000</v>
      </c>
    </row>
    <row r="5770" spans="1:6">
      <c r="C5770" t="str">
        <f t="shared" si="384"/>
        <v>4</v>
      </c>
      <c r="D5770">
        <v>27</v>
      </c>
      <c r="E5770" t="str">
        <f>"99999"</f>
        <v>99999</v>
      </c>
      <c r="F5770" t="str">
        <f t="shared" si="385"/>
        <v>0000</v>
      </c>
    </row>
    <row r="5771" spans="1:6">
      <c r="C5771" t="str">
        <f t="shared" si="384"/>
        <v>4</v>
      </c>
      <c r="D5771">
        <v>27</v>
      </c>
      <c r="E5771" t="str">
        <f>"453"</f>
        <v>453</v>
      </c>
      <c r="F5771" t="str">
        <f t="shared" si="385"/>
        <v>0000</v>
      </c>
    </row>
    <row r="5772" spans="1:6">
      <c r="C5772" t="str">
        <f t="shared" si="384"/>
        <v>4</v>
      </c>
      <c r="D5772">
        <v>27</v>
      </c>
      <c r="E5772" t="str">
        <f>"215"</f>
        <v>215</v>
      </c>
      <c r="F5772" t="str">
        <f t="shared" si="385"/>
        <v>0000</v>
      </c>
    </row>
    <row r="5773" spans="1:6">
      <c r="C5773" t="str">
        <f t="shared" si="384"/>
        <v>4</v>
      </c>
      <c r="D5773">
        <v>27</v>
      </c>
      <c r="E5773" t="str">
        <f>"214"</f>
        <v>214</v>
      </c>
      <c r="F5773" t="str">
        <f t="shared" si="385"/>
        <v>0000</v>
      </c>
    </row>
    <row r="5774" spans="1:6">
      <c r="C5774" t="str">
        <f t="shared" si="384"/>
        <v>4</v>
      </c>
      <c r="D5774">
        <v>27</v>
      </c>
      <c r="E5774" t="str">
        <f>"184"</f>
        <v>184</v>
      </c>
      <c r="F5774" t="str">
        <f t="shared" si="385"/>
        <v>0000</v>
      </c>
    </row>
    <row r="5775" spans="1:6">
      <c r="C5775" t="str">
        <f t="shared" si="384"/>
        <v>4</v>
      </c>
      <c r="D5775">
        <v>27</v>
      </c>
      <c r="E5775" t="str">
        <f>"181"</f>
        <v>181</v>
      </c>
      <c r="F5775" t="str">
        <f t="shared" si="385"/>
        <v>0000</v>
      </c>
    </row>
    <row r="5776" spans="1:6">
      <c r="C5776" t="str">
        <f t="shared" si="384"/>
        <v>4</v>
      </c>
      <c r="D5776">
        <v>27</v>
      </c>
      <c r="E5776" t="str">
        <f>"183"</f>
        <v>183</v>
      </c>
      <c r="F5776" t="str">
        <f t="shared" si="385"/>
        <v>0000</v>
      </c>
    </row>
    <row r="5777" spans="1:6">
      <c r="A5777" t="str">
        <f>"E1264-313"</f>
        <v>E1264-313</v>
      </c>
      <c r="B5777" t="str">
        <f>"VIA FELICE MARITANO  70-"</f>
        <v>VIA FELICE MARITANO  70-</v>
      </c>
      <c r="C5777" t="str">
        <f t="shared" si="384"/>
        <v>4</v>
      </c>
      <c r="D5777">
        <v>27</v>
      </c>
      <c r="E5777" t="str">
        <f>"180"</f>
        <v>180</v>
      </c>
      <c r="F5777" t="str">
        <f t="shared" si="385"/>
        <v>0000</v>
      </c>
    </row>
    <row r="5778" spans="1:6">
      <c r="C5778" t="str">
        <f t="shared" si="384"/>
        <v>4</v>
      </c>
      <c r="D5778">
        <v>27</v>
      </c>
      <c r="E5778" t="str">
        <f>"99999"</f>
        <v>99999</v>
      </c>
      <c r="F5778" t="str">
        <f t="shared" si="385"/>
        <v>0000</v>
      </c>
    </row>
    <row r="5779" spans="1:6">
      <c r="C5779" t="str">
        <f t="shared" si="384"/>
        <v>4</v>
      </c>
      <c r="D5779">
        <v>27</v>
      </c>
      <c r="E5779" t="str">
        <f>"453"</f>
        <v>453</v>
      </c>
      <c r="F5779" t="str">
        <f t="shared" si="385"/>
        <v>0000</v>
      </c>
    </row>
    <row r="5780" spans="1:6">
      <c r="C5780" t="str">
        <f t="shared" si="384"/>
        <v>4</v>
      </c>
      <c r="D5780">
        <v>27</v>
      </c>
      <c r="E5780" t="str">
        <f>"215"</f>
        <v>215</v>
      </c>
      <c r="F5780" t="str">
        <f t="shared" si="385"/>
        <v>0000</v>
      </c>
    </row>
    <row r="5781" spans="1:6">
      <c r="C5781" t="str">
        <f t="shared" si="384"/>
        <v>4</v>
      </c>
      <c r="D5781">
        <v>27</v>
      </c>
      <c r="E5781" t="str">
        <f>"214"</f>
        <v>214</v>
      </c>
      <c r="F5781" t="str">
        <f t="shared" si="385"/>
        <v>0000</v>
      </c>
    </row>
    <row r="5782" spans="1:6">
      <c r="C5782" t="str">
        <f t="shared" si="384"/>
        <v>4</v>
      </c>
      <c r="D5782">
        <v>27</v>
      </c>
      <c r="E5782" t="str">
        <f>"213"</f>
        <v>213</v>
      </c>
      <c r="F5782" t="str">
        <f t="shared" si="385"/>
        <v>0000</v>
      </c>
    </row>
    <row r="5783" spans="1:6">
      <c r="C5783" t="str">
        <f t="shared" si="384"/>
        <v>4</v>
      </c>
      <c r="D5783">
        <v>27</v>
      </c>
      <c r="E5783" t="str">
        <f>"181"</f>
        <v>181</v>
      </c>
      <c r="F5783" t="str">
        <f t="shared" si="385"/>
        <v>0000</v>
      </c>
    </row>
    <row r="5784" spans="1:6">
      <c r="C5784" t="str">
        <f t="shared" si="384"/>
        <v>4</v>
      </c>
      <c r="D5784">
        <v>27</v>
      </c>
      <c r="E5784" t="str">
        <f>"184"</f>
        <v>184</v>
      </c>
      <c r="F5784" t="str">
        <f t="shared" si="385"/>
        <v>0000</v>
      </c>
    </row>
    <row r="5785" spans="1:6">
      <c r="C5785" t="str">
        <f t="shared" si="384"/>
        <v>4</v>
      </c>
      <c r="D5785">
        <v>27</v>
      </c>
      <c r="E5785" t="str">
        <f>"183"</f>
        <v>183</v>
      </c>
      <c r="F5785" t="str">
        <f t="shared" si="385"/>
        <v>0000</v>
      </c>
    </row>
    <row r="5786" spans="1:6">
      <c r="A5786" t="str">
        <f>"E1264-314"</f>
        <v>E1264-314</v>
      </c>
      <c r="B5786" t="str">
        <f>"VIA FELICE MARITANO  70-"</f>
        <v>VIA FELICE MARITANO  70-</v>
      </c>
      <c r="C5786" t="str">
        <f t="shared" si="384"/>
        <v>4</v>
      </c>
      <c r="D5786">
        <v>27</v>
      </c>
      <c r="E5786" t="str">
        <f>"180"</f>
        <v>180</v>
      </c>
      <c r="F5786" t="str">
        <f t="shared" si="385"/>
        <v>0000</v>
      </c>
    </row>
    <row r="5787" spans="1:6">
      <c r="C5787" t="str">
        <f t="shared" si="384"/>
        <v>4</v>
      </c>
      <c r="D5787">
        <v>27</v>
      </c>
      <c r="E5787" t="str">
        <f>"183"</f>
        <v>183</v>
      </c>
      <c r="F5787" t="str">
        <f t="shared" si="385"/>
        <v>0000</v>
      </c>
    </row>
    <row r="5788" spans="1:6">
      <c r="C5788" t="str">
        <f t="shared" si="384"/>
        <v>4</v>
      </c>
      <c r="D5788">
        <v>27</v>
      </c>
      <c r="E5788" t="str">
        <f>"184"</f>
        <v>184</v>
      </c>
      <c r="F5788" t="str">
        <f t="shared" si="385"/>
        <v>0000</v>
      </c>
    </row>
    <row r="5789" spans="1:6">
      <c r="C5789" t="str">
        <f t="shared" si="384"/>
        <v>4</v>
      </c>
      <c r="D5789">
        <v>27</v>
      </c>
      <c r="E5789" t="str">
        <f>"181"</f>
        <v>181</v>
      </c>
      <c r="F5789" t="str">
        <f t="shared" si="385"/>
        <v>0000</v>
      </c>
    </row>
    <row r="5790" spans="1:6">
      <c r="C5790" t="str">
        <f t="shared" si="384"/>
        <v>4</v>
      </c>
      <c r="D5790">
        <v>27</v>
      </c>
      <c r="E5790" t="str">
        <f>"213"</f>
        <v>213</v>
      </c>
      <c r="F5790" t="str">
        <f t="shared" si="385"/>
        <v>0000</v>
      </c>
    </row>
    <row r="5791" spans="1:6">
      <c r="C5791" t="str">
        <f t="shared" ref="C5791:C5822" si="386">"4"</f>
        <v>4</v>
      </c>
      <c r="D5791">
        <v>27</v>
      </c>
      <c r="E5791" t="str">
        <f>"215"</f>
        <v>215</v>
      </c>
      <c r="F5791" t="str">
        <f t="shared" ref="F5791:F5822" si="387">"0000"</f>
        <v>0000</v>
      </c>
    </row>
    <row r="5792" spans="1:6">
      <c r="C5792" t="str">
        <f t="shared" si="386"/>
        <v>4</v>
      </c>
      <c r="D5792">
        <v>27</v>
      </c>
      <c r="E5792" t="str">
        <f>"99999"</f>
        <v>99999</v>
      </c>
      <c r="F5792" t="str">
        <f t="shared" si="387"/>
        <v>0000</v>
      </c>
    </row>
    <row r="5793" spans="1:6">
      <c r="C5793" t="str">
        <f t="shared" si="386"/>
        <v>4</v>
      </c>
      <c r="D5793">
        <v>27</v>
      </c>
      <c r="E5793" t="str">
        <f>"453"</f>
        <v>453</v>
      </c>
      <c r="F5793" t="str">
        <f t="shared" si="387"/>
        <v>0000</v>
      </c>
    </row>
    <row r="5794" spans="1:6">
      <c r="C5794" t="str">
        <f t="shared" si="386"/>
        <v>4</v>
      </c>
      <c r="D5794">
        <v>27</v>
      </c>
      <c r="E5794" t="str">
        <f>"214"</f>
        <v>214</v>
      </c>
      <c r="F5794" t="str">
        <f t="shared" si="387"/>
        <v>0000</v>
      </c>
    </row>
    <row r="5795" spans="1:6">
      <c r="A5795" t="str">
        <f>"E1264-315"</f>
        <v>E1264-315</v>
      </c>
      <c r="B5795" t="str">
        <f>"VIA FELICE MARITANO  70-"</f>
        <v>VIA FELICE MARITANO  70-</v>
      </c>
      <c r="C5795" t="str">
        <f t="shared" si="386"/>
        <v>4</v>
      </c>
      <c r="D5795">
        <v>27</v>
      </c>
      <c r="E5795" t="str">
        <f>"180"</f>
        <v>180</v>
      </c>
      <c r="F5795" t="str">
        <f t="shared" si="387"/>
        <v>0000</v>
      </c>
    </row>
    <row r="5796" spans="1:6">
      <c r="C5796" t="str">
        <f t="shared" si="386"/>
        <v>4</v>
      </c>
      <c r="D5796">
        <v>27</v>
      </c>
      <c r="E5796" t="str">
        <f>"183"</f>
        <v>183</v>
      </c>
      <c r="F5796" t="str">
        <f t="shared" si="387"/>
        <v>0000</v>
      </c>
    </row>
    <row r="5797" spans="1:6">
      <c r="C5797" t="str">
        <f t="shared" si="386"/>
        <v>4</v>
      </c>
      <c r="D5797">
        <v>27</v>
      </c>
      <c r="E5797" t="str">
        <f>"181"</f>
        <v>181</v>
      </c>
      <c r="F5797" t="str">
        <f t="shared" si="387"/>
        <v>0000</v>
      </c>
    </row>
    <row r="5798" spans="1:6">
      <c r="C5798" t="str">
        <f t="shared" si="386"/>
        <v>4</v>
      </c>
      <c r="D5798">
        <v>27</v>
      </c>
      <c r="E5798" t="str">
        <f>"184"</f>
        <v>184</v>
      </c>
      <c r="F5798" t="str">
        <f t="shared" si="387"/>
        <v>0000</v>
      </c>
    </row>
    <row r="5799" spans="1:6">
      <c r="C5799" t="str">
        <f t="shared" si="386"/>
        <v>4</v>
      </c>
      <c r="D5799">
        <v>27</v>
      </c>
      <c r="E5799" t="str">
        <f>"214"</f>
        <v>214</v>
      </c>
      <c r="F5799" t="str">
        <f t="shared" si="387"/>
        <v>0000</v>
      </c>
    </row>
    <row r="5800" spans="1:6">
      <c r="C5800" t="str">
        <f t="shared" si="386"/>
        <v>4</v>
      </c>
      <c r="D5800">
        <v>27</v>
      </c>
      <c r="E5800" t="str">
        <f>"453"</f>
        <v>453</v>
      </c>
      <c r="F5800" t="str">
        <f t="shared" si="387"/>
        <v>0000</v>
      </c>
    </row>
    <row r="5801" spans="1:6">
      <c r="C5801" t="str">
        <f t="shared" si="386"/>
        <v>4</v>
      </c>
      <c r="D5801">
        <v>27</v>
      </c>
      <c r="E5801" t="str">
        <f>"99999"</f>
        <v>99999</v>
      </c>
      <c r="F5801" t="str">
        <f t="shared" si="387"/>
        <v>0000</v>
      </c>
    </row>
    <row r="5802" spans="1:6">
      <c r="C5802" t="str">
        <f t="shared" si="386"/>
        <v>4</v>
      </c>
      <c r="D5802">
        <v>27</v>
      </c>
      <c r="E5802" t="str">
        <f>"215"</f>
        <v>215</v>
      </c>
      <c r="F5802" t="str">
        <f t="shared" si="387"/>
        <v>0000</v>
      </c>
    </row>
    <row r="5803" spans="1:6">
      <c r="C5803" t="str">
        <f t="shared" si="386"/>
        <v>4</v>
      </c>
      <c r="D5803">
        <v>27</v>
      </c>
      <c r="E5803" t="str">
        <f>"213"</f>
        <v>213</v>
      </c>
      <c r="F5803" t="str">
        <f t="shared" si="387"/>
        <v>0000</v>
      </c>
    </row>
    <row r="5804" spans="1:6">
      <c r="A5804" t="str">
        <f>"E1264-316"</f>
        <v>E1264-316</v>
      </c>
      <c r="B5804" t="str">
        <f>"VIA FELICE MARITANO  70-"</f>
        <v>VIA FELICE MARITANO  70-</v>
      </c>
      <c r="C5804" t="str">
        <f t="shared" si="386"/>
        <v>4</v>
      </c>
      <c r="D5804">
        <v>27</v>
      </c>
      <c r="E5804" t="str">
        <f>"180"</f>
        <v>180</v>
      </c>
      <c r="F5804" t="str">
        <f t="shared" si="387"/>
        <v>0000</v>
      </c>
    </row>
    <row r="5805" spans="1:6">
      <c r="C5805" t="str">
        <f t="shared" si="386"/>
        <v>4</v>
      </c>
      <c r="D5805">
        <v>27</v>
      </c>
      <c r="E5805" t="str">
        <f>"181"</f>
        <v>181</v>
      </c>
      <c r="F5805" t="str">
        <f t="shared" si="387"/>
        <v>0000</v>
      </c>
    </row>
    <row r="5806" spans="1:6">
      <c r="C5806" t="str">
        <f t="shared" si="386"/>
        <v>4</v>
      </c>
      <c r="D5806">
        <v>27</v>
      </c>
      <c r="E5806" t="str">
        <f>"183"</f>
        <v>183</v>
      </c>
      <c r="F5806" t="str">
        <f t="shared" si="387"/>
        <v>0000</v>
      </c>
    </row>
    <row r="5807" spans="1:6">
      <c r="C5807" t="str">
        <f t="shared" si="386"/>
        <v>4</v>
      </c>
      <c r="D5807">
        <v>27</v>
      </c>
      <c r="E5807" t="str">
        <f>"213"</f>
        <v>213</v>
      </c>
      <c r="F5807" t="str">
        <f t="shared" si="387"/>
        <v>0000</v>
      </c>
    </row>
    <row r="5808" spans="1:6">
      <c r="C5808" t="str">
        <f t="shared" si="386"/>
        <v>4</v>
      </c>
      <c r="D5808">
        <v>27</v>
      </c>
      <c r="E5808" t="str">
        <f>"215"</f>
        <v>215</v>
      </c>
      <c r="F5808" t="str">
        <f t="shared" si="387"/>
        <v>0000</v>
      </c>
    </row>
    <row r="5809" spans="1:6">
      <c r="C5809" t="str">
        <f t="shared" si="386"/>
        <v>4</v>
      </c>
      <c r="D5809">
        <v>27</v>
      </c>
      <c r="E5809" t="str">
        <f>"99999"</f>
        <v>99999</v>
      </c>
      <c r="F5809" t="str">
        <f t="shared" si="387"/>
        <v>0000</v>
      </c>
    </row>
    <row r="5810" spans="1:6">
      <c r="C5810" t="str">
        <f t="shared" si="386"/>
        <v>4</v>
      </c>
      <c r="D5810">
        <v>27</v>
      </c>
      <c r="E5810" t="str">
        <f>"453"</f>
        <v>453</v>
      </c>
      <c r="F5810" t="str">
        <f t="shared" si="387"/>
        <v>0000</v>
      </c>
    </row>
    <row r="5811" spans="1:6">
      <c r="C5811" t="str">
        <f t="shared" si="386"/>
        <v>4</v>
      </c>
      <c r="D5811">
        <v>27</v>
      </c>
      <c r="E5811" t="str">
        <f>"214"</f>
        <v>214</v>
      </c>
      <c r="F5811" t="str">
        <f t="shared" si="387"/>
        <v>0000</v>
      </c>
    </row>
    <row r="5812" spans="1:6">
      <c r="C5812" t="str">
        <f t="shared" si="386"/>
        <v>4</v>
      </c>
      <c r="D5812">
        <v>27</v>
      </c>
      <c r="E5812" t="str">
        <f>"184"</f>
        <v>184</v>
      </c>
      <c r="F5812" t="str">
        <f t="shared" si="387"/>
        <v>0000</v>
      </c>
    </row>
    <row r="5813" spans="1:6">
      <c r="A5813" t="str">
        <f>"E1264-317"</f>
        <v>E1264-317</v>
      </c>
      <c r="B5813" t="str">
        <f>"VIA FELICE MARITANO  70-"</f>
        <v>VIA FELICE MARITANO  70-</v>
      </c>
      <c r="C5813" t="str">
        <f t="shared" si="386"/>
        <v>4</v>
      </c>
      <c r="D5813">
        <v>27</v>
      </c>
      <c r="E5813" t="str">
        <f>"180"</f>
        <v>180</v>
      </c>
      <c r="F5813" t="str">
        <f t="shared" si="387"/>
        <v>0000</v>
      </c>
    </row>
    <row r="5814" spans="1:6">
      <c r="C5814" t="str">
        <f t="shared" si="386"/>
        <v>4</v>
      </c>
      <c r="D5814">
        <v>27</v>
      </c>
      <c r="E5814" t="str">
        <f>"181"</f>
        <v>181</v>
      </c>
      <c r="F5814" t="str">
        <f t="shared" si="387"/>
        <v>0000</v>
      </c>
    </row>
    <row r="5815" spans="1:6">
      <c r="C5815" t="str">
        <f t="shared" si="386"/>
        <v>4</v>
      </c>
      <c r="D5815">
        <v>27</v>
      </c>
      <c r="E5815" t="str">
        <f>"184"</f>
        <v>184</v>
      </c>
      <c r="F5815" t="str">
        <f t="shared" si="387"/>
        <v>0000</v>
      </c>
    </row>
    <row r="5816" spans="1:6">
      <c r="C5816" t="str">
        <f t="shared" si="386"/>
        <v>4</v>
      </c>
      <c r="D5816">
        <v>27</v>
      </c>
      <c r="E5816" t="str">
        <f>"214"</f>
        <v>214</v>
      </c>
      <c r="F5816" t="str">
        <f t="shared" si="387"/>
        <v>0000</v>
      </c>
    </row>
    <row r="5817" spans="1:6">
      <c r="C5817" t="str">
        <f t="shared" si="386"/>
        <v>4</v>
      </c>
      <c r="D5817">
        <v>27</v>
      </c>
      <c r="E5817" t="str">
        <f>"453"</f>
        <v>453</v>
      </c>
      <c r="F5817" t="str">
        <f t="shared" si="387"/>
        <v>0000</v>
      </c>
    </row>
    <row r="5818" spans="1:6">
      <c r="C5818" t="str">
        <f t="shared" si="386"/>
        <v>4</v>
      </c>
      <c r="D5818">
        <v>27</v>
      </c>
      <c r="E5818" t="str">
        <f>"99999"</f>
        <v>99999</v>
      </c>
      <c r="F5818" t="str">
        <f t="shared" si="387"/>
        <v>0000</v>
      </c>
    </row>
    <row r="5819" spans="1:6">
      <c r="C5819" t="str">
        <f t="shared" si="386"/>
        <v>4</v>
      </c>
      <c r="D5819">
        <v>27</v>
      </c>
      <c r="E5819" t="str">
        <f>"215"</f>
        <v>215</v>
      </c>
      <c r="F5819" t="str">
        <f t="shared" si="387"/>
        <v>0000</v>
      </c>
    </row>
    <row r="5820" spans="1:6">
      <c r="C5820" t="str">
        <f t="shared" si="386"/>
        <v>4</v>
      </c>
      <c r="D5820">
        <v>27</v>
      </c>
      <c r="E5820" t="str">
        <f>"213"</f>
        <v>213</v>
      </c>
      <c r="F5820" t="str">
        <f t="shared" si="387"/>
        <v>0000</v>
      </c>
    </row>
    <row r="5821" spans="1:6">
      <c r="C5821" t="str">
        <f t="shared" si="386"/>
        <v>4</v>
      </c>
      <c r="D5821">
        <v>27</v>
      </c>
      <c r="E5821" t="str">
        <f>"183"</f>
        <v>183</v>
      </c>
      <c r="F5821" t="str">
        <f t="shared" si="387"/>
        <v>0000</v>
      </c>
    </row>
    <row r="5822" spans="1:6">
      <c r="A5822" t="str">
        <f>"E1264-318"</f>
        <v>E1264-318</v>
      </c>
      <c r="B5822" t="str">
        <f>"VIA FELICE MARITANO  70-"</f>
        <v>VIA FELICE MARITANO  70-</v>
      </c>
      <c r="C5822" t="str">
        <f t="shared" si="386"/>
        <v>4</v>
      </c>
      <c r="D5822">
        <v>27</v>
      </c>
      <c r="E5822" t="str">
        <f>"180"</f>
        <v>180</v>
      </c>
      <c r="F5822" t="str">
        <f t="shared" si="387"/>
        <v>0000</v>
      </c>
    </row>
    <row r="5823" spans="1:6">
      <c r="C5823" t="str">
        <f t="shared" ref="C5823:C5849" si="388">"4"</f>
        <v>4</v>
      </c>
      <c r="D5823">
        <v>27</v>
      </c>
      <c r="E5823" t="str">
        <f>"183"</f>
        <v>183</v>
      </c>
      <c r="F5823" t="str">
        <f t="shared" ref="F5823:F5849" si="389">"0000"</f>
        <v>0000</v>
      </c>
    </row>
    <row r="5824" spans="1:6">
      <c r="C5824" t="str">
        <f t="shared" si="388"/>
        <v>4</v>
      </c>
      <c r="D5824">
        <v>27</v>
      </c>
      <c r="E5824" t="str">
        <f>"213"</f>
        <v>213</v>
      </c>
      <c r="F5824" t="str">
        <f t="shared" si="389"/>
        <v>0000</v>
      </c>
    </row>
    <row r="5825" spans="1:6">
      <c r="C5825" t="str">
        <f t="shared" si="388"/>
        <v>4</v>
      </c>
      <c r="D5825">
        <v>27</v>
      </c>
      <c r="E5825" t="str">
        <f>"215"</f>
        <v>215</v>
      </c>
      <c r="F5825" t="str">
        <f t="shared" si="389"/>
        <v>0000</v>
      </c>
    </row>
    <row r="5826" spans="1:6">
      <c r="C5826" t="str">
        <f t="shared" si="388"/>
        <v>4</v>
      </c>
      <c r="D5826">
        <v>27</v>
      </c>
      <c r="E5826" t="str">
        <f>"99999"</f>
        <v>99999</v>
      </c>
      <c r="F5826" t="str">
        <f t="shared" si="389"/>
        <v>0000</v>
      </c>
    </row>
    <row r="5827" spans="1:6">
      <c r="C5827" t="str">
        <f t="shared" si="388"/>
        <v>4</v>
      </c>
      <c r="D5827">
        <v>27</v>
      </c>
      <c r="E5827" t="str">
        <f>"453"</f>
        <v>453</v>
      </c>
      <c r="F5827" t="str">
        <f t="shared" si="389"/>
        <v>0000</v>
      </c>
    </row>
    <row r="5828" spans="1:6">
      <c r="C5828" t="str">
        <f t="shared" si="388"/>
        <v>4</v>
      </c>
      <c r="D5828">
        <v>27</v>
      </c>
      <c r="E5828" t="str">
        <f>"214"</f>
        <v>214</v>
      </c>
      <c r="F5828" t="str">
        <f t="shared" si="389"/>
        <v>0000</v>
      </c>
    </row>
    <row r="5829" spans="1:6">
      <c r="C5829" t="str">
        <f t="shared" si="388"/>
        <v>4</v>
      </c>
      <c r="D5829">
        <v>27</v>
      </c>
      <c r="E5829" t="str">
        <f>"184"</f>
        <v>184</v>
      </c>
      <c r="F5829" t="str">
        <f t="shared" si="389"/>
        <v>0000</v>
      </c>
    </row>
    <row r="5830" spans="1:6">
      <c r="C5830" t="str">
        <f t="shared" si="388"/>
        <v>4</v>
      </c>
      <c r="D5830">
        <v>27</v>
      </c>
      <c r="E5830" t="str">
        <f>"181"</f>
        <v>181</v>
      </c>
      <c r="F5830" t="str">
        <f t="shared" si="389"/>
        <v>0000</v>
      </c>
    </row>
    <row r="5831" spans="1:6">
      <c r="A5831" t="str">
        <f>"E1264-319"</f>
        <v>E1264-319</v>
      </c>
      <c r="B5831" t="str">
        <f>"VIA FELICE MARITANO  70-"</f>
        <v>VIA FELICE MARITANO  70-</v>
      </c>
      <c r="C5831" t="str">
        <f t="shared" si="388"/>
        <v>4</v>
      </c>
      <c r="D5831">
        <v>27</v>
      </c>
      <c r="E5831" t="str">
        <f>"180"</f>
        <v>180</v>
      </c>
      <c r="F5831" t="str">
        <f t="shared" si="389"/>
        <v>0000</v>
      </c>
    </row>
    <row r="5832" spans="1:6">
      <c r="C5832" t="str">
        <f t="shared" si="388"/>
        <v>4</v>
      </c>
      <c r="D5832">
        <v>27</v>
      </c>
      <c r="E5832" t="str">
        <f>"184"</f>
        <v>184</v>
      </c>
      <c r="F5832" t="str">
        <f t="shared" si="389"/>
        <v>0000</v>
      </c>
    </row>
    <row r="5833" spans="1:6">
      <c r="C5833" t="str">
        <f t="shared" si="388"/>
        <v>4</v>
      </c>
      <c r="D5833">
        <v>27</v>
      </c>
      <c r="E5833" t="str">
        <f>"214"</f>
        <v>214</v>
      </c>
      <c r="F5833" t="str">
        <f t="shared" si="389"/>
        <v>0000</v>
      </c>
    </row>
    <row r="5834" spans="1:6">
      <c r="C5834" t="str">
        <f t="shared" si="388"/>
        <v>4</v>
      </c>
      <c r="D5834">
        <v>27</v>
      </c>
      <c r="E5834" t="str">
        <f>"99999"</f>
        <v>99999</v>
      </c>
      <c r="F5834" t="str">
        <f t="shared" si="389"/>
        <v>0000</v>
      </c>
    </row>
    <row r="5835" spans="1:6">
      <c r="C5835" t="str">
        <f t="shared" si="388"/>
        <v>4</v>
      </c>
      <c r="D5835">
        <v>27</v>
      </c>
      <c r="E5835" t="str">
        <f>"453"</f>
        <v>453</v>
      </c>
      <c r="F5835" t="str">
        <f t="shared" si="389"/>
        <v>0000</v>
      </c>
    </row>
    <row r="5836" spans="1:6">
      <c r="C5836" t="str">
        <f t="shared" si="388"/>
        <v>4</v>
      </c>
      <c r="D5836">
        <v>27</v>
      </c>
      <c r="E5836" t="str">
        <f>"215"</f>
        <v>215</v>
      </c>
      <c r="F5836" t="str">
        <f t="shared" si="389"/>
        <v>0000</v>
      </c>
    </row>
    <row r="5837" spans="1:6">
      <c r="C5837" t="str">
        <f t="shared" si="388"/>
        <v>4</v>
      </c>
      <c r="D5837">
        <v>27</v>
      </c>
      <c r="E5837" t="str">
        <f>"213"</f>
        <v>213</v>
      </c>
      <c r="F5837" t="str">
        <f t="shared" si="389"/>
        <v>0000</v>
      </c>
    </row>
    <row r="5838" spans="1:6">
      <c r="C5838" t="str">
        <f t="shared" si="388"/>
        <v>4</v>
      </c>
      <c r="D5838">
        <v>27</v>
      </c>
      <c r="E5838" t="str">
        <f>"183"</f>
        <v>183</v>
      </c>
      <c r="F5838" t="str">
        <f t="shared" si="389"/>
        <v>0000</v>
      </c>
    </row>
    <row r="5839" spans="1:6">
      <c r="C5839" t="str">
        <f t="shared" si="388"/>
        <v>4</v>
      </c>
      <c r="D5839">
        <v>27</v>
      </c>
      <c r="E5839" t="str">
        <f>"181"</f>
        <v>181</v>
      </c>
      <c r="F5839" t="str">
        <f t="shared" si="389"/>
        <v>0000</v>
      </c>
    </row>
    <row r="5840" spans="1:6">
      <c r="A5840" t="str">
        <f>"E1264-320"</f>
        <v>E1264-320</v>
      </c>
      <c r="B5840" t="str">
        <f>"VIA FELICE MARITANO  70-"</f>
        <v>VIA FELICE MARITANO  70-</v>
      </c>
      <c r="C5840" t="str">
        <f t="shared" si="388"/>
        <v>4</v>
      </c>
      <c r="D5840">
        <v>27</v>
      </c>
      <c r="E5840" t="str">
        <f>"180"</f>
        <v>180</v>
      </c>
      <c r="F5840" t="str">
        <f t="shared" si="389"/>
        <v>0000</v>
      </c>
    </row>
    <row r="5841" spans="1:6">
      <c r="C5841" t="str">
        <f t="shared" si="388"/>
        <v>4</v>
      </c>
      <c r="D5841">
        <v>27</v>
      </c>
      <c r="E5841" t="str">
        <f>"213"</f>
        <v>213</v>
      </c>
      <c r="F5841" t="str">
        <f t="shared" si="389"/>
        <v>0000</v>
      </c>
    </row>
    <row r="5842" spans="1:6">
      <c r="C5842" t="str">
        <f t="shared" si="388"/>
        <v>4</v>
      </c>
      <c r="D5842">
        <v>27</v>
      </c>
      <c r="E5842" t="str">
        <f>"99999"</f>
        <v>99999</v>
      </c>
      <c r="F5842" t="str">
        <f t="shared" si="389"/>
        <v>0000</v>
      </c>
    </row>
    <row r="5843" spans="1:6">
      <c r="C5843" t="str">
        <f t="shared" si="388"/>
        <v>4</v>
      </c>
      <c r="D5843">
        <v>27</v>
      </c>
      <c r="E5843" t="str">
        <f>"453"</f>
        <v>453</v>
      </c>
      <c r="F5843" t="str">
        <f t="shared" si="389"/>
        <v>0000</v>
      </c>
    </row>
    <row r="5844" spans="1:6">
      <c r="C5844" t="str">
        <f t="shared" si="388"/>
        <v>4</v>
      </c>
      <c r="D5844">
        <v>27</v>
      </c>
      <c r="E5844" t="str">
        <f>"215"</f>
        <v>215</v>
      </c>
      <c r="F5844" t="str">
        <f t="shared" si="389"/>
        <v>0000</v>
      </c>
    </row>
    <row r="5845" spans="1:6">
      <c r="C5845" t="str">
        <f t="shared" si="388"/>
        <v>4</v>
      </c>
      <c r="D5845">
        <v>27</v>
      </c>
      <c r="E5845" t="str">
        <f>"214"</f>
        <v>214</v>
      </c>
      <c r="F5845" t="str">
        <f t="shared" si="389"/>
        <v>0000</v>
      </c>
    </row>
    <row r="5846" spans="1:6">
      <c r="C5846" t="str">
        <f t="shared" si="388"/>
        <v>4</v>
      </c>
      <c r="D5846">
        <v>27</v>
      </c>
      <c r="E5846" t="str">
        <f>"184"</f>
        <v>184</v>
      </c>
      <c r="F5846" t="str">
        <f t="shared" si="389"/>
        <v>0000</v>
      </c>
    </row>
    <row r="5847" spans="1:6">
      <c r="C5847" t="str">
        <f t="shared" si="388"/>
        <v>4</v>
      </c>
      <c r="D5847">
        <v>27</v>
      </c>
      <c r="E5847" t="str">
        <f>"181"</f>
        <v>181</v>
      </c>
      <c r="F5847" t="str">
        <f t="shared" si="389"/>
        <v>0000</v>
      </c>
    </row>
    <row r="5848" spans="1:6">
      <c r="C5848" t="str">
        <f t="shared" si="388"/>
        <v>4</v>
      </c>
      <c r="D5848">
        <v>27</v>
      </c>
      <c r="E5848" t="str">
        <f>"183"</f>
        <v>183</v>
      </c>
      <c r="F5848" t="str">
        <f t="shared" si="389"/>
        <v>0000</v>
      </c>
    </row>
    <row r="5849" spans="1:6">
      <c r="A5849" t="str">
        <f>"E1265-1"</f>
        <v>E1265-1</v>
      </c>
      <c r="B5849" t="str">
        <f>"LUNGO POLCEVERA  70AR-"</f>
        <v>LUNGO POLCEVERA  70AR-</v>
      </c>
      <c r="C5849" t="str">
        <f t="shared" si="388"/>
        <v>4</v>
      </c>
      <c r="D5849">
        <v>4</v>
      </c>
      <c r="E5849" t="str">
        <f>"771"</f>
        <v>771</v>
      </c>
      <c r="F5849" t="str">
        <f t="shared" si="389"/>
        <v>0000</v>
      </c>
    </row>
    <row r="5850" spans="1:6">
      <c r="A5850" t="str">
        <f>"E1266-1"</f>
        <v>E1266-1</v>
      </c>
      <c r="B5850" t="str">
        <f t="shared" ref="B5850:B5881" si="390">"VIA VIRGILIO BROCCHI  13-"</f>
        <v>VIA VIRGILIO BROCCHI  13-</v>
      </c>
      <c r="C5850" t="str">
        <f t="shared" ref="C5850:C5881" si="391">"RIV"</f>
        <v>RIV</v>
      </c>
      <c r="D5850">
        <v>27</v>
      </c>
      <c r="E5850" t="str">
        <f t="shared" ref="E5850:E5881" si="392">"572"</f>
        <v>572</v>
      </c>
      <c r="F5850" t="str">
        <f>"47"</f>
        <v>47</v>
      </c>
    </row>
    <row r="5851" spans="1:6">
      <c r="A5851" t="str">
        <f>"E1266-2"</f>
        <v>E1266-2</v>
      </c>
      <c r="B5851" t="str">
        <f t="shared" si="390"/>
        <v>VIA VIRGILIO BROCCHI  13-</v>
      </c>
      <c r="C5851" t="str">
        <f t="shared" si="391"/>
        <v>RIV</v>
      </c>
      <c r="D5851">
        <v>27</v>
      </c>
      <c r="E5851" t="str">
        <f t="shared" si="392"/>
        <v>572</v>
      </c>
      <c r="F5851" t="str">
        <f>"48"</f>
        <v>48</v>
      </c>
    </row>
    <row r="5852" spans="1:6">
      <c r="A5852" t="str">
        <f>"E1266-3"</f>
        <v>E1266-3</v>
      </c>
      <c r="B5852" t="str">
        <f t="shared" si="390"/>
        <v>VIA VIRGILIO BROCCHI  13-</v>
      </c>
      <c r="C5852" t="str">
        <f t="shared" si="391"/>
        <v>RIV</v>
      </c>
      <c r="D5852">
        <v>27</v>
      </c>
      <c r="E5852" t="str">
        <f t="shared" si="392"/>
        <v>572</v>
      </c>
      <c r="F5852" t="str">
        <f>"49"</f>
        <v>49</v>
      </c>
    </row>
    <row r="5853" spans="1:6">
      <c r="A5853" t="str">
        <f>"E1266-4"</f>
        <v>E1266-4</v>
      </c>
      <c r="B5853" t="str">
        <f t="shared" si="390"/>
        <v>VIA VIRGILIO BROCCHI  13-</v>
      </c>
      <c r="C5853" t="str">
        <f t="shared" si="391"/>
        <v>RIV</v>
      </c>
      <c r="D5853">
        <v>27</v>
      </c>
      <c r="E5853" t="str">
        <f t="shared" si="392"/>
        <v>572</v>
      </c>
      <c r="F5853" t="str">
        <f>"50"</f>
        <v>50</v>
      </c>
    </row>
    <row r="5854" spans="1:6">
      <c r="A5854" t="str">
        <f>"E1266-5"</f>
        <v>E1266-5</v>
      </c>
      <c r="B5854" t="str">
        <f t="shared" si="390"/>
        <v>VIA VIRGILIO BROCCHI  13-</v>
      </c>
      <c r="C5854" t="str">
        <f t="shared" si="391"/>
        <v>RIV</v>
      </c>
      <c r="D5854">
        <v>27</v>
      </c>
      <c r="E5854" t="str">
        <f t="shared" si="392"/>
        <v>572</v>
      </c>
      <c r="F5854" t="str">
        <f>"51"</f>
        <v>51</v>
      </c>
    </row>
    <row r="5855" spans="1:6">
      <c r="A5855" t="str">
        <f>"E1266-6"</f>
        <v>E1266-6</v>
      </c>
      <c r="B5855" t="str">
        <f t="shared" si="390"/>
        <v>VIA VIRGILIO BROCCHI  13-</v>
      </c>
      <c r="C5855" t="str">
        <f t="shared" si="391"/>
        <v>RIV</v>
      </c>
      <c r="D5855">
        <v>27</v>
      </c>
      <c r="E5855" t="str">
        <f t="shared" si="392"/>
        <v>572</v>
      </c>
      <c r="F5855" t="str">
        <f>"52"</f>
        <v>52</v>
      </c>
    </row>
    <row r="5856" spans="1:6">
      <c r="A5856" t="str">
        <f>"E1266-7"</f>
        <v>E1266-7</v>
      </c>
      <c r="B5856" t="str">
        <f t="shared" si="390"/>
        <v>VIA VIRGILIO BROCCHI  13-</v>
      </c>
      <c r="C5856" t="str">
        <f t="shared" si="391"/>
        <v>RIV</v>
      </c>
      <c r="D5856">
        <v>27</v>
      </c>
      <c r="E5856" t="str">
        <f t="shared" si="392"/>
        <v>572</v>
      </c>
      <c r="F5856" t="str">
        <f>"53"</f>
        <v>53</v>
      </c>
    </row>
    <row r="5857" spans="1:6">
      <c r="A5857" t="str">
        <f>"E1266-8"</f>
        <v>E1266-8</v>
      </c>
      <c r="B5857" t="str">
        <f t="shared" si="390"/>
        <v>VIA VIRGILIO BROCCHI  13-</v>
      </c>
      <c r="C5857" t="str">
        <f t="shared" si="391"/>
        <v>RIV</v>
      </c>
      <c r="D5857">
        <v>27</v>
      </c>
      <c r="E5857" t="str">
        <f t="shared" si="392"/>
        <v>572</v>
      </c>
      <c r="F5857" t="str">
        <f>"54"</f>
        <v>54</v>
      </c>
    </row>
    <row r="5858" spans="1:6">
      <c r="A5858" t="str">
        <f>"E1266-9"</f>
        <v>E1266-9</v>
      </c>
      <c r="B5858" t="str">
        <f t="shared" si="390"/>
        <v>VIA VIRGILIO BROCCHI  13-</v>
      </c>
      <c r="C5858" t="str">
        <f t="shared" si="391"/>
        <v>RIV</v>
      </c>
      <c r="D5858">
        <v>27</v>
      </c>
      <c r="E5858" t="str">
        <f t="shared" si="392"/>
        <v>572</v>
      </c>
      <c r="F5858" t="str">
        <f>"55"</f>
        <v>55</v>
      </c>
    </row>
    <row r="5859" spans="1:6">
      <c r="A5859" t="str">
        <f>"E1266-10"</f>
        <v>E1266-10</v>
      </c>
      <c r="B5859" t="str">
        <f t="shared" si="390"/>
        <v>VIA VIRGILIO BROCCHI  13-</v>
      </c>
      <c r="C5859" t="str">
        <f t="shared" si="391"/>
        <v>RIV</v>
      </c>
      <c r="D5859">
        <v>27</v>
      </c>
      <c r="E5859" t="str">
        <f t="shared" si="392"/>
        <v>572</v>
      </c>
      <c r="F5859" t="str">
        <f>"56"</f>
        <v>56</v>
      </c>
    </row>
    <row r="5860" spans="1:6">
      <c r="A5860" t="str">
        <f>"E1266-11"</f>
        <v>E1266-11</v>
      </c>
      <c r="B5860" t="str">
        <f t="shared" si="390"/>
        <v>VIA VIRGILIO BROCCHI  13-</v>
      </c>
      <c r="C5860" t="str">
        <f t="shared" si="391"/>
        <v>RIV</v>
      </c>
      <c r="D5860">
        <v>27</v>
      </c>
      <c r="E5860" t="str">
        <f t="shared" si="392"/>
        <v>572</v>
      </c>
      <c r="F5860" t="str">
        <f>"57"</f>
        <v>57</v>
      </c>
    </row>
    <row r="5861" spans="1:6">
      <c r="A5861" t="str">
        <f>"E1266-12"</f>
        <v>E1266-12</v>
      </c>
      <c r="B5861" t="str">
        <f t="shared" si="390"/>
        <v>VIA VIRGILIO BROCCHI  13-</v>
      </c>
      <c r="C5861" t="str">
        <f t="shared" si="391"/>
        <v>RIV</v>
      </c>
      <c r="D5861">
        <v>27</v>
      </c>
      <c r="E5861" t="str">
        <f t="shared" si="392"/>
        <v>572</v>
      </c>
      <c r="F5861" t="str">
        <f>"58"</f>
        <v>58</v>
      </c>
    </row>
    <row r="5862" spans="1:6">
      <c r="A5862" t="str">
        <f>"E1266-13"</f>
        <v>E1266-13</v>
      </c>
      <c r="B5862" t="str">
        <f t="shared" si="390"/>
        <v>VIA VIRGILIO BROCCHI  13-</v>
      </c>
      <c r="C5862" t="str">
        <f t="shared" si="391"/>
        <v>RIV</v>
      </c>
      <c r="D5862">
        <v>27</v>
      </c>
      <c r="E5862" t="str">
        <f t="shared" si="392"/>
        <v>572</v>
      </c>
      <c r="F5862" t="str">
        <f>"59"</f>
        <v>59</v>
      </c>
    </row>
    <row r="5863" spans="1:6">
      <c r="A5863" t="str">
        <f>"E1266-14"</f>
        <v>E1266-14</v>
      </c>
      <c r="B5863" t="str">
        <f t="shared" si="390"/>
        <v>VIA VIRGILIO BROCCHI  13-</v>
      </c>
      <c r="C5863" t="str">
        <f t="shared" si="391"/>
        <v>RIV</v>
      </c>
      <c r="D5863">
        <v>27</v>
      </c>
      <c r="E5863" t="str">
        <f t="shared" si="392"/>
        <v>572</v>
      </c>
      <c r="F5863" t="str">
        <f>"60"</f>
        <v>60</v>
      </c>
    </row>
    <row r="5864" spans="1:6">
      <c r="A5864" t="str">
        <f>"E1266-15"</f>
        <v>E1266-15</v>
      </c>
      <c r="B5864" t="str">
        <f t="shared" si="390"/>
        <v>VIA VIRGILIO BROCCHI  13-</v>
      </c>
      <c r="C5864" t="str">
        <f t="shared" si="391"/>
        <v>RIV</v>
      </c>
      <c r="D5864">
        <v>27</v>
      </c>
      <c r="E5864" t="str">
        <f t="shared" si="392"/>
        <v>572</v>
      </c>
      <c r="F5864" t="str">
        <f>"61"</f>
        <v>61</v>
      </c>
    </row>
    <row r="5865" spans="1:6">
      <c r="A5865" t="str">
        <f>"E1266-16"</f>
        <v>E1266-16</v>
      </c>
      <c r="B5865" t="str">
        <f t="shared" si="390"/>
        <v>VIA VIRGILIO BROCCHI  13-</v>
      </c>
      <c r="C5865" t="str">
        <f t="shared" si="391"/>
        <v>RIV</v>
      </c>
      <c r="D5865">
        <v>27</v>
      </c>
      <c r="E5865" t="str">
        <f t="shared" si="392"/>
        <v>572</v>
      </c>
      <c r="F5865" t="str">
        <f>"62"</f>
        <v>62</v>
      </c>
    </row>
    <row r="5866" spans="1:6">
      <c r="A5866" t="str">
        <f>"E1266-17"</f>
        <v>E1266-17</v>
      </c>
      <c r="B5866" t="str">
        <f t="shared" si="390"/>
        <v>VIA VIRGILIO BROCCHI  13-</v>
      </c>
      <c r="C5866" t="str">
        <f t="shared" si="391"/>
        <v>RIV</v>
      </c>
      <c r="D5866">
        <v>27</v>
      </c>
      <c r="E5866" t="str">
        <f t="shared" si="392"/>
        <v>572</v>
      </c>
      <c r="F5866" t="str">
        <f>"80"</f>
        <v>80</v>
      </c>
    </row>
    <row r="5867" spans="1:6">
      <c r="A5867" t="str">
        <f>"E1266-18"</f>
        <v>E1266-18</v>
      </c>
      <c r="B5867" t="str">
        <f t="shared" si="390"/>
        <v>VIA VIRGILIO BROCCHI  13-</v>
      </c>
      <c r="C5867" t="str">
        <f t="shared" si="391"/>
        <v>RIV</v>
      </c>
      <c r="D5867">
        <v>27</v>
      </c>
      <c r="E5867" t="str">
        <f t="shared" si="392"/>
        <v>572</v>
      </c>
      <c r="F5867" t="str">
        <f>"81"</f>
        <v>81</v>
      </c>
    </row>
    <row r="5868" spans="1:6">
      <c r="A5868" t="str">
        <f>"E1266-19"</f>
        <v>E1266-19</v>
      </c>
      <c r="B5868" t="str">
        <f t="shared" si="390"/>
        <v>VIA VIRGILIO BROCCHI  13-</v>
      </c>
      <c r="C5868" t="str">
        <f t="shared" si="391"/>
        <v>RIV</v>
      </c>
      <c r="D5868">
        <v>27</v>
      </c>
      <c r="E5868" t="str">
        <f t="shared" si="392"/>
        <v>572</v>
      </c>
      <c r="F5868" t="str">
        <f>"82"</f>
        <v>82</v>
      </c>
    </row>
    <row r="5869" spans="1:6">
      <c r="A5869" t="str">
        <f>"E1266-20"</f>
        <v>E1266-20</v>
      </c>
      <c r="B5869" t="str">
        <f t="shared" si="390"/>
        <v>VIA VIRGILIO BROCCHI  13-</v>
      </c>
      <c r="C5869" t="str">
        <f t="shared" si="391"/>
        <v>RIV</v>
      </c>
      <c r="D5869">
        <v>27</v>
      </c>
      <c r="E5869" t="str">
        <f t="shared" si="392"/>
        <v>572</v>
      </c>
      <c r="F5869" t="str">
        <f>"83"</f>
        <v>83</v>
      </c>
    </row>
    <row r="5870" spans="1:6">
      <c r="A5870" t="str">
        <f>"E1266-21"</f>
        <v>E1266-21</v>
      </c>
      <c r="B5870" t="str">
        <f t="shared" si="390"/>
        <v>VIA VIRGILIO BROCCHI  13-</v>
      </c>
      <c r="C5870" t="str">
        <f t="shared" si="391"/>
        <v>RIV</v>
      </c>
      <c r="D5870">
        <v>27</v>
      </c>
      <c r="E5870" t="str">
        <f t="shared" si="392"/>
        <v>572</v>
      </c>
      <c r="F5870" t="str">
        <f>"84"</f>
        <v>84</v>
      </c>
    </row>
    <row r="5871" spans="1:6">
      <c r="A5871" t="str">
        <f>"E1266-22"</f>
        <v>E1266-22</v>
      </c>
      <c r="B5871" t="str">
        <f t="shared" si="390"/>
        <v>VIA VIRGILIO BROCCHI  13-</v>
      </c>
      <c r="C5871" t="str">
        <f t="shared" si="391"/>
        <v>RIV</v>
      </c>
      <c r="D5871">
        <v>27</v>
      </c>
      <c r="E5871" t="str">
        <f t="shared" si="392"/>
        <v>572</v>
      </c>
      <c r="F5871" t="str">
        <f>"85"</f>
        <v>85</v>
      </c>
    </row>
    <row r="5872" spans="1:6">
      <c r="A5872" t="str">
        <f>"E1266-23"</f>
        <v>E1266-23</v>
      </c>
      <c r="B5872" t="str">
        <f t="shared" si="390"/>
        <v>VIA VIRGILIO BROCCHI  13-</v>
      </c>
      <c r="C5872" t="str">
        <f t="shared" si="391"/>
        <v>RIV</v>
      </c>
      <c r="D5872">
        <v>27</v>
      </c>
      <c r="E5872" t="str">
        <f t="shared" si="392"/>
        <v>572</v>
      </c>
      <c r="F5872" t="str">
        <f>"88"</f>
        <v>88</v>
      </c>
    </row>
    <row r="5873" spans="1:6">
      <c r="A5873" t="str">
        <f>"E1266-24"</f>
        <v>E1266-24</v>
      </c>
      <c r="B5873" t="str">
        <f t="shared" si="390"/>
        <v>VIA VIRGILIO BROCCHI  13-</v>
      </c>
      <c r="C5873" t="str">
        <f t="shared" si="391"/>
        <v>RIV</v>
      </c>
      <c r="D5873">
        <v>27</v>
      </c>
      <c r="E5873" t="str">
        <f t="shared" si="392"/>
        <v>572</v>
      </c>
      <c r="F5873" t="str">
        <f>"89"</f>
        <v>89</v>
      </c>
    </row>
    <row r="5874" spans="1:6">
      <c r="A5874" t="str">
        <f>"E1266-25"</f>
        <v>E1266-25</v>
      </c>
      <c r="B5874" t="str">
        <f t="shared" si="390"/>
        <v>VIA VIRGILIO BROCCHI  13-</v>
      </c>
      <c r="C5874" t="str">
        <f t="shared" si="391"/>
        <v>RIV</v>
      </c>
      <c r="D5874">
        <v>27</v>
      </c>
      <c r="E5874" t="str">
        <f t="shared" si="392"/>
        <v>572</v>
      </c>
      <c r="F5874" t="str">
        <f>"90"</f>
        <v>90</v>
      </c>
    </row>
    <row r="5875" spans="1:6">
      <c r="A5875" t="str">
        <f>"E1266-26"</f>
        <v>E1266-26</v>
      </c>
      <c r="B5875" t="str">
        <f t="shared" si="390"/>
        <v>VIA VIRGILIO BROCCHI  13-</v>
      </c>
      <c r="C5875" t="str">
        <f t="shared" si="391"/>
        <v>RIV</v>
      </c>
      <c r="D5875">
        <v>27</v>
      </c>
      <c r="E5875" t="str">
        <f t="shared" si="392"/>
        <v>572</v>
      </c>
      <c r="F5875" t="str">
        <f>"91"</f>
        <v>91</v>
      </c>
    </row>
    <row r="5876" spans="1:6">
      <c r="A5876" t="str">
        <f>"E1266-27"</f>
        <v>E1266-27</v>
      </c>
      <c r="B5876" t="str">
        <f t="shared" si="390"/>
        <v>VIA VIRGILIO BROCCHI  13-</v>
      </c>
      <c r="C5876" t="str">
        <f t="shared" si="391"/>
        <v>RIV</v>
      </c>
      <c r="D5876">
        <v>27</v>
      </c>
      <c r="E5876" t="str">
        <f t="shared" si="392"/>
        <v>572</v>
      </c>
      <c r="F5876" t="str">
        <f>"92"</f>
        <v>92</v>
      </c>
    </row>
    <row r="5877" spans="1:6">
      <c r="A5877" t="str">
        <f>"E1266-28"</f>
        <v>E1266-28</v>
      </c>
      <c r="B5877" t="str">
        <f t="shared" si="390"/>
        <v>VIA VIRGILIO BROCCHI  13-</v>
      </c>
      <c r="C5877" t="str">
        <f t="shared" si="391"/>
        <v>RIV</v>
      </c>
      <c r="D5877">
        <v>27</v>
      </c>
      <c r="E5877" t="str">
        <f t="shared" si="392"/>
        <v>572</v>
      </c>
      <c r="F5877" t="str">
        <f>"97"</f>
        <v>97</v>
      </c>
    </row>
    <row r="5878" spans="1:6">
      <c r="A5878" t="str">
        <f>"E1266-29"</f>
        <v>E1266-29</v>
      </c>
      <c r="B5878" t="str">
        <f t="shared" si="390"/>
        <v>VIA VIRGILIO BROCCHI  13-</v>
      </c>
      <c r="C5878" t="str">
        <f t="shared" si="391"/>
        <v>RIV</v>
      </c>
      <c r="D5878">
        <v>27</v>
      </c>
      <c r="E5878" t="str">
        <f t="shared" si="392"/>
        <v>572</v>
      </c>
      <c r="F5878" t="str">
        <f>"98"</f>
        <v>98</v>
      </c>
    </row>
    <row r="5879" spans="1:6">
      <c r="A5879" t="str">
        <f>"E1266-30"</f>
        <v>E1266-30</v>
      </c>
      <c r="B5879" t="str">
        <f t="shared" si="390"/>
        <v>VIA VIRGILIO BROCCHI  13-</v>
      </c>
      <c r="C5879" t="str">
        <f t="shared" si="391"/>
        <v>RIV</v>
      </c>
      <c r="D5879">
        <v>27</v>
      </c>
      <c r="E5879" t="str">
        <f t="shared" si="392"/>
        <v>572</v>
      </c>
      <c r="F5879" t="str">
        <f>"99"</f>
        <v>99</v>
      </c>
    </row>
    <row r="5880" spans="1:6">
      <c r="A5880" t="str">
        <f>"E1266-31"</f>
        <v>E1266-31</v>
      </c>
      <c r="B5880" t="str">
        <f t="shared" si="390"/>
        <v>VIA VIRGILIO BROCCHI  13-</v>
      </c>
      <c r="C5880" t="str">
        <f t="shared" si="391"/>
        <v>RIV</v>
      </c>
      <c r="D5880">
        <v>27</v>
      </c>
      <c r="E5880" t="str">
        <f t="shared" si="392"/>
        <v>572</v>
      </c>
      <c r="F5880" t="str">
        <f>"100"</f>
        <v>100</v>
      </c>
    </row>
    <row r="5881" spans="1:6">
      <c r="A5881" t="str">
        <f>"E1266-32"</f>
        <v>E1266-32</v>
      </c>
      <c r="B5881" t="str">
        <f t="shared" si="390"/>
        <v>VIA VIRGILIO BROCCHI  13-</v>
      </c>
      <c r="C5881" t="str">
        <f t="shared" si="391"/>
        <v>RIV</v>
      </c>
      <c r="D5881">
        <v>27</v>
      </c>
      <c r="E5881" t="str">
        <f t="shared" si="392"/>
        <v>572</v>
      </c>
      <c r="F5881" t="str">
        <f>"101"</f>
        <v>101</v>
      </c>
    </row>
    <row r="5882" spans="1:6">
      <c r="A5882" t="str">
        <f>"E1266-33"</f>
        <v>E1266-33</v>
      </c>
      <c r="B5882" t="str">
        <f t="shared" ref="B5882:B5910" si="393">"VIA VIRGILIO BROCCHI  13-"</f>
        <v>VIA VIRGILIO BROCCHI  13-</v>
      </c>
      <c r="C5882" t="str">
        <f t="shared" ref="C5882:C5913" si="394">"RIV"</f>
        <v>RIV</v>
      </c>
      <c r="D5882">
        <v>27</v>
      </c>
      <c r="E5882" t="str">
        <f t="shared" ref="E5882:E5913" si="395">"572"</f>
        <v>572</v>
      </c>
      <c r="F5882" t="str">
        <f>"106"</f>
        <v>106</v>
      </c>
    </row>
    <row r="5883" spans="1:6">
      <c r="A5883" t="str">
        <f>"E1266-34"</f>
        <v>E1266-34</v>
      </c>
      <c r="B5883" t="str">
        <f t="shared" si="393"/>
        <v>VIA VIRGILIO BROCCHI  13-</v>
      </c>
      <c r="C5883" t="str">
        <f t="shared" si="394"/>
        <v>RIV</v>
      </c>
      <c r="D5883">
        <v>27</v>
      </c>
      <c r="E5883" t="str">
        <f t="shared" si="395"/>
        <v>572</v>
      </c>
      <c r="F5883" t="str">
        <f>"107"</f>
        <v>107</v>
      </c>
    </row>
    <row r="5884" spans="1:6">
      <c r="A5884" t="str">
        <f>"E1266-35"</f>
        <v>E1266-35</v>
      </c>
      <c r="B5884" t="str">
        <f t="shared" si="393"/>
        <v>VIA VIRGILIO BROCCHI  13-</v>
      </c>
      <c r="C5884" t="str">
        <f t="shared" si="394"/>
        <v>RIV</v>
      </c>
      <c r="D5884">
        <v>27</v>
      </c>
      <c r="E5884" t="str">
        <f t="shared" si="395"/>
        <v>572</v>
      </c>
      <c r="F5884" t="str">
        <f>"108"</f>
        <v>108</v>
      </c>
    </row>
    <row r="5885" spans="1:6">
      <c r="A5885" t="str">
        <f>"E1266-36"</f>
        <v>E1266-36</v>
      </c>
      <c r="B5885" t="str">
        <f t="shared" si="393"/>
        <v>VIA VIRGILIO BROCCHI  13-</v>
      </c>
      <c r="C5885" t="str">
        <f t="shared" si="394"/>
        <v>RIV</v>
      </c>
      <c r="D5885">
        <v>27</v>
      </c>
      <c r="E5885" t="str">
        <f t="shared" si="395"/>
        <v>572</v>
      </c>
      <c r="F5885" t="str">
        <f>"109"</f>
        <v>109</v>
      </c>
    </row>
    <row r="5886" spans="1:6">
      <c r="A5886" t="str">
        <f>"E1266-36"</f>
        <v>E1266-36</v>
      </c>
      <c r="B5886" t="str">
        <f t="shared" si="393"/>
        <v>VIA VIRGILIO BROCCHI  13-</v>
      </c>
      <c r="C5886" t="str">
        <f t="shared" si="394"/>
        <v>RIV</v>
      </c>
      <c r="D5886">
        <v>27</v>
      </c>
      <c r="E5886" t="str">
        <f t="shared" si="395"/>
        <v>572</v>
      </c>
      <c r="F5886" t="str">
        <f>"110"</f>
        <v>110</v>
      </c>
    </row>
    <row r="5887" spans="1:6">
      <c r="A5887" t="str">
        <f>"E1266-37"</f>
        <v>E1266-37</v>
      </c>
      <c r="B5887" t="str">
        <f t="shared" si="393"/>
        <v>VIA VIRGILIO BROCCHI  13-</v>
      </c>
      <c r="C5887" t="str">
        <f t="shared" si="394"/>
        <v>RIV</v>
      </c>
      <c r="D5887">
        <v>27</v>
      </c>
      <c r="E5887" t="str">
        <f t="shared" si="395"/>
        <v>572</v>
      </c>
      <c r="F5887" t="str">
        <f>"115"</f>
        <v>115</v>
      </c>
    </row>
    <row r="5888" spans="1:6">
      <c r="A5888" t="str">
        <f>"E1266-38"</f>
        <v>E1266-38</v>
      </c>
      <c r="B5888" t="str">
        <f t="shared" si="393"/>
        <v>VIA VIRGILIO BROCCHI  13-</v>
      </c>
      <c r="C5888" t="str">
        <f t="shared" si="394"/>
        <v>RIV</v>
      </c>
      <c r="D5888">
        <v>27</v>
      </c>
      <c r="E5888" t="str">
        <f t="shared" si="395"/>
        <v>572</v>
      </c>
      <c r="F5888" t="str">
        <f>"116"</f>
        <v>116</v>
      </c>
    </row>
    <row r="5889" spans="1:6">
      <c r="A5889" t="str">
        <f>"E1266-39"</f>
        <v>E1266-39</v>
      </c>
      <c r="B5889" t="str">
        <f t="shared" si="393"/>
        <v>VIA VIRGILIO BROCCHI  13-</v>
      </c>
      <c r="C5889" t="str">
        <f t="shared" si="394"/>
        <v>RIV</v>
      </c>
      <c r="D5889">
        <v>27</v>
      </c>
      <c r="E5889" t="str">
        <f t="shared" si="395"/>
        <v>572</v>
      </c>
      <c r="F5889" t="str">
        <f>"117"</f>
        <v>117</v>
      </c>
    </row>
    <row r="5890" spans="1:6">
      <c r="A5890" t="str">
        <f>"E1266-40"</f>
        <v>E1266-40</v>
      </c>
      <c r="B5890" t="str">
        <f t="shared" si="393"/>
        <v>VIA VIRGILIO BROCCHI  13-</v>
      </c>
      <c r="C5890" t="str">
        <f t="shared" si="394"/>
        <v>RIV</v>
      </c>
      <c r="D5890">
        <v>27</v>
      </c>
      <c r="E5890" t="str">
        <f t="shared" si="395"/>
        <v>572</v>
      </c>
      <c r="F5890" t="str">
        <f>"118"</f>
        <v>118</v>
      </c>
    </row>
    <row r="5891" spans="1:6">
      <c r="A5891" t="str">
        <f>"E1266-41"</f>
        <v>E1266-41</v>
      </c>
      <c r="B5891" t="str">
        <f t="shared" si="393"/>
        <v>VIA VIRGILIO BROCCHI  13-</v>
      </c>
      <c r="C5891" t="str">
        <f t="shared" si="394"/>
        <v>RIV</v>
      </c>
      <c r="D5891">
        <v>27</v>
      </c>
      <c r="E5891" t="str">
        <f t="shared" si="395"/>
        <v>572</v>
      </c>
      <c r="F5891" t="str">
        <f>"119"</f>
        <v>119</v>
      </c>
    </row>
    <row r="5892" spans="1:6">
      <c r="A5892" t="str">
        <f>"E1266-42"</f>
        <v>E1266-42</v>
      </c>
      <c r="B5892" t="str">
        <f t="shared" si="393"/>
        <v>VIA VIRGILIO BROCCHI  13-</v>
      </c>
      <c r="C5892" t="str">
        <f t="shared" si="394"/>
        <v>RIV</v>
      </c>
      <c r="D5892">
        <v>27</v>
      </c>
      <c r="E5892" t="str">
        <f t="shared" si="395"/>
        <v>572</v>
      </c>
      <c r="F5892" t="str">
        <f>"142"</f>
        <v>142</v>
      </c>
    </row>
    <row r="5893" spans="1:6">
      <c r="A5893" t="str">
        <f>"E1266-43"</f>
        <v>E1266-43</v>
      </c>
      <c r="B5893" t="str">
        <f t="shared" si="393"/>
        <v>VIA VIRGILIO BROCCHI  13-</v>
      </c>
      <c r="C5893" t="str">
        <f t="shared" si="394"/>
        <v>RIV</v>
      </c>
      <c r="D5893">
        <v>27</v>
      </c>
      <c r="E5893" t="str">
        <f t="shared" si="395"/>
        <v>572</v>
      </c>
      <c r="F5893" t="str">
        <f>"143"</f>
        <v>143</v>
      </c>
    </row>
    <row r="5894" spans="1:6">
      <c r="A5894" t="str">
        <f>"E1266-44"</f>
        <v>E1266-44</v>
      </c>
      <c r="B5894" t="str">
        <f t="shared" si="393"/>
        <v>VIA VIRGILIO BROCCHI  13-</v>
      </c>
      <c r="C5894" t="str">
        <f t="shared" si="394"/>
        <v>RIV</v>
      </c>
      <c r="D5894">
        <v>27</v>
      </c>
      <c r="E5894" t="str">
        <f t="shared" si="395"/>
        <v>572</v>
      </c>
      <c r="F5894" t="str">
        <f>"144"</f>
        <v>144</v>
      </c>
    </row>
    <row r="5895" spans="1:6">
      <c r="A5895" t="str">
        <f>"E1266-45"</f>
        <v>E1266-45</v>
      </c>
      <c r="B5895" t="str">
        <f t="shared" si="393"/>
        <v>VIA VIRGILIO BROCCHI  13-</v>
      </c>
      <c r="C5895" t="str">
        <f t="shared" si="394"/>
        <v>RIV</v>
      </c>
      <c r="D5895">
        <v>27</v>
      </c>
      <c r="E5895" t="str">
        <f t="shared" si="395"/>
        <v>572</v>
      </c>
      <c r="F5895" t="str">
        <f>"145"</f>
        <v>145</v>
      </c>
    </row>
    <row r="5896" spans="1:6">
      <c r="A5896" t="str">
        <f>"E1266-46"</f>
        <v>E1266-46</v>
      </c>
      <c r="B5896" t="str">
        <f t="shared" si="393"/>
        <v>VIA VIRGILIO BROCCHI  13-</v>
      </c>
      <c r="C5896" t="str">
        <f t="shared" si="394"/>
        <v>RIV</v>
      </c>
      <c r="D5896">
        <v>27</v>
      </c>
      <c r="E5896" t="str">
        <f t="shared" si="395"/>
        <v>572</v>
      </c>
      <c r="F5896" t="str">
        <f>"146"</f>
        <v>146</v>
      </c>
    </row>
    <row r="5897" spans="1:6">
      <c r="A5897" t="str">
        <f>"E1266-47"</f>
        <v>E1266-47</v>
      </c>
      <c r="B5897" t="str">
        <f t="shared" si="393"/>
        <v>VIA VIRGILIO BROCCHI  13-</v>
      </c>
      <c r="C5897" t="str">
        <f t="shared" si="394"/>
        <v>RIV</v>
      </c>
      <c r="D5897">
        <v>27</v>
      </c>
      <c r="E5897" t="str">
        <f t="shared" si="395"/>
        <v>572</v>
      </c>
      <c r="F5897" t="str">
        <f>"169"</f>
        <v>169</v>
      </c>
    </row>
    <row r="5898" spans="1:6">
      <c r="A5898" t="str">
        <f>"E1266-48"</f>
        <v>E1266-48</v>
      </c>
      <c r="B5898" t="str">
        <f t="shared" si="393"/>
        <v>VIA VIRGILIO BROCCHI  13-</v>
      </c>
      <c r="C5898" t="str">
        <f t="shared" si="394"/>
        <v>RIV</v>
      </c>
      <c r="D5898">
        <v>27</v>
      </c>
      <c r="E5898" t="str">
        <f t="shared" si="395"/>
        <v>572</v>
      </c>
      <c r="F5898" t="str">
        <f>"170"</f>
        <v>170</v>
      </c>
    </row>
    <row r="5899" spans="1:6">
      <c r="A5899" t="str">
        <f>"E1266-49"</f>
        <v>E1266-49</v>
      </c>
      <c r="B5899" t="str">
        <f t="shared" si="393"/>
        <v>VIA VIRGILIO BROCCHI  13-</v>
      </c>
      <c r="C5899" t="str">
        <f t="shared" si="394"/>
        <v>RIV</v>
      </c>
      <c r="D5899">
        <v>27</v>
      </c>
      <c r="E5899" t="str">
        <f t="shared" si="395"/>
        <v>572</v>
      </c>
      <c r="F5899" t="str">
        <f>"171"</f>
        <v>171</v>
      </c>
    </row>
    <row r="5900" spans="1:6">
      <c r="A5900" t="str">
        <f>"E1266-50"</f>
        <v>E1266-50</v>
      </c>
      <c r="B5900" t="str">
        <f t="shared" si="393"/>
        <v>VIA VIRGILIO BROCCHI  13-</v>
      </c>
      <c r="C5900" t="str">
        <f t="shared" si="394"/>
        <v>RIV</v>
      </c>
      <c r="D5900">
        <v>27</v>
      </c>
      <c r="E5900" t="str">
        <f t="shared" si="395"/>
        <v>572</v>
      </c>
      <c r="F5900" t="str">
        <f>"172"</f>
        <v>172</v>
      </c>
    </row>
    <row r="5901" spans="1:6">
      <c r="A5901" t="str">
        <f>"E1266-51"</f>
        <v>E1266-51</v>
      </c>
      <c r="B5901" t="str">
        <f t="shared" si="393"/>
        <v>VIA VIRGILIO BROCCHI  13-</v>
      </c>
      <c r="C5901" t="str">
        <f t="shared" si="394"/>
        <v>RIV</v>
      </c>
      <c r="D5901">
        <v>27</v>
      </c>
      <c r="E5901" t="str">
        <f t="shared" si="395"/>
        <v>572</v>
      </c>
      <c r="F5901" t="str">
        <f>"178"</f>
        <v>178</v>
      </c>
    </row>
    <row r="5902" spans="1:6">
      <c r="A5902" t="str">
        <f>"E1266-52"</f>
        <v>E1266-52</v>
      </c>
      <c r="B5902" t="str">
        <f t="shared" si="393"/>
        <v>VIA VIRGILIO BROCCHI  13-</v>
      </c>
      <c r="C5902" t="str">
        <f t="shared" si="394"/>
        <v>RIV</v>
      </c>
      <c r="D5902">
        <v>27</v>
      </c>
      <c r="E5902" t="str">
        <f t="shared" si="395"/>
        <v>572</v>
      </c>
      <c r="F5902" t="str">
        <f>"179"</f>
        <v>179</v>
      </c>
    </row>
    <row r="5903" spans="1:6">
      <c r="A5903" t="str">
        <f>"E1266-53"</f>
        <v>E1266-53</v>
      </c>
      <c r="B5903" t="str">
        <f t="shared" si="393"/>
        <v>VIA VIRGILIO BROCCHI  13-</v>
      </c>
      <c r="C5903" t="str">
        <f t="shared" si="394"/>
        <v>RIV</v>
      </c>
      <c r="D5903">
        <v>27</v>
      </c>
      <c r="E5903" t="str">
        <f t="shared" si="395"/>
        <v>572</v>
      </c>
      <c r="F5903" t="str">
        <f>"180"</f>
        <v>180</v>
      </c>
    </row>
    <row r="5904" spans="1:6">
      <c r="A5904" t="str">
        <f>"E1266-54"</f>
        <v>E1266-54</v>
      </c>
      <c r="B5904" t="str">
        <f t="shared" si="393"/>
        <v>VIA VIRGILIO BROCCHI  13-</v>
      </c>
      <c r="C5904" t="str">
        <f t="shared" si="394"/>
        <v>RIV</v>
      </c>
      <c r="D5904">
        <v>27</v>
      </c>
      <c r="E5904" t="str">
        <f t="shared" si="395"/>
        <v>572</v>
      </c>
      <c r="F5904" t="str">
        <f>"181"</f>
        <v>181</v>
      </c>
    </row>
    <row r="5905" spans="1:6">
      <c r="A5905" t="str">
        <f>"E1266-55"</f>
        <v>E1266-55</v>
      </c>
      <c r="B5905" t="str">
        <f t="shared" si="393"/>
        <v>VIA VIRGILIO BROCCHI  13-</v>
      </c>
      <c r="C5905" t="str">
        <f t="shared" si="394"/>
        <v>RIV</v>
      </c>
      <c r="D5905">
        <v>27</v>
      </c>
      <c r="E5905" t="str">
        <f t="shared" si="395"/>
        <v>572</v>
      </c>
      <c r="F5905" t="str">
        <f>"182"</f>
        <v>182</v>
      </c>
    </row>
    <row r="5906" spans="1:6">
      <c r="A5906" t="str">
        <f>"E1266-56"</f>
        <v>E1266-56</v>
      </c>
      <c r="B5906" t="str">
        <f t="shared" si="393"/>
        <v>VIA VIRGILIO BROCCHI  13-</v>
      </c>
      <c r="C5906" t="str">
        <f t="shared" si="394"/>
        <v>RIV</v>
      </c>
      <c r="D5906">
        <v>27</v>
      </c>
      <c r="E5906" t="str">
        <f t="shared" si="395"/>
        <v>572</v>
      </c>
      <c r="F5906" t="str">
        <f>"192"</f>
        <v>192</v>
      </c>
    </row>
    <row r="5907" spans="1:6">
      <c r="A5907" t="str">
        <f>"E1266-57"</f>
        <v>E1266-57</v>
      </c>
      <c r="B5907" t="str">
        <f t="shared" si="393"/>
        <v>VIA VIRGILIO BROCCHI  13-</v>
      </c>
      <c r="C5907" t="str">
        <f t="shared" si="394"/>
        <v>RIV</v>
      </c>
      <c r="D5907">
        <v>27</v>
      </c>
      <c r="E5907" t="str">
        <f t="shared" si="395"/>
        <v>572</v>
      </c>
      <c r="F5907" t="str">
        <f>"193"</f>
        <v>193</v>
      </c>
    </row>
    <row r="5908" spans="1:6">
      <c r="A5908" t="str">
        <f>"E1266-58"</f>
        <v>E1266-58</v>
      </c>
      <c r="B5908" t="str">
        <f t="shared" si="393"/>
        <v>VIA VIRGILIO BROCCHI  13-</v>
      </c>
      <c r="C5908" t="str">
        <f t="shared" si="394"/>
        <v>RIV</v>
      </c>
      <c r="D5908">
        <v>27</v>
      </c>
      <c r="E5908" t="str">
        <f t="shared" si="395"/>
        <v>572</v>
      </c>
      <c r="F5908" t="str">
        <f>"194"</f>
        <v>194</v>
      </c>
    </row>
    <row r="5909" spans="1:6">
      <c r="A5909" t="str">
        <f>"E1266-59"</f>
        <v>E1266-59</v>
      </c>
      <c r="B5909" t="str">
        <f t="shared" si="393"/>
        <v>VIA VIRGILIO BROCCHI  13-</v>
      </c>
      <c r="C5909" t="str">
        <f t="shared" si="394"/>
        <v>RIV</v>
      </c>
      <c r="D5909">
        <v>27</v>
      </c>
      <c r="E5909" t="str">
        <f t="shared" si="395"/>
        <v>572</v>
      </c>
      <c r="F5909" t="str">
        <f>"195"</f>
        <v>195</v>
      </c>
    </row>
    <row r="5910" spans="1:6">
      <c r="A5910" t="str">
        <f>"E1266-60"</f>
        <v>E1266-60</v>
      </c>
      <c r="B5910" t="str">
        <f t="shared" si="393"/>
        <v>VIA VIRGILIO BROCCHI  13-</v>
      </c>
      <c r="C5910" t="str">
        <f t="shared" si="394"/>
        <v>RIV</v>
      </c>
      <c r="D5910">
        <v>27</v>
      </c>
      <c r="E5910" t="str">
        <f t="shared" si="395"/>
        <v>572</v>
      </c>
      <c r="F5910" t="str">
        <f>"196"</f>
        <v>196</v>
      </c>
    </row>
    <row r="5911" spans="1:6">
      <c r="A5911" t="str">
        <f>"E1266-61"</f>
        <v>E1266-61</v>
      </c>
      <c r="B5911" t="str">
        <f t="shared" ref="B5911:B5926" si="396">"VIA VIRGILIO BROCCHI  16-"</f>
        <v>VIA VIRGILIO BROCCHI  16-</v>
      </c>
      <c r="C5911" t="str">
        <f t="shared" si="394"/>
        <v>RIV</v>
      </c>
      <c r="D5911">
        <v>27</v>
      </c>
      <c r="E5911" t="str">
        <f t="shared" si="395"/>
        <v>572</v>
      </c>
      <c r="F5911" t="str">
        <f>"124"</f>
        <v>124</v>
      </c>
    </row>
    <row r="5912" spans="1:6">
      <c r="A5912" t="str">
        <f>"E1266-62"</f>
        <v>E1266-62</v>
      </c>
      <c r="B5912" t="str">
        <f t="shared" si="396"/>
        <v>VIA VIRGILIO BROCCHI  16-</v>
      </c>
      <c r="C5912" t="str">
        <f t="shared" si="394"/>
        <v>RIV</v>
      </c>
      <c r="D5912">
        <v>27</v>
      </c>
      <c r="E5912" t="str">
        <f t="shared" si="395"/>
        <v>572</v>
      </c>
      <c r="F5912" t="str">
        <f>"125"</f>
        <v>125</v>
      </c>
    </row>
    <row r="5913" spans="1:6">
      <c r="A5913" t="str">
        <f>"E1266-63"</f>
        <v>E1266-63</v>
      </c>
      <c r="B5913" t="str">
        <f t="shared" si="396"/>
        <v>VIA VIRGILIO BROCCHI  16-</v>
      </c>
      <c r="C5913" t="str">
        <f t="shared" si="394"/>
        <v>RIV</v>
      </c>
      <c r="D5913">
        <v>27</v>
      </c>
      <c r="E5913" t="str">
        <f t="shared" si="395"/>
        <v>572</v>
      </c>
      <c r="F5913" t="str">
        <f>"141"</f>
        <v>141</v>
      </c>
    </row>
    <row r="5914" spans="1:6">
      <c r="A5914" t="str">
        <f>"E1266-64"</f>
        <v>E1266-64</v>
      </c>
      <c r="B5914" t="str">
        <f t="shared" si="396"/>
        <v>VIA VIRGILIO BROCCHI  16-</v>
      </c>
      <c r="C5914" t="str">
        <f t="shared" ref="C5914:C5945" si="397">"RIV"</f>
        <v>RIV</v>
      </c>
      <c r="D5914">
        <v>27</v>
      </c>
      <c r="E5914" t="str">
        <f t="shared" ref="E5914:E5945" si="398">"572"</f>
        <v>572</v>
      </c>
      <c r="F5914" t="str">
        <f>"151"</f>
        <v>151</v>
      </c>
    </row>
    <row r="5915" spans="1:6">
      <c r="A5915" t="str">
        <f>"E1266-65"</f>
        <v>E1266-65</v>
      </c>
      <c r="B5915" t="str">
        <f t="shared" si="396"/>
        <v>VIA VIRGILIO BROCCHI  16-</v>
      </c>
      <c r="C5915" t="str">
        <f t="shared" si="397"/>
        <v>RIV</v>
      </c>
      <c r="D5915">
        <v>27</v>
      </c>
      <c r="E5915" t="str">
        <f t="shared" si="398"/>
        <v>572</v>
      </c>
      <c r="F5915" t="str">
        <f>"152"</f>
        <v>152</v>
      </c>
    </row>
    <row r="5916" spans="1:6">
      <c r="A5916" t="str">
        <f>"E1266-66"</f>
        <v>E1266-66</v>
      </c>
      <c r="B5916" t="str">
        <f t="shared" si="396"/>
        <v>VIA VIRGILIO BROCCHI  16-</v>
      </c>
      <c r="C5916" t="str">
        <f t="shared" si="397"/>
        <v>RIV</v>
      </c>
      <c r="D5916">
        <v>27</v>
      </c>
      <c r="E5916" t="str">
        <f t="shared" si="398"/>
        <v>572</v>
      </c>
      <c r="F5916" t="str">
        <f>"168"</f>
        <v>168</v>
      </c>
    </row>
    <row r="5917" spans="1:6">
      <c r="A5917" t="str">
        <f>"E1266-70"</f>
        <v>E1266-70</v>
      </c>
      <c r="B5917" t="str">
        <f t="shared" si="396"/>
        <v>VIA VIRGILIO BROCCHI  16-</v>
      </c>
      <c r="C5917" t="str">
        <f t="shared" si="397"/>
        <v>RIV</v>
      </c>
      <c r="D5917">
        <v>27</v>
      </c>
      <c r="E5917" t="str">
        <f t="shared" si="398"/>
        <v>572</v>
      </c>
      <c r="F5917" t="str">
        <f>"187"</f>
        <v>187</v>
      </c>
    </row>
    <row r="5918" spans="1:6">
      <c r="A5918" t="str">
        <f>"E1266-71"</f>
        <v>E1266-71</v>
      </c>
      <c r="B5918" t="str">
        <f t="shared" si="396"/>
        <v>VIA VIRGILIO BROCCHI  16-</v>
      </c>
      <c r="C5918" t="str">
        <f t="shared" si="397"/>
        <v>RIV</v>
      </c>
      <c r="D5918">
        <v>27</v>
      </c>
      <c r="E5918" t="str">
        <f t="shared" si="398"/>
        <v>572</v>
      </c>
      <c r="F5918" t="str">
        <f>"188"</f>
        <v>188</v>
      </c>
    </row>
    <row r="5919" spans="1:6">
      <c r="A5919" t="str">
        <f>"E1266-72"</f>
        <v>E1266-72</v>
      </c>
      <c r="B5919" t="str">
        <f t="shared" si="396"/>
        <v>VIA VIRGILIO BROCCHI  16-</v>
      </c>
      <c r="C5919" t="str">
        <f t="shared" si="397"/>
        <v>RIV</v>
      </c>
      <c r="D5919">
        <v>27</v>
      </c>
      <c r="E5919" t="str">
        <f t="shared" si="398"/>
        <v>572</v>
      </c>
      <c r="F5919" t="str">
        <f>"189"</f>
        <v>189</v>
      </c>
    </row>
    <row r="5920" spans="1:6">
      <c r="A5920" t="str">
        <f>"E1266-73"</f>
        <v>E1266-73</v>
      </c>
      <c r="B5920" t="str">
        <f t="shared" si="396"/>
        <v>VIA VIRGILIO BROCCHI  16-</v>
      </c>
      <c r="C5920" t="str">
        <f t="shared" si="397"/>
        <v>RIV</v>
      </c>
      <c r="D5920">
        <v>27</v>
      </c>
      <c r="E5920" t="str">
        <f t="shared" si="398"/>
        <v>572</v>
      </c>
      <c r="F5920" t="str">
        <f>"190"</f>
        <v>190</v>
      </c>
    </row>
    <row r="5921" spans="1:6">
      <c r="A5921" t="str">
        <f>"E1266-74"</f>
        <v>E1266-74</v>
      </c>
      <c r="B5921" t="str">
        <f t="shared" si="396"/>
        <v>VIA VIRGILIO BROCCHI  16-</v>
      </c>
      <c r="C5921" t="str">
        <f t="shared" si="397"/>
        <v>RIV</v>
      </c>
      <c r="D5921">
        <v>27</v>
      </c>
      <c r="E5921" t="str">
        <f t="shared" si="398"/>
        <v>572</v>
      </c>
      <c r="F5921" t="str">
        <f>"191"</f>
        <v>191</v>
      </c>
    </row>
    <row r="5922" spans="1:6">
      <c r="A5922" t="str">
        <f>"E1266-75"</f>
        <v>E1266-75</v>
      </c>
      <c r="B5922" t="str">
        <f t="shared" si="396"/>
        <v>VIA VIRGILIO BROCCHI  16-</v>
      </c>
      <c r="C5922" t="str">
        <f t="shared" si="397"/>
        <v>RIV</v>
      </c>
      <c r="D5922">
        <v>27</v>
      </c>
      <c r="E5922" t="str">
        <f t="shared" si="398"/>
        <v>572</v>
      </c>
      <c r="F5922" t="str">
        <f>"201"</f>
        <v>201</v>
      </c>
    </row>
    <row r="5923" spans="1:6">
      <c r="A5923" t="str">
        <f>"E1266-76"</f>
        <v>E1266-76</v>
      </c>
      <c r="B5923" t="str">
        <f t="shared" si="396"/>
        <v>VIA VIRGILIO BROCCHI  16-</v>
      </c>
      <c r="C5923" t="str">
        <f t="shared" si="397"/>
        <v>RIV</v>
      </c>
      <c r="D5923">
        <v>27</v>
      </c>
      <c r="E5923" t="str">
        <f t="shared" si="398"/>
        <v>572</v>
      </c>
      <c r="F5923" t="str">
        <f>"202"</f>
        <v>202</v>
      </c>
    </row>
    <row r="5924" spans="1:6">
      <c r="A5924" t="str">
        <f>"E1266-77"</f>
        <v>E1266-77</v>
      </c>
      <c r="B5924" t="str">
        <f t="shared" si="396"/>
        <v>VIA VIRGILIO BROCCHI  16-</v>
      </c>
      <c r="C5924" t="str">
        <f t="shared" si="397"/>
        <v>RIV</v>
      </c>
      <c r="D5924">
        <v>27</v>
      </c>
      <c r="E5924" t="str">
        <f t="shared" si="398"/>
        <v>572</v>
      </c>
      <c r="F5924" t="str">
        <f>"203"</f>
        <v>203</v>
      </c>
    </row>
    <row r="5925" spans="1:6">
      <c r="A5925" t="str">
        <f>"E1266-78"</f>
        <v>E1266-78</v>
      </c>
      <c r="B5925" t="str">
        <f t="shared" si="396"/>
        <v>VIA VIRGILIO BROCCHI  16-</v>
      </c>
      <c r="C5925" t="str">
        <f t="shared" si="397"/>
        <v>RIV</v>
      </c>
      <c r="D5925">
        <v>27</v>
      </c>
      <c r="E5925" t="str">
        <f t="shared" si="398"/>
        <v>572</v>
      </c>
      <c r="F5925" t="str">
        <f>"204"</f>
        <v>204</v>
      </c>
    </row>
    <row r="5926" spans="1:6">
      <c r="A5926" t="str">
        <f>"E1266-79"</f>
        <v>E1266-79</v>
      </c>
      <c r="B5926" t="str">
        <f t="shared" si="396"/>
        <v>VIA VIRGILIO BROCCHI  16-</v>
      </c>
      <c r="C5926" t="str">
        <f t="shared" si="397"/>
        <v>RIV</v>
      </c>
      <c r="D5926">
        <v>27</v>
      </c>
      <c r="E5926" t="str">
        <f t="shared" si="398"/>
        <v>572</v>
      </c>
      <c r="F5926" t="str">
        <f>"205"</f>
        <v>205</v>
      </c>
    </row>
    <row r="5927" spans="1:6">
      <c r="A5927" t="str">
        <f>"E1266-80"</f>
        <v>E1266-80</v>
      </c>
      <c r="B5927" t="str">
        <f t="shared" ref="B5927:B5957" si="399">"VIA VIRGILIO BROCCHI  18-"</f>
        <v>VIA VIRGILIO BROCCHI  18-</v>
      </c>
      <c r="C5927" t="str">
        <f t="shared" si="397"/>
        <v>RIV</v>
      </c>
      <c r="D5927">
        <v>27</v>
      </c>
      <c r="E5927" t="str">
        <f t="shared" si="398"/>
        <v>572</v>
      </c>
      <c r="F5927" t="str">
        <f>"86"</f>
        <v>86</v>
      </c>
    </row>
    <row r="5928" spans="1:6">
      <c r="A5928" t="str">
        <f>"E1266-81"</f>
        <v>E1266-81</v>
      </c>
      <c r="B5928" t="str">
        <f t="shared" si="399"/>
        <v>VIA VIRGILIO BROCCHI  18-</v>
      </c>
      <c r="C5928" t="str">
        <f t="shared" si="397"/>
        <v>RIV</v>
      </c>
      <c r="D5928">
        <v>27</v>
      </c>
      <c r="E5928" t="str">
        <f t="shared" si="398"/>
        <v>572</v>
      </c>
      <c r="F5928" t="str">
        <f>"87"</f>
        <v>87</v>
      </c>
    </row>
    <row r="5929" spans="1:6">
      <c r="A5929" t="str">
        <f>"E1266-82"</f>
        <v>E1266-82</v>
      </c>
      <c r="B5929" t="str">
        <f t="shared" si="399"/>
        <v>VIA VIRGILIO BROCCHI  18-</v>
      </c>
      <c r="C5929" t="str">
        <f t="shared" si="397"/>
        <v>RIV</v>
      </c>
      <c r="D5929">
        <v>27</v>
      </c>
      <c r="E5929" t="str">
        <f t="shared" si="398"/>
        <v>572</v>
      </c>
      <c r="F5929" t="str">
        <f>"93"</f>
        <v>93</v>
      </c>
    </row>
    <row r="5930" spans="1:6">
      <c r="A5930" t="str">
        <f>"E1266-83"</f>
        <v>E1266-83</v>
      </c>
      <c r="B5930" t="str">
        <f t="shared" si="399"/>
        <v>VIA VIRGILIO BROCCHI  18-</v>
      </c>
      <c r="C5930" t="str">
        <f t="shared" si="397"/>
        <v>RIV</v>
      </c>
      <c r="D5930">
        <v>27</v>
      </c>
      <c r="E5930" t="str">
        <f t="shared" si="398"/>
        <v>572</v>
      </c>
      <c r="F5930" t="str">
        <f>"94"</f>
        <v>94</v>
      </c>
    </row>
    <row r="5931" spans="1:6">
      <c r="A5931" t="str">
        <f>"E1266-84"</f>
        <v>E1266-84</v>
      </c>
      <c r="B5931" t="str">
        <f t="shared" si="399"/>
        <v>VIA VIRGILIO BROCCHI  18-</v>
      </c>
      <c r="C5931" t="str">
        <f t="shared" si="397"/>
        <v>RIV</v>
      </c>
      <c r="D5931">
        <v>27</v>
      </c>
      <c r="E5931" t="str">
        <f t="shared" si="398"/>
        <v>572</v>
      </c>
      <c r="F5931" t="str">
        <f>"95"</f>
        <v>95</v>
      </c>
    </row>
    <row r="5932" spans="1:6">
      <c r="A5932" t="str">
        <f>"E1266-85"</f>
        <v>E1266-85</v>
      </c>
      <c r="B5932" t="str">
        <f t="shared" si="399"/>
        <v>VIA VIRGILIO BROCCHI  18-</v>
      </c>
      <c r="C5932" t="str">
        <f t="shared" si="397"/>
        <v>RIV</v>
      </c>
      <c r="D5932">
        <v>27</v>
      </c>
      <c r="E5932" t="str">
        <f t="shared" si="398"/>
        <v>572</v>
      </c>
      <c r="F5932" t="str">
        <f>"96"</f>
        <v>96</v>
      </c>
    </row>
    <row r="5933" spans="1:6">
      <c r="A5933" t="str">
        <f>"E1266-86"</f>
        <v>E1266-86</v>
      </c>
      <c r="B5933" t="str">
        <f t="shared" si="399"/>
        <v>VIA VIRGILIO BROCCHI  18-</v>
      </c>
      <c r="C5933" t="str">
        <f t="shared" si="397"/>
        <v>RIV</v>
      </c>
      <c r="D5933">
        <v>27</v>
      </c>
      <c r="E5933" t="str">
        <f t="shared" si="398"/>
        <v>572</v>
      </c>
      <c r="F5933" t="str">
        <f>"102"</f>
        <v>102</v>
      </c>
    </row>
    <row r="5934" spans="1:6">
      <c r="A5934" t="str">
        <f>"E1266-87"</f>
        <v>E1266-87</v>
      </c>
      <c r="B5934" t="str">
        <f t="shared" si="399"/>
        <v>VIA VIRGILIO BROCCHI  18-</v>
      </c>
      <c r="C5934" t="str">
        <f t="shared" si="397"/>
        <v>RIV</v>
      </c>
      <c r="D5934">
        <v>27</v>
      </c>
      <c r="E5934" t="str">
        <f t="shared" si="398"/>
        <v>572</v>
      </c>
      <c r="F5934" t="str">
        <f>"103"</f>
        <v>103</v>
      </c>
    </row>
    <row r="5935" spans="1:6">
      <c r="A5935" t="str">
        <f>"E1266-88"</f>
        <v>E1266-88</v>
      </c>
      <c r="B5935" t="str">
        <f t="shared" si="399"/>
        <v>VIA VIRGILIO BROCCHI  18-</v>
      </c>
      <c r="C5935" t="str">
        <f t="shared" si="397"/>
        <v>RIV</v>
      </c>
      <c r="D5935">
        <v>27</v>
      </c>
      <c r="E5935" t="str">
        <f t="shared" si="398"/>
        <v>572</v>
      </c>
      <c r="F5935" t="str">
        <f>"104"</f>
        <v>104</v>
      </c>
    </row>
    <row r="5936" spans="1:6">
      <c r="A5936" t="str">
        <f>"E1266-89"</f>
        <v>E1266-89</v>
      </c>
      <c r="B5936" t="str">
        <f t="shared" si="399"/>
        <v>VIA VIRGILIO BROCCHI  18-</v>
      </c>
      <c r="C5936" t="str">
        <f t="shared" si="397"/>
        <v>RIV</v>
      </c>
      <c r="D5936">
        <v>27</v>
      </c>
      <c r="E5936" t="str">
        <f t="shared" si="398"/>
        <v>572</v>
      </c>
      <c r="F5936" t="str">
        <f>"105"</f>
        <v>105</v>
      </c>
    </row>
    <row r="5937" spans="1:6">
      <c r="A5937" t="str">
        <f>"E1266-90"</f>
        <v>E1266-90</v>
      </c>
      <c r="B5937" t="str">
        <f t="shared" si="399"/>
        <v>VIA VIRGILIO BROCCHI  18-</v>
      </c>
      <c r="C5937" t="str">
        <f t="shared" si="397"/>
        <v>RIV</v>
      </c>
      <c r="D5937">
        <v>27</v>
      </c>
      <c r="E5937" t="str">
        <f t="shared" si="398"/>
        <v>572</v>
      </c>
      <c r="F5937" t="str">
        <f>"111"</f>
        <v>111</v>
      </c>
    </row>
    <row r="5938" spans="1:6">
      <c r="A5938" t="str">
        <f>"E1266-91"</f>
        <v>E1266-91</v>
      </c>
      <c r="B5938" t="str">
        <f t="shared" si="399"/>
        <v>VIA VIRGILIO BROCCHI  18-</v>
      </c>
      <c r="C5938" t="str">
        <f t="shared" si="397"/>
        <v>RIV</v>
      </c>
      <c r="D5938">
        <v>27</v>
      </c>
      <c r="E5938" t="str">
        <f t="shared" si="398"/>
        <v>572</v>
      </c>
      <c r="F5938" t="str">
        <f>"112"</f>
        <v>112</v>
      </c>
    </row>
    <row r="5939" spans="1:6">
      <c r="A5939" t="str">
        <f>"E1266-92"</f>
        <v>E1266-92</v>
      </c>
      <c r="B5939" t="str">
        <f t="shared" si="399"/>
        <v>VIA VIRGILIO BROCCHI  18-</v>
      </c>
      <c r="C5939" t="str">
        <f t="shared" si="397"/>
        <v>RIV</v>
      </c>
      <c r="D5939">
        <v>27</v>
      </c>
      <c r="E5939" t="str">
        <f t="shared" si="398"/>
        <v>572</v>
      </c>
      <c r="F5939" t="str">
        <f>"113"</f>
        <v>113</v>
      </c>
    </row>
    <row r="5940" spans="1:6">
      <c r="A5940" t="str">
        <f>"E1266-93"</f>
        <v>E1266-93</v>
      </c>
      <c r="B5940" t="str">
        <f t="shared" si="399"/>
        <v>VIA VIRGILIO BROCCHI  18-</v>
      </c>
      <c r="C5940" t="str">
        <f t="shared" si="397"/>
        <v>RIV</v>
      </c>
      <c r="D5940">
        <v>27</v>
      </c>
      <c r="E5940" t="str">
        <f t="shared" si="398"/>
        <v>572</v>
      </c>
      <c r="F5940" t="str">
        <f>"114"</f>
        <v>114</v>
      </c>
    </row>
    <row r="5941" spans="1:6">
      <c r="A5941" t="str">
        <f>"E1266-94"</f>
        <v>E1266-94</v>
      </c>
      <c r="B5941" t="str">
        <f t="shared" si="399"/>
        <v>VIA VIRGILIO BROCCHI  18-</v>
      </c>
      <c r="C5941" t="str">
        <f t="shared" si="397"/>
        <v>RIV</v>
      </c>
      <c r="D5941">
        <v>27</v>
      </c>
      <c r="E5941" t="str">
        <f t="shared" si="398"/>
        <v>572</v>
      </c>
      <c r="F5941" t="str">
        <f>"120"</f>
        <v>120</v>
      </c>
    </row>
    <row r="5942" spans="1:6">
      <c r="A5942" t="str">
        <f>"E1266-95"</f>
        <v>E1266-95</v>
      </c>
      <c r="B5942" t="str">
        <f t="shared" si="399"/>
        <v>VIA VIRGILIO BROCCHI  18-</v>
      </c>
      <c r="C5942" t="str">
        <f t="shared" si="397"/>
        <v>RIV</v>
      </c>
      <c r="D5942">
        <v>27</v>
      </c>
      <c r="E5942" t="str">
        <f t="shared" si="398"/>
        <v>572</v>
      </c>
      <c r="F5942" t="str">
        <f>"121"</f>
        <v>121</v>
      </c>
    </row>
    <row r="5943" spans="1:6">
      <c r="A5943" t="str">
        <f>"E1266-96"</f>
        <v>E1266-96</v>
      </c>
      <c r="B5943" t="str">
        <f t="shared" si="399"/>
        <v>VIA VIRGILIO BROCCHI  18-</v>
      </c>
      <c r="C5943" t="str">
        <f t="shared" si="397"/>
        <v>RIV</v>
      </c>
      <c r="D5943">
        <v>27</v>
      </c>
      <c r="E5943" t="str">
        <f t="shared" si="398"/>
        <v>572</v>
      </c>
      <c r="F5943" t="str">
        <f>"122"</f>
        <v>122</v>
      </c>
    </row>
    <row r="5944" spans="1:6">
      <c r="A5944" t="str">
        <f>"E1266-97"</f>
        <v>E1266-97</v>
      </c>
      <c r="B5944" t="str">
        <f t="shared" si="399"/>
        <v>VIA VIRGILIO BROCCHI  18-</v>
      </c>
      <c r="C5944" t="str">
        <f t="shared" si="397"/>
        <v>RIV</v>
      </c>
      <c r="D5944">
        <v>27</v>
      </c>
      <c r="E5944" t="str">
        <f t="shared" si="398"/>
        <v>572</v>
      </c>
      <c r="F5944" t="str">
        <f>"123"</f>
        <v>123</v>
      </c>
    </row>
    <row r="5945" spans="1:6">
      <c r="A5945" t="str">
        <f>"E1266-98"</f>
        <v>E1266-98</v>
      </c>
      <c r="B5945" t="str">
        <f t="shared" si="399"/>
        <v>VIA VIRGILIO BROCCHI  18-</v>
      </c>
      <c r="C5945" t="str">
        <f t="shared" si="397"/>
        <v>RIV</v>
      </c>
      <c r="D5945">
        <v>27</v>
      </c>
      <c r="E5945" t="str">
        <f t="shared" si="398"/>
        <v>572</v>
      </c>
      <c r="F5945" t="str">
        <f>"147"</f>
        <v>147</v>
      </c>
    </row>
    <row r="5946" spans="1:6">
      <c r="A5946" t="str">
        <f>"E1266-99"</f>
        <v>E1266-99</v>
      </c>
      <c r="B5946" t="str">
        <f t="shared" si="399"/>
        <v>VIA VIRGILIO BROCCHI  18-</v>
      </c>
      <c r="C5946" t="str">
        <f t="shared" ref="C5946:C5957" si="400">"RIV"</f>
        <v>RIV</v>
      </c>
      <c r="D5946">
        <v>27</v>
      </c>
      <c r="E5946" t="str">
        <f t="shared" ref="E5946:E5957" si="401">"572"</f>
        <v>572</v>
      </c>
      <c r="F5946" t="str">
        <f>"148"</f>
        <v>148</v>
      </c>
    </row>
    <row r="5947" spans="1:6">
      <c r="A5947" t="str">
        <f>"E1266-100"</f>
        <v>E1266-100</v>
      </c>
      <c r="B5947" t="str">
        <f t="shared" si="399"/>
        <v>VIA VIRGILIO BROCCHI  18-</v>
      </c>
      <c r="C5947" t="str">
        <f t="shared" si="400"/>
        <v>RIV</v>
      </c>
      <c r="D5947">
        <v>27</v>
      </c>
      <c r="E5947" t="str">
        <f t="shared" si="401"/>
        <v>572</v>
      </c>
      <c r="F5947" t="str">
        <f>"149"</f>
        <v>149</v>
      </c>
    </row>
    <row r="5948" spans="1:6">
      <c r="A5948" t="str">
        <f>"E1266-101"</f>
        <v>E1266-101</v>
      </c>
      <c r="B5948" t="str">
        <f t="shared" si="399"/>
        <v>VIA VIRGILIO BROCCHI  18-</v>
      </c>
      <c r="C5948" t="str">
        <f t="shared" si="400"/>
        <v>RIV</v>
      </c>
      <c r="D5948">
        <v>27</v>
      </c>
      <c r="E5948" t="str">
        <f t="shared" si="401"/>
        <v>572</v>
      </c>
      <c r="F5948" t="str">
        <f>"150"</f>
        <v>150</v>
      </c>
    </row>
    <row r="5949" spans="1:6">
      <c r="A5949" t="str">
        <f>"E1266-102"</f>
        <v>E1266-102</v>
      </c>
      <c r="B5949" t="str">
        <f t="shared" si="399"/>
        <v>VIA VIRGILIO BROCCHI  18-</v>
      </c>
      <c r="C5949" t="str">
        <f t="shared" si="400"/>
        <v>RIV</v>
      </c>
      <c r="D5949">
        <v>27</v>
      </c>
      <c r="E5949" t="str">
        <f t="shared" si="401"/>
        <v>572</v>
      </c>
      <c r="F5949" t="str">
        <f>"173"</f>
        <v>173</v>
      </c>
    </row>
    <row r="5950" spans="1:6">
      <c r="A5950" t="str">
        <f>"E1266-103"</f>
        <v>E1266-103</v>
      </c>
      <c r="B5950" t="str">
        <f t="shared" si="399"/>
        <v>VIA VIRGILIO BROCCHI  18-</v>
      </c>
      <c r="C5950" t="str">
        <f t="shared" si="400"/>
        <v>RIV</v>
      </c>
      <c r="D5950">
        <v>27</v>
      </c>
      <c r="E5950" t="str">
        <f t="shared" si="401"/>
        <v>572</v>
      </c>
      <c r="F5950" t="str">
        <f>"183"</f>
        <v>183</v>
      </c>
    </row>
    <row r="5951" spans="1:6">
      <c r="A5951" t="str">
        <f>"E1266-104"</f>
        <v>E1266-104</v>
      </c>
      <c r="B5951" t="str">
        <f t="shared" si="399"/>
        <v>VIA VIRGILIO BROCCHI  18-</v>
      </c>
      <c r="C5951" t="str">
        <f t="shared" si="400"/>
        <v>RIV</v>
      </c>
      <c r="D5951">
        <v>27</v>
      </c>
      <c r="E5951" t="str">
        <f t="shared" si="401"/>
        <v>572</v>
      </c>
      <c r="F5951" t="str">
        <f>"184"</f>
        <v>184</v>
      </c>
    </row>
    <row r="5952" spans="1:6">
      <c r="A5952" t="str">
        <f>"E1266-105"</f>
        <v>E1266-105</v>
      </c>
      <c r="B5952" t="str">
        <f t="shared" si="399"/>
        <v>VIA VIRGILIO BROCCHI  18-</v>
      </c>
      <c r="C5952" t="str">
        <f t="shared" si="400"/>
        <v>RIV</v>
      </c>
      <c r="D5952">
        <v>27</v>
      </c>
      <c r="E5952" t="str">
        <f t="shared" si="401"/>
        <v>572</v>
      </c>
      <c r="F5952" t="str">
        <f>"185"</f>
        <v>185</v>
      </c>
    </row>
    <row r="5953" spans="1:6">
      <c r="A5953" t="str">
        <f>"E1266-106"</f>
        <v>E1266-106</v>
      </c>
      <c r="B5953" t="str">
        <f t="shared" si="399"/>
        <v>VIA VIRGILIO BROCCHI  18-</v>
      </c>
      <c r="C5953" t="str">
        <f t="shared" si="400"/>
        <v>RIV</v>
      </c>
      <c r="D5953">
        <v>27</v>
      </c>
      <c r="E5953" t="str">
        <f t="shared" si="401"/>
        <v>572</v>
      </c>
      <c r="F5953" t="str">
        <f>"186"</f>
        <v>186</v>
      </c>
    </row>
    <row r="5954" spans="1:6">
      <c r="A5954" t="str">
        <f>"E1266-107"</f>
        <v>E1266-107</v>
      </c>
      <c r="B5954" t="str">
        <f t="shared" si="399"/>
        <v>VIA VIRGILIO BROCCHI  18-</v>
      </c>
      <c r="C5954" t="str">
        <f t="shared" si="400"/>
        <v>RIV</v>
      </c>
      <c r="D5954">
        <v>27</v>
      </c>
      <c r="E5954" t="str">
        <f t="shared" si="401"/>
        <v>572</v>
      </c>
      <c r="F5954" t="str">
        <f>"197"</f>
        <v>197</v>
      </c>
    </row>
    <row r="5955" spans="1:6">
      <c r="A5955" t="str">
        <f>"E1266-108"</f>
        <v>E1266-108</v>
      </c>
      <c r="B5955" t="str">
        <f t="shared" si="399"/>
        <v>VIA VIRGILIO BROCCHI  18-</v>
      </c>
      <c r="C5955" t="str">
        <f t="shared" si="400"/>
        <v>RIV</v>
      </c>
      <c r="D5955">
        <v>27</v>
      </c>
      <c r="E5955" t="str">
        <f t="shared" si="401"/>
        <v>572</v>
      </c>
      <c r="F5955" t="str">
        <f>"198"</f>
        <v>198</v>
      </c>
    </row>
    <row r="5956" spans="1:6">
      <c r="A5956" t="str">
        <f>"E1266-109"</f>
        <v>E1266-109</v>
      </c>
      <c r="B5956" t="str">
        <f t="shared" si="399"/>
        <v>VIA VIRGILIO BROCCHI  18-</v>
      </c>
      <c r="C5956" t="str">
        <f t="shared" si="400"/>
        <v>RIV</v>
      </c>
      <c r="D5956">
        <v>27</v>
      </c>
      <c r="E5956" t="str">
        <f t="shared" si="401"/>
        <v>572</v>
      </c>
      <c r="F5956" t="str">
        <f>"199"</f>
        <v>199</v>
      </c>
    </row>
    <row r="5957" spans="1:6">
      <c r="A5957" t="str">
        <f>"E1266-110"</f>
        <v>E1266-110</v>
      </c>
      <c r="B5957" t="str">
        <f t="shared" si="399"/>
        <v>VIA VIRGILIO BROCCHI  18-</v>
      </c>
      <c r="C5957" t="str">
        <f t="shared" si="400"/>
        <v>RIV</v>
      </c>
      <c r="D5957">
        <v>27</v>
      </c>
      <c r="E5957" t="str">
        <f t="shared" si="401"/>
        <v>572</v>
      </c>
      <c r="F5957" t="str">
        <f>"200"</f>
        <v>200</v>
      </c>
    </row>
    <row r="5958" spans="1:6">
      <c r="A5958" t="str">
        <f>"E1266-111"</f>
        <v>E1266-111</v>
      </c>
      <c r="B5958" t="str">
        <f t="shared" ref="B5958:B5989" si="402">"VIA VIRGILIO BROCCHI  13-"</f>
        <v>VIA VIRGILIO BROCCHI  13-</v>
      </c>
      <c r="C5958" t="str">
        <f t="shared" ref="C5958:C5989" si="403">"4"</f>
        <v>4</v>
      </c>
      <c r="D5958">
        <v>27</v>
      </c>
      <c r="E5958" t="str">
        <f t="shared" ref="E5958:E5989" si="404">"1598"</f>
        <v>1598</v>
      </c>
      <c r="F5958" t="str">
        <f t="shared" ref="F5958:F5989" si="405">"0000"</f>
        <v>0000</v>
      </c>
    </row>
    <row r="5959" spans="1:6">
      <c r="A5959" t="str">
        <f>"E1266-112"</f>
        <v>E1266-112</v>
      </c>
      <c r="B5959" t="str">
        <f t="shared" si="402"/>
        <v>VIA VIRGILIO BROCCHI  13-</v>
      </c>
      <c r="C5959" t="str">
        <f t="shared" si="403"/>
        <v>4</v>
      </c>
      <c r="D5959">
        <v>27</v>
      </c>
      <c r="E5959" t="str">
        <f t="shared" si="404"/>
        <v>1598</v>
      </c>
      <c r="F5959" t="str">
        <f t="shared" si="405"/>
        <v>0000</v>
      </c>
    </row>
    <row r="5960" spans="1:6">
      <c r="A5960" t="str">
        <f>"E1266-113"</f>
        <v>E1266-113</v>
      </c>
      <c r="B5960" t="str">
        <f t="shared" si="402"/>
        <v>VIA VIRGILIO BROCCHI  13-</v>
      </c>
      <c r="C5960" t="str">
        <f t="shared" si="403"/>
        <v>4</v>
      </c>
      <c r="D5960">
        <v>27</v>
      </c>
      <c r="E5960" t="str">
        <f t="shared" si="404"/>
        <v>1598</v>
      </c>
      <c r="F5960" t="str">
        <f t="shared" si="405"/>
        <v>0000</v>
      </c>
    </row>
    <row r="5961" spans="1:6">
      <c r="A5961" t="str">
        <f>"E1266-114"</f>
        <v>E1266-114</v>
      </c>
      <c r="B5961" t="str">
        <f t="shared" si="402"/>
        <v>VIA VIRGILIO BROCCHI  13-</v>
      </c>
      <c r="C5961" t="str">
        <f t="shared" si="403"/>
        <v>4</v>
      </c>
      <c r="D5961">
        <v>27</v>
      </c>
      <c r="E5961" t="str">
        <f t="shared" si="404"/>
        <v>1598</v>
      </c>
      <c r="F5961" t="str">
        <f t="shared" si="405"/>
        <v>0000</v>
      </c>
    </row>
    <row r="5962" spans="1:6">
      <c r="A5962" t="str">
        <f>"E1266-115"</f>
        <v>E1266-115</v>
      </c>
      <c r="B5962" t="str">
        <f t="shared" si="402"/>
        <v>VIA VIRGILIO BROCCHI  13-</v>
      </c>
      <c r="C5962" t="str">
        <f t="shared" si="403"/>
        <v>4</v>
      </c>
      <c r="D5962">
        <v>27</v>
      </c>
      <c r="E5962" t="str">
        <f t="shared" si="404"/>
        <v>1598</v>
      </c>
      <c r="F5962" t="str">
        <f t="shared" si="405"/>
        <v>0000</v>
      </c>
    </row>
    <row r="5963" spans="1:6">
      <c r="A5963" t="str">
        <f>"E1266-116"</f>
        <v>E1266-116</v>
      </c>
      <c r="B5963" t="str">
        <f t="shared" si="402"/>
        <v>VIA VIRGILIO BROCCHI  13-</v>
      </c>
      <c r="C5963" t="str">
        <f t="shared" si="403"/>
        <v>4</v>
      </c>
      <c r="D5963">
        <v>27</v>
      </c>
      <c r="E5963" t="str">
        <f t="shared" si="404"/>
        <v>1598</v>
      </c>
      <c r="F5963" t="str">
        <f t="shared" si="405"/>
        <v>0000</v>
      </c>
    </row>
    <row r="5964" spans="1:6">
      <c r="A5964" t="str">
        <f>"E1266-117"</f>
        <v>E1266-117</v>
      </c>
      <c r="B5964" t="str">
        <f t="shared" si="402"/>
        <v>VIA VIRGILIO BROCCHI  13-</v>
      </c>
      <c r="C5964" t="str">
        <f t="shared" si="403"/>
        <v>4</v>
      </c>
      <c r="D5964">
        <v>27</v>
      </c>
      <c r="E5964" t="str">
        <f t="shared" si="404"/>
        <v>1598</v>
      </c>
      <c r="F5964" t="str">
        <f t="shared" si="405"/>
        <v>0000</v>
      </c>
    </row>
    <row r="5965" spans="1:6">
      <c r="A5965" t="str">
        <f>"E1266-118"</f>
        <v>E1266-118</v>
      </c>
      <c r="B5965" t="str">
        <f t="shared" si="402"/>
        <v>VIA VIRGILIO BROCCHI  13-</v>
      </c>
      <c r="C5965" t="str">
        <f t="shared" si="403"/>
        <v>4</v>
      </c>
      <c r="D5965">
        <v>27</v>
      </c>
      <c r="E5965" t="str">
        <f t="shared" si="404"/>
        <v>1598</v>
      </c>
      <c r="F5965" t="str">
        <f t="shared" si="405"/>
        <v>0000</v>
      </c>
    </row>
    <row r="5966" spans="1:6">
      <c r="A5966" t="str">
        <f>"E1266-119"</f>
        <v>E1266-119</v>
      </c>
      <c r="B5966" t="str">
        <f t="shared" si="402"/>
        <v>VIA VIRGILIO BROCCHI  13-</v>
      </c>
      <c r="C5966" t="str">
        <f t="shared" si="403"/>
        <v>4</v>
      </c>
      <c r="D5966">
        <v>27</v>
      </c>
      <c r="E5966" t="str">
        <f t="shared" si="404"/>
        <v>1598</v>
      </c>
      <c r="F5966" t="str">
        <f t="shared" si="405"/>
        <v>0000</v>
      </c>
    </row>
    <row r="5967" spans="1:6">
      <c r="A5967" t="str">
        <f>"E1266-120"</f>
        <v>E1266-120</v>
      </c>
      <c r="B5967" t="str">
        <f t="shared" si="402"/>
        <v>VIA VIRGILIO BROCCHI  13-</v>
      </c>
      <c r="C5967" t="str">
        <f t="shared" si="403"/>
        <v>4</v>
      </c>
      <c r="D5967">
        <v>27</v>
      </c>
      <c r="E5967" t="str">
        <f t="shared" si="404"/>
        <v>1598</v>
      </c>
      <c r="F5967" t="str">
        <f t="shared" si="405"/>
        <v>0000</v>
      </c>
    </row>
    <row r="5968" spans="1:6">
      <c r="A5968" t="str">
        <f>"E1266-121"</f>
        <v>E1266-121</v>
      </c>
      <c r="B5968" t="str">
        <f t="shared" si="402"/>
        <v>VIA VIRGILIO BROCCHI  13-</v>
      </c>
      <c r="C5968" t="str">
        <f t="shared" si="403"/>
        <v>4</v>
      </c>
      <c r="D5968">
        <v>27</v>
      </c>
      <c r="E5968" t="str">
        <f t="shared" si="404"/>
        <v>1598</v>
      </c>
      <c r="F5968" t="str">
        <f t="shared" si="405"/>
        <v>0000</v>
      </c>
    </row>
    <row r="5969" spans="1:6">
      <c r="A5969" t="str">
        <f>"E1266-122"</f>
        <v>E1266-122</v>
      </c>
      <c r="B5969" t="str">
        <f t="shared" si="402"/>
        <v>VIA VIRGILIO BROCCHI  13-</v>
      </c>
      <c r="C5969" t="str">
        <f t="shared" si="403"/>
        <v>4</v>
      </c>
      <c r="D5969">
        <v>27</v>
      </c>
      <c r="E5969" t="str">
        <f t="shared" si="404"/>
        <v>1598</v>
      </c>
      <c r="F5969" t="str">
        <f t="shared" si="405"/>
        <v>0000</v>
      </c>
    </row>
    <row r="5970" spans="1:6">
      <c r="A5970" t="str">
        <f>"E1266-123"</f>
        <v>E1266-123</v>
      </c>
      <c r="B5970" t="str">
        <f t="shared" si="402"/>
        <v>VIA VIRGILIO BROCCHI  13-</v>
      </c>
      <c r="C5970" t="str">
        <f t="shared" si="403"/>
        <v>4</v>
      </c>
      <c r="D5970">
        <v>27</v>
      </c>
      <c r="E5970" t="str">
        <f t="shared" si="404"/>
        <v>1598</v>
      </c>
      <c r="F5970" t="str">
        <f t="shared" si="405"/>
        <v>0000</v>
      </c>
    </row>
    <row r="5971" spans="1:6">
      <c r="A5971" t="str">
        <f>"E1266-124"</f>
        <v>E1266-124</v>
      </c>
      <c r="B5971" t="str">
        <f t="shared" si="402"/>
        <v>VIA VIRGILIO BROCCHI  13-</v>
      </c>
      <c r="C5971" t="str">
        <f t="shared" si="403"/>
        <v>4</v>
      </c>
      <c r="D5971">
        <v>27</v>
      </c>
      <c r="E5971" t="str">
        <f t="shared" si="404"/>
        <v>1598</v>
      </c>
      <c r="F5971" t="str">
        <f t="shared" si="405"/>
        <v>0000</v>
      </c>
    </row>
    <row r="5972" spans="1:6">
      <c r="A5972" t="str">
        <f>"E1266-125"</f>
        <v>E1266-125</v>
      </c>
      <c r="B5972" t="str">
        <f t="shared" si="402"/>
        <v>VIA VIRGILIO BROCCHI  13-</v>
      </c>
      <c r="C5972" t="str">
        <f t="shared" si="403"/>
        <v>4</v>
      </c>
      <c r="D5972">
        <v>27</v>
      </c>
      <c r="E5972" t="str">
        <f t="shared" si="404"/>
        <v>1598</v>
      </c>
      <c r="F5972" t="str">
        <f t="shared" si="405"/>
        <v>0000</v>
      </c>
    </row>
    <row r="5973" spans="1:6">
      <c r="A5973" t="str">
        <f>"E1266-126"</f>
        <v>E1266-126</v>
      </c>
      <c r="B5973" t="str">
        <f t="shared" si="402"/>
        <v>VIA VIRGILIO BROCCHI  13-</v>
      </c>
      <c r="C5973" t="str">
        <f t="shared" si="403"/>
        <v>4</v>
      </c>
      <c r="D5973">
        <v>27</v>
      </c>
      <c r="E5973" t="str">
        <f t="shared" si="404"/>
        <v>1598</v>
      </c>
      <c r="F5973" t="str">
        <f t="shared" si="405"/>
        <v>0000</v>
      </c>
    </row>
    <row r="5974" spans="1:6">
      <c r="A5974" t="str">
        <f>"E1266-127"</f>
        <v>E1266-127</v>
      </c>
      <c r="B5974" t="str">
        <f t="shared" si="402"/>
        <v>VIA VIRGILIO BROCCHI  13-</v>
      </c>
      <c r="C5974" t="str">
        <f t="shared" si="403"/>
        <v>4</v>
      </c>
      <c r="D5974">
        <v>27</v>
      </c>
      <c r="E5974" t="str">
        <f t="shared" si="404"/>
        <v>1598</v>
      </c>
      <c r="F5974" t="str">
        <f t="shared" si="405"/>
        <v>0000</v>
      </c>
    </row>
    <row r="5975" spans="1:6">
      <c r="A5975" t="str">
        <f>"E1266-128"</f>
        <v>E1266-128</v>
      </c>
      <c r="B5975" t="str">
        <f t="shared" si="402"/>
        <v>VIA VIRGILIO BROCCHI  13-</v>
      </c>
      <c r="C5975" t="str">
        <f t="shared" si="403"/>
        <v>4</v>
      </c>
      <c r="D5975">
        <v>27</v>
      </c>
      <c r="E5975" t="str">
        <f t="shared" si="404"/>
        <v>1598</v>
      </c>
      <c r="F5975" t="str">
        <f t="shared" si="405"/>
        <v>0000</v>
      </c>
    </row>
    <row r="5976" spans="1:6">
      <c r="A5976" t="str">
        <f>"E1266-129"</f>
        <v>E1266-129</v>
      </c>
      <c r="B5976" t="str">
        <f t="shared" si="402"/>
        <v>VIA VIRGILIO BROCCHI  13-</v>
      </c>
      <c r="C5976" t="str">
        <f t="shared" si="403"/>
        <v>4</v>
      </c>
      <c r="D5976">
        <v>27</v>
      </c>
      <c r="E5976" t="str">
        <f t="shared" si="404"/>
        <v>1598</v>
      </c>
      <c r="F5976" t="str">
        <f t="shared" si="405"/>
        <v>0000</v>
      </c>
    </row>
    <row r="5977" spans="1:6">
      <c r="A5977" t="str">
        <f>"E1266-130"</f>
        <v>E1266-130</v>
      </c>
      <c r="B5977" t="str">
        <f t="shared" si="402"/>
        <v>VIA VIRGILIO BROCCHI  13-</v>
      </c>
      <c r="C5977" t="str">
        <f t="shared" si="403"/>
        <v>4</v>
      </c>
      <c r="D5977">
        <v>27</v>
      </c>
      <c r="E5977" t="str">
        <f t="shared" si="404"/>
        <v>1598</v>
      </c>
      <c r="F5977" t="str">
        <f t="shared" si="405"/>
        <v>0000</v>
      </c>
    </row>
    <row r="5978" spans="1:6">
      <c r="A5978" t="str">
        <f>"E1266-131"</f>
        <v>E1266-131</v>
      </c>
      <c r="B5978" t="str">
        <f t="shared" si="402"/>
        <v>VIA VIRGILIO BROCCHI  13-</v>
      </c>
      <c r="C5978" t="str">
        <f t="shared" si="403"/>
        <v>4</v>
      </c>
      <c r="D5978">
        <v>27</v>
      </c>
      <c r="E5978" t="str">
        <f t="shared" si="404"/>
        <v>1598</v>
      </c>
      <c r="F5978" t="str">
        <f t="shared" si="405"/>
        <v>0000</v>
      </c>
    </row>
    <row r="5979" spans="1:6">
      <c r="A5979" t="str">
        <f>"E1266-132"</f>
        <v>E1266-132</v>
      </c>
      <c r="B5979" t="str">
        <f t="shared" si="402"/>
        <v>VIA VIRGILIO BROCCHI  13-</v>
      </c>
      <c r="C5979" t="str">
        <f t="shared" si="403"/>
        <v>4</v>
      </c>
      <c r="D5979">
        <v>27</v>
      </c>
      <c r="E5979" t="str">
        <f t="shared" si="404"/>
        <v>1598</v>
      </c>
      <c r="F5979" t="str">
        <f t="shared" si="405"/>
        <v>0000</v>
      </c>
    </row>
    <row r="5980" spans="1:6">
      <c r="A5980" t="str">
        <f>"E1266-133"</f>
        <v>E1266-133</v>
      </c>
      <c r="B5980" t="str">
        <f t="shared" si="402"/>
        <v>VIA VIRGILIO BROCCHI  13-</v>
      </c>
      <c r="C5980" t="str">
        <f t="shared" si="403"/>
        <v>4</v>
      </c>
      <c r="D5980">
        <v>27</v>
      </c>
      <c r="E5980" t="str">
        <f t="shared" si="404"/>
        <v>1598</v>
      </c>
      <c r="F5980" t="str">
        <f t="shared" si="405"/>
        <v>0000</v>
      </c>
    </row>
    <row r="5981" spans="1:6">
      <c r="A5981" t="str">
        <f>"E1266-134"</f>
        <v>E1266-134</v>
      </c>
      <c r="B5981" t="str">
        <f t="shared" si="402"/>
        <v>VIA VIRGILIO BROCCHI  13-</v>
      </c>
      <c r="C5981" t="str">
        <f t="shared" si="403"/>
        <v>4</v>
      </c>
      <c r="D5981">
        <v>27</v>
      </c>
      <c r="E5981" t="str">
        <f t="shared" si="404"/>
        <v>1598</v>
      </c>
      <c r="F5981" t="str">
        <f t="shared" si="405"/>
        <v>0000</v>
      </c>
    </row>
    <row r="5982" spans="1:6">
      <c r="A5982" t="str">
        <f>"E1266-135"</f>
        <v>E1266-135</v>
      </c>
      <c r="B5982" t="str">
        <f t="shared" si="402"/>
        <v>VIA VIRGILIO BROCCHI  13-</v>
      </c>
      <c r="C5982" t="str">
        <f t="shared" si="403"/>
        <v>4</v>
      </c>
      <c r="D5982">
        <v>27</v>
      </c>
      <c r="E5982" t="str">
        <f t="shared" si="404"/>
        <v>1598</v>
      </c>
      <c r="F5982" t="str">
        <f t="shared" si="405"/>
        <v>0000</v>
      </c>
    </row>
    <row r="5983" spans="1:6">
      <c r="A5983" t="str">
        <f>"E1266-136"</f>
        <v>E1266-136</v>
      </c>
      <c r="B5983" t="str">
        <f t="shared" si="402"/>
        <v>VIA VIRGILIO BROCCHI  13-</v>
      </c>
      <c r="C5983" t="str">
        <f t="shared" si="403"/>
        <v>4</v>
      </c>
      <c r="D5983">
        <v>27</v>
      </c>
      <c r="E5983" t="str">
        <f t="shared" si="404"/>
        <v>1598</v>
      </c>
      <c r="F5983" t="str">
        <f t="shared" si="405"/>
        <v>0000</v>
      </c>
    </row>
    <row r="5984" spans="1:6">
      <c r="A5984" t="str">
        <f>"E1266-137"</f>
        <v>E1266-137</v>
      </c>
      <c r="B5984" t="str">
        <f t="shared" si="402"/>
        <v>VIA VIRGILIO BROCCHI  13-</v>
      </c>
      <c r="C5984" t="str">
        <f t="shared" si="403"/>
        <v>4</v>
      </c>
      <c r="D5984">
        <v>27</v>
      </c>
      <c r="E5984" t="str">
        <f t="shared" si="404"/>
        <v>1598</v>
      </c>
      <c r="F5984" t="str">
        <f t="shared" si="405"/>
        <v>0000</v>
      </c>
    </row>
    <row r="5985" spans="1:6">
      <c r="A5985" t="str">
        <f>"E1266-138"</f>
        <v>E1266-138</v>
      </c>
      <c r="B5985" t="str">
        <f t="shared" si="402"/>
        <v>VIA VIRGILIO BROCCHI  13-</v>
      </c>
      <c r="C5985" t="str">
        <f t="shared" si="403"/>
        <v>4</v>
      </c>
      <c r="D5985">
        <v>27</v>
      </c>
      <c r="E5985" t="str">
        <f t="shared" si="404"/>
        <v>1598</v>
      </c>
      <c r="F5985" t="str">
        <f t="shared" si="405"/>
        <v>0000</v>
      </c>
    </row>
    <row r="5986" spans="1:6">
      <c r="A5986" t="str">
        <f>"E1266-139"</f>
        <v>E1266-139</v>
      </c>
      <c r="B5986" t="str">
        <f t="shared" si="402"/>
        <v>VIA VIRGILIO BROCCHI  13-</v>
      </c>
      <c r="C5986" t="str">
        <f t="shared" si="403"/>
        <v>4</v>
      </c>
      <c r="D5986">
        <v>27</v>
      </c>
      <c r="E5986" t="str">
        <f t="shared" si="404"/>
        <v>1598</v>
      </c>
      <c r="F5986" t="str">
        <f t="shared" si="405"/>
        <v>0000</v>
      </c>
    </row>
    <row r="5987" spans="1:6">
      <c r="A5987" t="str">
        <f>"E1266-140"</f>
        <v>E1266-140</v>
      </c>
      <c r="B5987" t="str">
        <f t="shared" si="402"/>
        <v>VIA VIRGILIO BROCCHI  13-</v>
      </c>
      <c r="C5987" t="str">
        <f t="shared" si="403"/>
        <v>4</v>
      </c>
      <c r="D5987">
        <v>27</v>
      </c>
      <c r="E5987" t="str">
        <f t="shared" si="404"/>
        <v>1598</v>
      </c>
      <c r="F5987" t="str">
        <f t="shared" si="405"/>
        <v>0000</v>
      </c>
    </row>
    <row r="5988" spans="1:6">
      <c r="A5988" t="str">
        <f>"E1266-141"</f>
        <v>E1266-141</v>
      </c>
      <c r="B5988" t="str">
        <f t="shared" si="402"/>
        <v>VIA VIRGILIO BROCCHI  13-</v>
      </c>
      <c r="C5988" t="str">
        <f t="shared" si="403"/>
        <v>4</v>
      </c>
      <c r="D5988">
        <v>27</v>
      </c>
      <c r="E5988" t="str">
        <f t="shared" si="404"/>
        <v>1598</v>
      </c>
      <c r="F5988" t="str">
        <f t="shared" si="405"/>
        <v>0000</v>
      </c>
    </row>
    <row r="5989" spans="1:6">
      <c r="A5989" t="str">
        <f>"E1266-142"</f>
        <v>E1266-142</v>
      </c>
      <c r="B5989" t="str">
        <f t="shared" si="402"/>
        <v>VIA VIRGILIO BROCCHI  13-</v>
      </c>
      <c r="C5989" t="str">
        <f t="shared" si="403"/>
        <v>4</v>
      </c>
      <c r="D5989">
        <v>27</v>
      </c>
      <c r="E5989" t="str">
        <f t="shared" si="404"/>
        <v>1598</v>
      </c>
      <c r="F5989" t="str">
        <f t="shared" si="405"/>
        <v>0000</v>
      </c>
    </row>
    <row r="5990" spans="1:6">
      <c r="A5990" t="str">
        <f>"E1266-143"</f>
        <v>E1266-143</v>
      </c>
      <c r="B5990" t="str">
        <f t="shared" ref="B5990:B5995" si="406">"VIA VIRGILIO BROCCHI  11-"</f>
        <v>VIA VIRGILIO BROCCHI  11-</v>
      </c>
      <c r="C5990" t="str">
        <f t="shared" ref="C5990:C6021" si="407">"4"</f>
        <v>4</v>
      </c>
      <c r="D5990">
        <v>27</v>
      </c>
      <c r="E5990" t="str">
        <f t="shared" ref="E5990:E6021" si="408">"1598"</f>
        <v>1598</v>
      </c>
      <c r="F5990" t="str">
        <f t="shared" ref="F5990:F6021" si="409">"0000"</f>
        <v>0000</v>
      </c>
    </row>
    <row r="5991" spans="1:6">
      <c r="A5991" t="str">
        <f>"E1266-144"</f>
        <v>E1266-144</v>
      </c>
      <c r="B5991" t="str">
        <f t="shared" si="406"/>
        <v>VIA VIRGILIO BROCCHI  11-</v>
      </c>
      <c r="C5991" t="str">
        <f t="shared" si="407"/>
        <v>4</v>
      </c>
      <c r="D5991">
        <v>27</v>
      </c>
      <c r="E5991" t="str">
        <f t="shared" si="408"/>
        <v>1598</v>
      </c>
      <c r="F5991" t="str">
        <f t="shared" si="409"/>
        <v>0000</v>
      </c>
    </row>
    <row r="5992" spans="1:6">
      <c r="A5992" t="str">
        <f>"E1266-145"</f>
        <v>E1266-145</v>
      </c>
      <c r="B5992" t="str">
        <f t="shared" si="406"/>
        <v>VIA VIRGILIO BROCCHI  11-</v>
      </c>
      <c r="C5992" t="str">
        <f t="shared" si="407"/>
        <v>4</v>
      </c>
      <c r="D5992">
        <v>27</v>
      </c>
      <c r="E5992" t="str">
        <f t="shared" si="408"/>
        <v>1598</v>
      </c>
      <c r="F5992" t="str">
        <f t="shared" si="409"/>
        <v>0000</v>
      </c>
    </row>
    <row r="5993" spans="1:6">
      <c r="A5993" t="str">
        <f>"E1266-146"</f>
        <v>E1266-146</v>
      </c>
      <c r="B5993" t="str">
        <f t="shared" si="406"/>
        <v>VIA VIRGILIO BROCCHI  11-</v>
      </c>
      <c r="C5993" t="str">
        <f t="shared" si="407"/>
        <v>4</v>
      </c>
      <c r="D5993">
        <v>27</v>
      </c>
      <c r="E5993" t="str">
        <f t="shared" si="408"/>
        <v>1598</v>
      </c>
      <c r="F5993" t="str">
        <f t="shared" si="409"/>
        <v>0000</v>
      </c>
    </row>
    <row r="5994" spans="1:6">
      <c r="A5994" t="str">
        <f>"E1266-147"</f>
        <v>E1266-147</v>
      </c>
      <c r="B5994" t="str">
        <f t="shared" si="406"/>
        <v>VIA VIRGILIO BROCCHI  11-</v>
      </c>
      <c r="C5994" t="str">
        <f t="shared" si="407"/>
        <v>4</v>
      </c>
      <c r="D5994">
        <v>27</v>
      </c>
      <c r="E5994" t="str">
        <f t="shared" si="408"/>
        <v>1598</v>
      </c>
      <c r="F5994" t="str">
        <f t="shared" si="409"/>
        <v>0000</v>
      </c>
    </row>
    <row r="5995" spans="1:6">
      <c r="A5995" t="str">
        <f>"E1266-148"</f>
        <v>E1266-148</v>
      </c>
      <c r="B5995" t="str">
        <f t="shared" si="406"/>
        <v>VIA VIRGILIO BROCCHI  11-</v>
      </c>
      <c r="C5995" t="str">
        <f t="shared" si="407"/>
        <v>4</v>
      </c>
      <c r="D5995">
        <v>27</v>
      </c>
      <c r="E5995" t="str">
        <f t="shared" si="408"/>
        <v>1598</v>
      </c>
      <c r="F5995" t="str">
        <f t="shared" si="409"/>
        <v>0000</v>
      </c>
    </row>
    <row r="5996" spans="1:6">
      <c r="A5996" t="str">
        <f>"E1266-149"</f>
        <v>E1266-149</v>
      </c>
      <c r="B5996" t="str">
        <f t="shared" ref="B5996:B6023" si="410">"VIA VIRGILIO BROCCHI  16-"</f>
        <v>VIA VIRGILIO BROCCHI  16-</v>
      </c>
      <c r="C5996" t="str">
        <f t="shared" si="407"/>
        <v>4</v>
      </c>
      <c r="D5996">
        <v>27</v>
      </c>
      <c r="E5996" t="str">
        <f t="shared" si="408"/>
        <v>1598</v>
      </c>
      <c r="F5996" t="str">
        <f t="shared" si="409"/>
        <v>0000</v>
      </c>
    </row>
    <row r="5997" spans="1:6">
      <c r="A5997" t="str">
        <f>"E1266-150"</f>
        <v>E1266-150</v>
      </c>
      <c r="B5997" t="str">
        <f t="shared" si="410"/>
        <v>VIA VIRGILIO BROCCHI  16-</v>
      </c>
      <c r="C5997" t="str">
        <f t="shared" si="407"/>
        <v>4</v>
      </c>
      <c r="D5997">
        <v>27</v>
      </c>
      <c r="E5997" t="str">
        <f t="shared" si="408"/>
        <v>1598</v>
      </c>
      <c r="F5997" t="str">
        <f t="shared" si="409"/>
        <v>0000</v>
      </c>
    </row>
    <row r="5998" spans="1:6">
      <c r="A5998" t="str">
        <f>"E1266-151"</f>
        <v>E1266-151</v>
      </c>
      <c r="B5998" t="str">
        <f t="shared" si="410"/>
        <v>VIA VIRGILIO BROCCHI  16-</v>
      </c>
      <c r="C5998" t="str">
        <f t="shared" si="407"/>
        <v>4</v>
      </c>
      <c r="D5998">
        <v>27</v>
      </c>
      <c r="E5998" t="str">
        <f t="shared" si="408"/>
        <v>1598</v>
      </c>
      <c r="F5998" t="str">
        <f t="shared" si="409"/>
        <v>0000</v>
      </c>
    </row>
    <row r="5999" spans="1:6">
      <c r="A5999" t="str">
        <f>"E1266-152"</f>
        <v>E1266-152</v>
      </c>
      <c r="B5999" t="str">
        <f t="shared" si="410"/>
        <v>VIA VIRGILIO BROCCHI  16-</v>
      </c>
      <c r="C5999" t="str">
        <f t="shared" si="407"/>
        <v>4</v>
      </c>
      <c r="D5999">
        <v>27</v>
      </c>
      <c r="E5999" t="str">
        <f t="shared" si="408"/>
        <v>1598</v>
      </c>
      <c r="F5999" t="str">
        <f t="shared" si="409"/>
        <v>0000</v>
      </c>
    </row>
    <row r="6000" spans="1:6">
      <c r="A6000" t="str">
        <f>"E1266-153"</f>
        <v>E1266-153</v>
      </c>
      <c r="B6000" t="str">
        <f t="shared" si="410"/>
        <v>VIA VIRGILIO BROCCHI  16-</v>
      </c>
      <c r="C6000" t="str">
        <f t="shared" si="407"/>
        <v>4</v>
      </c>
      <c r="D6000">
        <v>27</v>
      </c>
      <c r="E6000" t="str">
        <f t="shared" si="408"/>
        <v>1598</v>
      </c>
      <c r="F6000" t="str">
        <f t="shared" si="409"/>
        <v>0000</v>
      </c>
    </row>
    <row r="6001" spans="1:6">
      <c r="A6001" t="str">
        <f>"E1266-154"</f>
        <v>E1266-154</v>
      </c>
      <c r="B6001" t="str">
        <f t="shared" si="410"/>
        <v>VIA VIRGILIO BROCCHI  16-</v>
      </c>
      <c r="C6001" t="str">
        <f t="shared" si="407"/>
        <v>4</v>
      </c>
      <c r="D6001">
        <v>27</v>
      </c>
      <c r="E6001" t="str">
        <f t="shared" si="408"/>
        <v>1598</v>
      </c>
      <c r="F6001" t="str">
        <f t="shared" si="409"/>
        <v>0000</v>
      </c>
    </row>
    <row r="6002" spans="1:6">
      <c r="A6002" t="str">
        <f>"E1266-155"</f>
        <v>E1266-155</v>
      </c>
      <c r="B6002" t="str">
        <f t="shared" si="410"/>
        <v>VIA VIRGILIO BROCCHI  16-</v>
      </c>
      <c r="C6002" t="str">
        <f t="shared" si="407"/>
        <v>4</v>
      </c>
      <c r="D6002">
        <v>27</v>
      </c>
      <c r="E6002" t="str">
        <f t="shared" si="408"/>
        <v>1598</v>
      </c>
      <c r="F6002" t="str">
        <f t="shared" si="409"/>
        <v>0000</v>
      </c>
    </row>
    <row r="6003" spans="1:6">
      <c r="A6003" t="str">
        <f>"E1266-156"</f>
        <v>E1266-156</v>
      </c>
      <c r="B6003" t="str">
        <f t="shared" si="410"/>
        <v>VIA VIRGILIO BROCCHI  16-</v>
      </c>
      <c r="C6003" t="str">
        <f t="shared" si="407"/>
        <v>4</v>
      </c>
      <c r="D6003">
        <v>27</v>
      </c>
      <c r="E6003" t="str">
        <f t="shared" si="408"/>
        <v>1598</v>
      </c>
      <c r="F6003" t="str">
        <f t="shared" si="409"/>
        <v>0000</v>
      </c>
    </row>
    <row r="6004" spans="1:6">
      <c r="A6004" t="str">
        <f>"E1266-157"</f>
        <v>E1266-157</v>
      </c>
      <c r="B6004" t="str">
        <f t="shared" si="410"/>
        <v>VIA VIRGILIO BROCCHI  16-</v>
      </c>
      <c r="C6004" t="str">
        <f t="shared" si="407"/>
        <v>4</v>
      </c>
      <c r="D6004">
        <v>27</v>
      </c>
      <c r="E6004" t="str">
        <f t="shared" si="408"/>
        <v>1598</v>
      </c>
      <c r="F6004" t="str">
        <f t="shared" si="409"/>
        <v>0000</v>
      </c>
    </row>
    <row r="6005" spans="1:6">
      <c r="A6005" t="str">
        <f>"E1266-158"</f>
        <v>E1266-158</v>
      </c>
      <c r="B6005" t="str">
        <f t="shared" si="410"/>
        <v>VIA VIRGILIO BROCCHI  16-</v>
      </c>
      <c r="C6005" t="str">
        <f t="shared" si="407"/>
        <v>4</v>
      </c>
      <c r="D6005">
        <v>27</v>
      </c>
      <c r="E6005" t="str">
        <f t="shared" si="408"/>
        <v>1598</v>
      </c>
      <c r="F6005" t="str">
        <f t="shared" si="409"/>
        <v>0000</v>
      </c>
    </row>
    <row r="6006" spans="1:6">
      <c r="A6006" t="str">
        <f>"E1266-159"</f>
        <v>E1266-159</v>
      </c>
      <c r="B6006" t="str">
        <f t="shared" si="410"/>
        <v>VIA VIRGILIO BROCCHI  16-</v>
      </c>
      <c r="C6006" t="str">
        <f t="shared" si="407"/>
        <v>4</v>
      </c>
      <c r="D6006">
        <v>27</v>
      </c>
      <c r="E6006" t="str">
        <f t="shared" si="408"/>
        <v>1598</v>
      </c>
      <c r="F6006" t="str">
        <f t="shared" si="409"/>
        <v>0000</v>
      </c>
    </row>
    <row r="6007" spans="1:6">
      <c r="A6007" t="str">
        <f>"E1266-160"</f>
        <v>E1266-160</v>
      </c>
      <c r="B6007" t="str">
        <f t="shared" si="410"/>
        <v>VIA VIRGILIO BROCCHI  16-</v>
      </c>
      <c r="C6007" t="str">
        <f t="shared" si="407"/>
        <v>4</v>
      </c>
      <c r="D6007">
        <v>27</v>
      </c>
      <c r="E6007" t="str">
        <f t="shared" si="408"/>
        <v>1598</v>
      </c>
      <c r="F6007" t="str">
        <f t="shared" si="409"/>
        <v>0000</v>
      </c>
    </row>
    <row r="6008" spans="1:6">
      <c r="A6008" t="str">
        <f>"E1266-161"</f>
        <v>E1266-161</v>
      </c>
      <c r="B6008" t="str">
        <f t="shared" si="410"/>
        <v>VIA VIRGILIO BROCCHI  16-</v>
      </c>
      <c r="C6008" t="str">
        <f t="shared" si="407"/>
        <v>4</v>
      </c>
      <c r="D6008">
        <v>27</v>
      </c>
      <c r="E6008" t="str">
        <f t="shared" si="408"/>
        <v>1598</v>
      </c>
      <c r="F6008" t="str">
        <f t="shared" si="409"/>
        <v>0000</v>
      </c>
    </row>
    <row r="6009" spans="1:6">
      <c r="A6009" t="str">
        <f>"E1266-162"</f>
        <v>E1266-162</v>
      </c>
      <c r="B6009" t="str">
        <f t="shared" si="410"/>
        <v>VIA VIRGILIO BROCCHI  16-</v>
      </c>
      <c r="C6009" t="str">
        <f t="shared" si="407"/>
        <v>4</v>
      </c>
      <c r="D6009">
        <v>27</v>
      </c>
      <c r="E6009" t="str">
        <f t="shared" si="408"/>
        <v>1598</v>
      </c>
      <c r="F6009" t="str">
        <f t="shared" si="409"/>
        <v>0000</v>
      </c>
    </row>
    <row r="6010" spans="1:6">
      <c r="A6010" t="str">
        <f>"E1266-163"</f>
        <v>E1266-163</v>
      </c>
      <c r="B6010" t="str">
        <f t="shared" si="410"/>
        <v>VIA VIRGILIO BROCCHI  16-</v>
      </c>
      <c r="C6010" t="str">
        <f t="shared" si="407"/>
        <v>4</v>
      </c>
      <c r="D6010">
        <v>27</v>
      </c>
      <c r="E6010" t="str">
        <f t="shared" si="408"/>
        <v>1598</v>
      </c>
      <c r="F6010" t="str">
        <f t="shared" si="409"/>
        <v>0000</v>
      </c>
    </row>
    <row r="6011" spans="1:6">
      <c r="A6011" t="str">
        <f>"E1266-164"</f>
        <v>E1266-164</v>
      </c>
      <c r="B6011" t="str">
        <f t="shared" si="410"/>
        <v>VIA VIRGILIO BROCCHI  16-</v>
      </c>
      <c r="C6011" t="str">
        <f t="shared" si="407"/>
        <v>4</v>
      </c>
      <c r="D6011">
        <v>27</v>
      </c>
      <c r="E6011" t="str">
        <f t="shared" si="408"/>
        <v>1598</v>
      </c>
      <c r="F6011" t="str">
        <f t="shared" si="409"/>
        <v>0000</v>
      </c>
    </row>
    <row r="6012" spans="1:6">
      <c r="A6012" t="str">
        <f>"E1266-165"</f>
        <v>E1266-165</v>
      </c>
      <c r="B6012" t="str">
        <f t="shared" si="410"/>
        <v>VIA VIRGILIO BROCCHI  16-</v>
      </c>
      <c r="C6012" t="str">
        <f t="shared" si="407"/>
        <v>4</v>
      </c>
      <c r="D6012">
        <v>27</v>
      </c>
      <c r="E6012" t="str">
        <f t="shared" si="408"/>
        <v>1598</v>
      </c>
      <c r="F6012" t="str">
        <f t="shared" si="409"/>
        <v>0000</v>
      </c>
    </row>
    <row r="6013" spans="1:6">
      <c r="A6013" t="str">
        <f>"E1266-166"</f>
        <v>E1266-166</v>
      </c>
      <c r="B6013" t="str">
        <f t="shared" si="410"/>
        <v>VIA VIRGILIO BROCCHI  16-</v>
      </c>
      <c r="C6013" t="str">
        <f t="shared" si="407"/>
        <v>4</v>
      </c>
      <c r="D6013">
        <v>27</v>
      </c>
      <c r="E6013" t="str">
        <f t="shared" si="408"/>
        <v>1598</v>
      </c>
      <c r="F6013" t="str">
        <f t="shared" si="409"/>
        <v>0000</v>
      </c>
    </row>
    <row r="6014" spans="1:6">
      <c r="A6014" t="str">
        <f>"E1266-167"</f>
        <v>E1266-167</v>
      </c>
      <c r="B6014" t="str">
        <f t="shared" si="410"/>
        <v>VIA VIRGILIO BROCCHI  16-</v>
      </c>
      <c r="C6014" t="str">
        <f t="shared" si="407"/>
        <v>4</v>
      </c>
      <c r="D6014">
        <v>27</v>
      </c>
      <c r="E6014" t="str">
        <f t="shared" si="408"/>
        <v>1598</v>
      </c>
      <c r="F6014" t="str">
        <f t="shared" si="409"/>
        <v>0000</v>
      </c>
    </row>
    <row r="6015" spans="1:6">
      <c r="A6015" t="str">
        <f>"E1266-168"</f>
        <v>E1266-168</v>
      </c>
      <c r="B6015" t="str">
        <f t="shared" si="410"/>
        <v>VIA VIRGILIO BROCCHI  16-</v>
      </c>
      <c r="C6015" t="str">
        <f t="shared" si="407"/>
        <v>4</v>
      </c>
      <c r="D6015">
        <v>27</v>
      </c>
      <c r="E6015" t="str">
        <f t="shared" si="408"/>
        <v>1598</v>
      </c>
      <c r="F6015" t="str">
        <f t="shared" si="409"/>
        <v>0000</v>
      </c>
    </row>
    <row r="6016" spans="1:6">
      <c r="A6016" t="str">
        <f>"E1266-169"</f>
        <v>E1266-169</v>
      </c>
      <c r="B6016" t="str">
        <f t="shared" si="410"/>
        <v>VIA VIRGILIO BROCCHI  16-</v>
      </c>
      <c r="C6016" t="str">
        <f t="shared" si="407"/>
        <v>4</v>
      </c>
      <c r="D6016">
        <v>27</v>
      </c>
      <c r="E6016" t="str">
        <f t="shared" si="408"/>
        <v>1598</v>
      </c>
      <c r="F6016" t="str">
        <f t="shared" si="409"/>
        <v>0000</v>
      </c>
    </row>
    <row r="6017" spans="1:6">
      <c r="A6017" t="str">
        <f>"E1266-170"</f>
        <v>E1266-170</v>
      </c>
      <c r="B6017" t="str">
        <f t="shared" si="410"/>
        <v>VIA VIRGILIO BROCCHI  16-</v>
      </c>
      <c r="C6017" t="str">
        <f t="shared" si="407"/>
        <v>4</v>
      </c>
      <c r="D6017">
        <v>27</v>
      </c>
      <c r="E6017" t="str">
        <f t="shared" si="408"/>
        <v>1598</v>
      </c>
      <c r="F6017" t="str">
        <f t="shared" si="409"/>
        <v>0000</v>
      </c>
    </row>
    <row r="6018" spans="1:6">
      <c r="A6018" t="str">
        <f>"E1266-171"</f>
        <v>E1266-171</v>
      </c>
      <c r="B6018" t="str">
        <f t="shared" si="410"/>
        <v>VIA VIRGILIO BROCCHI  16-</v>
      </c>
      <c r="C6018" t="str">
        <f t="shared" si="407"/>
        <v>4</v>
      </c>
      <c r="D6018">
        <v>27</v>
      </c>
      <c r="E6018" t="str">
        <f t="shared" si="408"/>
        <v>1598</v>
      </c>
      <c r="F6018" t="str">
        <f t="shared" si="409"/>
        <v>0000</v>
      </c>
    </row>
    <row r="6019" spans="1:6">
      <c r="A6019" t="str">
        <f>"E1266-172"</f>
        <v>E1266-172</v>
      </c>
      <c r="B6019" t="str">
        <f t="shared" si="410"/>
        <v>VIA VIRGILIO BROCCHI  16-</v>
      </c>
      <c r="C6019" t="str">
        <f t="shared" si="407"/>
        <v>4</v>
      </c>
      <c r="D6019">
        <v>27</v>
      </c>
      <c r="E6019" t="str">
        <f t="shared" si="408"/>
        <v>1598</v>
      </c>
      <c r="F6019" t="str">
        <f t="shared" si="409"/>
        <v>0000</v>
      </c>
    </row>
    <row r="6020" spans="1:6">
      <c r="A6020" t="str">
        <f>"E1266-173"</f>
        <v>E1266-173</v>
      </c>
      <c r="B6020" t="str">
        <f t="shared" si="410"/>
        <v>VIA VIRGILIO BROCCHI  16-</v>
      </c>
      <c r="C6020" t="str">
        <f t="shared" si="407"/>
        <v>4</v>
      </c>
      <c r="D6020">
        <v>27</v>
      </c>
      <c r="E6020" t="str">
        <f t="shared" si="408"/>
        <v>1598</v>
      </c>
      <c r="F6020" t="str">
        <f t="shared" si="409"/>
        <v>0000</v>
      </c>
    </row>
    <row r="6021" spans="1:6">
      <c r="A6021" t="str">
        <f>"E1266-174"</f>
        <v>E1266-174</v>
      </c>
      <c r="B6021" t="str">
        <f t="shared" si="410"/>
        <v>VIA VIRGILIO BROCCHI  16-</v>
      </c>
      <c r="C6021" t="str">
        <f t="shared" si="407"/>
        <v>4</v>
      </c>
      <c r="D6021">
        <v>27</v>
      </c>
      <c r="E6021" t="str">
        <f t="shared" si="408"/>
        <v>1598</v>
      </c>
      <c r="F6021" t="str">
        <f t="shared" si="409"/>
        <v>0000</v>
      </c>
    </row>
    <row r="6022" spans="1:6">
      <c r="A6022" t="str">
        <f>"E1266-175"</f>
        <v>E1266-175</v>
      </c>
      <c r="B6022" t="str">
        <f t="shared" si="410"/>
        <v>VIA VIRGILIO BROCCHI  16-</v>
      </c>
      <c r="C6022" t="str">
        <f t="shared" ref="C6022:C6039" si="411">"4"</f>
        <v>4</v>
      </c>
      <c r="D6022">
        <v>27</v>
      </c>
      <c r="E6022" t="str">
        <f t="shared" ref="E6022:E6039" si="412">"1598"</f>
        <v>1598</v>
      </c>
      <c r="F6022" t="str">
        <f t="shared" ref="F6022:F6039" si="413">"0000"</f>
        <v>0000</v>
      </c>
    </row>
    <row r="6023" spans="1:6">
      <c r="A6023" t="str">
        <f>"E1266-176"</f>
        <v>E1266-176</v>
      </c>
      <c r="B6023" t="str">
        <f t="shared" si="410"/>
        <v>VIA VIRGILIO BROCCHI  16-</v>
      </c>
      <c r="C6023" t="str">
        <f t="shared" si="411"/>
        <v>4</v>
      </c>
      <c r="D6023">
        <v>27</v>
      </c>
      <c r="E6023" t="str">
        <f t="shared" si="412"/>
        <v>1598</v>
      </c>
      <c r="F6023" t="str">
        <f t="shared" si="413"/>
        <v>0000</v>
      </c>
    </row>
    <row r="6024" spans="1:6">
      <c r="A6024" t="str">
        <f>"E1266-177"</f>
        <v>E1266-177</v>
      </c>
      <c r="B6024" t="str">
        <f t="shared" ref="B6024:B6039" si="414">"VIA VIRGILIO BROCCHI  18-"</f>
        <v>VIA VIRGILIO BROCCHI  18-</v>
      </c>
      <c r="C6024" t="str">
        <f t="shared" si="411"/>
        <v>4</v>
      </c>
      <c r="D6024">
        <v>27</v>
      </c>
      <c r="E6024" t="str">
        <f t="shared" si="412"/>
        <v>1598</v>
      </c>
      <c r="F6024" t="str">
        <f t="shared" si="413"/>
        <v>0000</v>
      </c>
    </row>
    <row r="6025" spans="1:6">
      <c r="A6025" t="str">
        <f>"E1266-178"</f>
        <v>E1266-178</v>
      </c>
      <c r="B6025" t="str">
        <f t="shared" si="414"/>
        <v>VIA VIRGILIO BROCCHI  18-</v>
      </c>
      <c r="C6025" t="str">
        <f t="shared" si="411"/>
        <v>4</v>
      </c>
      <c r="D6025">
        <v>27</v>
      </c>
      <c r="E6025" t="str">
        <f t="shared" si="412"/>
        <v>1598</v>
      </c>
      <c r="F6025" t="str">
        <f t="shared" si="413"/>
        <v>0000</v>
      </c>
    </row>
    <row r="6026" spans="1:6">
      <c r="A6026" t="str">
        <f>"E1266-179"</f>
        <v>E1266-179</v>
      </c>
      <c r="B6026" t="str">
        <f t="shared" si="414"/>
        <v>VIA VIRGILIO BROCCHI  18-</v>
      </c>
      <c r="C6026" t="str">
        <f t="shared" si="411"/>
        <v>4</v>
      </c>
      <c r="D6026">
        <v>27</v>
      </c>
      <c r="E6026" t="str">
        <f t="shared" si="412"/>
        <v>1598</v>
      </c>
      <c r="F6026" t="str">
        <f t="shared" si="413"/>
        <v>0000</v>
      </c>
    </row>
    <row r="6027" spans="1:6">
      <c r="A6027" t="str">
        <f>"E1266-180"</f>
        <v>E1266-180</v>
      </c>
      <c r="B6027" t="str">
        <f t="shared" si="414"/>
        <v>VIA VIRGILIO BROCCHI  18-</v>
      </c>
      <c r="C6027" t="str">
        <f t="shared" si="411"/>
        <v>4</v>
      </c>
      <c r="D6027">
        <v>27</v>
      </c>
      <c r="E6027" t="str">
        <f t="shared" si="412"/>
        <v>1598</v>
      </c>
      <c r="F6027" t="str">
        <f t="shared" si="413"/>
        <v>0000</v>
      </c>
    </row>
    <row r="6028" spans="1:6">
      <c r="A6028" t="str">
        <f>"E1266-181"</f>
        <v>E1266-181</v>
      </c>
      <c r="B6028" t="str">
        <f t="shared" si="414"/>
        <v>VIA VIRGILIO BROCCHI  18-</v>
      </c>
      <c r="C6028" t="str">
        <f t="shared" si="411"/>
        <v>4</v>
      </c>
      <c r="D6028">
        <v>27</v>
      </c>
      <c r="E6028" t="str">
        <f t="shared" si="412"/>
        <v>1598</v>
      </c>
      <c r="F6028" t="str">
        <f t="shared" si="413"/>
        <v>0000</v>
      </c>
    </row>
    <row r="6029" spans="1:6">
      <c r="A6029" t="str">
        <f>"E1266-182"</f>
        <v>E1266-182</v>
      </c>
      <c r="B6029" t="str">
        <f t="shared" si="414"/>
        <v>VIA VIRGILIO BROCCHI  18-</v>
      </c>
      <c r="C6029" t="str">
        <f t="shared" si="411"/>
        <v>4</v>
      </c>
      <c r="D6029">
        <v>27</v>
      </c>
      <c r="E6029" t="str">
        <f t="shared" si="412"/>
        <v>1598</v>
      </c>
      <c r="F6029" t="str">
        <f t="shared" si="413"/>
        <v>0000</v>
      </c>
    </row>
    <row r="6030" spans="1:6">
      <c r="A6030" t="str">
        <f>"E1266-183"</f>
        <v>E1266-183</v>
      </c>
      <c r="B6030" t="str">
        <f t="shared" si="414"/>
        <v>VIA VIRGILIO BROCCHI  18-</v>
      </c>
      <c r="C6030" t="str">
        <f t="shared" si="411"/>
        <v>4</v>
      </c>
      <c r="D6030">
        <v>27</v>
      </c>
      <c r="E6030" t="str">
        <f t="shared" si="412"/>
        <v>1598</v>
      </c>
      <c r="F6030" t="str">
        <f t="shared" si="413"/>
        <v>0000</v>
      </c>
    </row>
    <row r="6031" spans="1:6">
      <c r="A6031" t="str">
        <f>"E1266-184"</f>
        <v>E1266-184</v>
      </c>
      <c r="B6031" t="str">
        <f t="shared" si="414"/>
        <v>VIA VIRGILIO BROCCHI  18-</v>
      </c>
      <c r="C6031" t="str">
        <f t="shared" si="411"/>
        <v>4</v>
      </c>
      <c r="D6031">
        <v>27</v>
      </c>
      <c r="E6031" t="str">
        <f t="shared" si="412"/>
        <v>1598</v>
      </c>
      <c r="F6031" t="str">
        <f t="shared" si="413"/>
        <v>0000</v>
      </c>
    </row>
    <row r="6032" spans="1:6">
      <c r="A6032" t="str">
        <f>"E1266-185"</f>
        <v>E1266-185</v>
      </c>
      <c r="B6032" t="str">
        <f t="shared" si="414"/>
        <v>VIA VIRGILIO BROCCHI  18-</v>
      </c>
      <c r="C6032" t="str">
        <f t="shared" si="411"/>
        <v>4</v>
      </c>
      <c r="D6032">
        <v>27</v>
      </c>
      <c r="E6032" t="str">
        <f t="shared" si="412"/>
        <v>1598</v>
      </c>
      <c r="F6032" t="str">
        <f t="shared" si="413"/>
        <v>0000</v>
      </c>
    </row>
    <row r="6033" spans="1:6">
      <c r="A6033" t="str">
        <f>"E1266-186"</f>
        <v>E1266-186</v>
      </c>
      <c r="B6033" t="str">
        <f t="shared" si="414"/>
        <v>VIA VIRGILIO BROCCHI  18-</v>
      </c>
      <c r="C6033" t="str">
        <f t="shared" si="411"/>
        <v>4</v>
      </c>
      <c r="D6033">
        <v>27</v>
      </c>
      <c r="E6033" t="str">
        <f t="shared" si="412"/>
        <v>1598</v>
      </c>
      <c r="F6033" t="str">
        <f t="shared" si="413"/>
        <v>0000</v>
      </c>
    </row>
    <row r="6034" spans="1:6">
      <c r="A6034" t="str">
        <f>"E1266-187"</f>
        <v>E1266-187</v>
      </c>
      <c r="B6034" t="str">
        <f t="shared" si="414"/>
        <v>VIA VIRGILIO BROCCHI  18-</v>
      </c>
      <c r="C6034" t="str">
        <f t="shared" si="411"/>
        <v>4</v>
      </c>
      <c r="D6034">
        <v>27</v>
      </c>
      <c r="E6034" t="str">
        <f t="shared" si="412"/>
        <v>1598</v>
      </c>
      <c r="F6034" t="str">
        <f t="shared" si="413"/>
        <v>0000</v>
      </c>
    </row>
    <row r="6035" spans="1:6">
      <c r="A6035" t="str">
        <f>"E1266-188"</f>
        <v>E1266-188</v>
      </c>
      <c r="B6035" t="str">
        <f t="shared" si="414"/>
        <v>VIA VIRGILIO BROCCHI  18-</v>
      </c>
      <c r="C6035" t="str">
        <f t="shared" si="411"/>
        <v>4</v>
      </c>
      <c r="D6035">
        <v>27</v>
      </c>
      <c r="E6035" t="str">
        <f t="shared" si="412"/>
        <v>1598</v>
      </c>
      <c r="F6035" t="str">
        <f t="shared" si="413"/>
        <v>0000</v>
      </c>
    </row>
    <row r="6036" spans="1:6">
      <c r="A6036" t="str">
        <f>"E1266-189"</f>
        <v>E1266-189</v>
      </c>
      <c r="B6036" t="str">
        <f t="shared" si="414"/>
        <v>VIA VIRGILIO BROCCHI  18-</v>
      </c>
      <c r="C6036" t="str">
        <f t="shared" si="411"/>
        <v>4</v>
      </c>
      <c r="D6036">
        <v>27</v>
      </c>
      <c r="E6036" t="str">
        <f t="shared" si="412"/>
        <v>1598</v>
      </c>
      <c r="F6036" t="str">
        <f t="shared" si="413"/>
        <v>0000</v>
      </c>
    </row>
    <row r="6037" spans="1:6">
      <c r="A6037" t="str">
        <f>"E1266-190"</f>
        <v>E1266-190</v>
      </c>
      <c r="B6037" t="str">
        <f t="shared" si="414"/>
        <v>VIA VIRGILIO BROCCHI  18-</v>
      </c>
      <c r="C6037" t="str">
        <f t="shared" si="411"/>
        <v>4</v>
      </c>
      <c r="D6037">
        <v>27</v>
      </c>
      <c r="E6037" t="str">
        <f t="shared" si="412"/>
        <v>1598</v>
      </c>
      <c r="F6037" t="str">
        <f t="shared" si="413"/>
        <v>0000</v>
      </c>
    </row>
    <row r="6038" spans="1:6">
      <c r="A6038" t="str">
        <f>"E1266-191"</f>
        <v>E1266-191</v>
      </c>
      <c r="B6038" t="str">
        <f t="shared" si="414"/>
        <v>VIA VIRGILIO BROCCHI  18-</v>
      </c>
      <c r="C6038" t="str">
        <f t="shared" si="411"/>
        <v>4</v>
      </c>
      <c r="D6038">
        <v>27</v>
      </c>
      <c r="E6038" t="str">
        <f t="shared" si="412"/>
        <v>1598</v>
      </c>
      <c r="F6038" t="str">
        <f t="shared" si="413"/>
        <v>0000</v>
      </c>
    </row>
    <row r="6039" spans="1:6">
      <c r="A6039" t="str">
        <f>"E1266-192"</f>
        <v>E1266-192</v>
      </c>
      <c r="B6039" t="str">
        <f t="shared" si="414"/>
        <v>VIA VIRGILIO BROCCHI  18-</v>
      </c>
      <c r="C6039" t="str">
        <f t="shared" si="411"/>
        <v>4</v>
      </c>
      <c r="D6039">
        <v>27</v>
      </c>
      <c r="E6039" t="str">
        <f t="shared" si="412"/>
        <v>1598</v>
      </c>
      <c r="F6039" t="str">
        <f t="shared" si="413"/>
        <v>0000</v>
      </c>
    </row>
    <row r="6040" spans="1:6">
      <c r="A6040" t="str">
        <f>"E1266-193"</f>
        <v>E1266-193</v>
      </c>
      <c r="B6040" t="str">
        <f>"VIA CESARE PEDRINI  29-"</f>
        <v>VIA CESARE PEDRINI  29-</v>
      </c>
      <c r="C6040" t="str">
        <f>"RIV"</f>
        <v>RIV</v>
      </c>
      <c r="D6040">
        <v>27</v>
      </c>
      <c r="E6040" t="str">
        <f>"572"</f>
        <v>572</v>
      </c>
      <c r="F6040" t="str">
        <f>"207"</f>
        <v>207</v>
      </c>
    </row>
    <row r="6041" spans="1:6">
      <c r="A6041" t="str">
        <f>"E1266-194"</f>
        <v>E1266-194</v>
      </c>
      <c r="B6041" t="str">
        <f>"VIA VIRGILIO BROCCHI  16-"</f>
        <v>VIA VIRGILIO BROCCHI  16-</v>
      </c>
      <c r="C6041" t="str">
        <f>"RIV"</f>
        <v>RIV</v>
      </c>
      <c r="D6041">
        <v>27</v>
      </c>
      <c r="E6041" t="str">
        <f>"572"</f>
        <v>572</v>
      </c>
      <c r="F6041" t="str">
        <f>"206"</f>
        <v>206</v>
      </c>
    </row>
    <row r="6042" spans="1:6">
      <c r="A6042" t="str">
        <f>"E1267-1"</f>
        <v>E1267-1</v>
      </c>
      <c r="B6042" t="str">
        <f>"PIAZZALE A. GHIGLIONE  2-"</f>
        <v>PIAZZALE A. GHIGLIONE  2-</v>
      </c>
      <c r="C6042" t="str">
        <f t="shared" ref="C6042:C6048" si="415">"PON"</f>
        <v>PON</v>
      </c>
      <c r="D6042">
        <v>4</v>
      </c>
      <c r="E6042" t="str">
        <f>"1218"</f>
        <v>1218</v>
      </c>
      <c r="F6042" t="str">
        <f>"0000"</f>
        <v>0000</v>
      </c>
    </row>
    <row r="6043" spans="1:6">
      <c r="D6043">
        <v>4</v>
      </c>
      <c r="E6043" t="str">
        <f>"1221"</f>
        <v>1221</v>
      </c>
      <c r="F6043" t="str">
        <f>"1"</f>
        <v>1</v>
      </c>
    </row>
    <row r="6044" spans="1:6">
      <c r="D6044">
        <v>4</v>
      </c>
      <c r="E6044" t="str">
        <f>"1221"</f>
        <v>1221</v>
      </c>
      <c r="F6044" t="str">
        <f>"4"</f>
        <v>4</v>
      </c>
    </row>
    <row r="6045" spans="1:6">
      <c r="D6045">
        <v>4</v>
      </c>
      <c r="E6045" t="str">
        <f>"1219"</f>
        <v>1219</v>
      </c>
      <c r="F6045" t="str">
        <f>"0000"</f>
        <v>0000</v>
      </c>
    </row>
    <row r="6046" spans="1:6">
      <c r="D6046">
        <v>4</v>
      </c>
      <c r="E6046" t="str">
        <f>"1222"</f>
        <v>1222</v>
      </c>
      <c r="F6046" t="str">
        <f>"0000"</f>
        <v>0000</v>
      </c>
    </row>
    <row r="6047" spans="1:6">
      <c r="A6047" t="str">
        <f>"E1267-2"</f>
        <v>E1267-2</v>
      </c>
      <c r="B6047" t="str">
        <f>"VIA CONI ZUGNA  2B-"</f>
        <v>VIA CONI ZUGNA  2B-</v>
      </c>
      <c r="C6047" t="str">
        <f t="shared" si="415"/>
        <v>PON</v>
      </c>
      <c r="D6047">
        <v>4</v>
      </c>
      <c r="E6047" t="str">
        <f>"1221"</f>
        <v>1221</v>
      </c>
      <c r="F6047" t="str">
        <f>"3"</f>
        <v>3</v>
      </c>
    </row>
    <row r="6048" spans="1:6">
      <c r="A6048" t="str">
        <f>"E1267-3"</f>
        <v>E1267-3</v>
      </c>
      <c r="B6048" t="str">
        <f>"VIA CONI ZUGNA  2B-"</f>
        <v>VIA CONI ZUGNA  2B-</v>
      </c>
      <c r="C6048" t="str">
        <f t="shared" si="415"/>
        <v>PON</v>
      </c>
      <c r="D6048">
        <v>4</v>
      </c>
      <c r="E6048" t="str">
        <f>"1221"</f>
        <v>1221</v>
      </c>
      <c r="F6048" t="str">
        <f>"2"</f>
        <v>2</v>
      </c>
    </row>
    <row r="6049" spans="1:6">
      <c r="A6049" t="str">
        <f>"E1268-1"</f>
        <v>E1268-1</v>
      </c>
      <c r="B6049" t="str">
        <f>"VIA ALLE SCUOLE DI MOREGO VICINO AL 39-"</f>
        <v>VIA ALLE SCUOLE DI MOREGO VICINO AL 39-</v>
      </c>
      <c r="C6049" t="str">
        <f>"SQ"</f>
        <v>SQ</v>
      </c>
      <c r="D6049">
        <v>9</v>
      </c>
      <c r="E6049" t="str">
        <f>"97"</f>
        <v>97</v>
      </c>
      <c r="F6049" t="str">
        <f t="shared" ref="F6049:F6068" si="416">"0000"</f>
        <v>0000</v>
      </c>
    </row>
    <row r="6050" spans="1:6">
      <c r="A6050" t="str">
        <f>"E1270-1"</f>
        <v>E1270-1</v>
      </c>
      <c r="B6050" t="str">
        <f>"VIA CARLO LINNEO VICINO AL 234-"</f>
        <v>VIA CARLO LINNEO VICINO AL 234-</v>
      </c>
      <c r="C6050" t="str">
        <f t="shared" ref="C6050:C6067" si="417">"4"</f>
        <v>4</v>
      </c>
      <c r="D6050">
        <v>27</v>
      </c>
      <c r="E6050" t="str">
        <f>"259"</f>
        <v>259</v>
      </c>
      <c r="F6050" t="str">
        <f t="shared" si="416"/>
        <v>0000</v>
      </c>
    </row>
    <row r="6051" spans="1:6">
      <c r="C6051" t="str">
        <f t="shared" si="417"/>
        <v>4</v>
      </c>
      <c r="D6051">
        <v>27</v>
      </c>
      <c r="E6051" t="str">
        <f>"300"</f>
        <v>300</v>
      </c>
      <c r="F6051" t="str">
        <f t="shared" si="416"/>
        <v>0000</v>
      </c>
    </row>
    <row r="6052" spans="1:6">
      <c r="C6052" t="str">
        <f t="shared" si="417"/>
        <v>4</v>
      </c>
      <c r="D6052">
        <v>27</v>
      </c>
      <c r="E6052" t="str">
        <f>"455"</f>
        <v>455</v>
      </c>
      <c r="F6052" t="str">
        <f t="shared" si="416"/>
        <v>0000</v>
      </c>
    </row>
    <row r="6053" spans="1:6">
      <c r="C6053" t="str">
        <f t="shared" si="417"/>
        <v>4</v>
      </c>
      <c r="D6053">
        <v>27</v>
      </c>
      <c r="E6053" t="str">
        <f>"293"</f>
        <v>293</v>
      </c>
      <c r="F6053" t="str">
        <f t="shared" si="416"/>
        <v>0000</v>
      </c>
    </row>
    <row r="6054" spans="1:6">
      <c r="C6054" t="str">
        <f t="shared" si="417"/>
        <v>4</v>
      </c>
      <c r="D6054">
        <v>27</v>
      </c>
      <c r="E6054" t="str">
        <f>"460"</f>
        <v>460</v>
      </c>
      <c r="F6054" t="str">
        <f t="shared" si="416"/>
        <v>0000</v>
      </c>
    </row>
    <row r="6055" spans="1:6">
      <c r="A6055" t="str">
        <f>"E1271-1"</f>
        <v>E1271-1</v>
      </c>
      <c r="B6055" t="str">
        <f>"VIA TOMMASO ALBINONI  9-"</f>
        <v>VIA TOMMASO ALBINONI  9-</v>
      </c>
      <c r="C6055" t="str">
        <f t="shared" si="417"/>
        <v>4</v>
      </c>
      <c r="D6055">
        <v>26</v>
      </c>
      <c r="E6055" t="str">
        <f>"1266"</f>
        <v>1266</v>
      </c>
      <c r="F6055" t="str">
        <f t="shared" si="416"/>
        <v>0000</v>
      </c>
    </row>
    <row r="6056" spans="1:6">
      <c r="C6056" t="str">
        <f t="shared" si="417"/>
        <v>4</v>
      </c>
      <c r="D6056">
        <v>26</v>
      </c>
      <c r="E6056" t="str">
        <f>"1938"</f>
        <v>1938</v>
      </c>
      <c r="F6056" t="str">
        <f t="shared" si="416"/>
        <v>0000</v>
      </c>
    </row>
    <row r="6057" spans="1:6">
      <c r="C6057" t="str">
        <f t="shared" si="417"/>
        <v>4</v>
      </c>
      <c r="D6057">
        <v>26</v>
      </c>
      <c r="E6057" t="str">
        <f>"1944"</f>
        <v>1944</v>
      </c>
      <c r="F6057" t="str">
        <f t="shared" si="416"/>
        <v>0000</v>
      </c>
    </row>
    <row r="6058" spans="1:6">
      <c r="C6058" t="str">
        <f t="shared" si="417"/>
        <v>4</v>
      </c>
      <c r="D6058">
        <v>26</v>
      </c>
      <c r="E6058" t="str">
        <f>"295"</f>
        <v>295</v>
      </c>
      <c r="F6058" t="str">
        <f t="shared" si="416"/>
        <v>0000</v>
      </c>
    </row>
    <row r="6059" spans="1:6">
      <c r="C6059" t="str">
        <f t="shared" si="417"/>
        <v>4</v>
      </c>
      <c r="D6059">
        <v>26</v>
      </c>
      <c r="E6059" t="str">
        <f>"1950"</f>
        <v>1950</v>
      </c>
      <c r="F6059" t="str">
        <f t="shared" si="416"/>
        <v>0000</v>
      </c>
    </row>
    <row r="6060" spans="1:6">
      <c r="C6060" t="str">
        <f t="shared" si="417"/>
        <v>4</v>
      </c>
      <c r="D6060">
        <v>26</v>
      </c>
      <c r="E6060" t="str">
        <f>"1947"</f>
        <v>1947</v>
      </c>
      <c r="F6060" t="str">
        <f t="shared" si="416"/>
        <v>0000</v>
      </c>
    </row>
    <row r="6061" spans="1:6">
      <c r="C6061" t="str">
        <f t="shared" si="417"/>
        <v>4</v>
      </c>
      <c r="D6061">
        <v>26</v>
      </c>
      <c r="E6061" t="str">
        <f>"1946"</f>
        <v>1946</v>
      </c>
      <c r="F6061" t="str">
        <f t="shared" si="416"/>
        <v>0000</v>
      </c>
    </row>
    <row r="6062" spans="1:6">
      <c r="C6062" t="str">
        <f t="shared" si="417"/>
        <v>4</v>
      </c>
      <c r="D6062">
        <v>26</v>
      </c>
      <c r="E6062" t="str">
        <f>"1945"</f>
        <v>1945</v>
      </c>
      <c r="F6062" t="str">
        <f t="shared" si="416"/>
        <v>0000</v>
      </c>
    </row>
    <row r="6063" spans="1:6">
      <c r="C6063" t="str">
        <f t="shared" si="417"/>
        <v>4</v>
      </c>
      <c r="D6063">
        <v>26</v>
      </c>
      <c r="E6063" t="str">
        <f>"1943"</f>
        <v>1943</v>
      </c>
      <c r="F6063" t="str">
        <f t="shared" si="416"/>
        <v>0000</v>
      </c>
    </row>
    <row r="6064" spans="1:6">
      <c r="C6064" t="str">
        <f t="shared" si="417"/>
        <v>4</v>
      </c>
      <c r="D6064">
        <v>26</v>
      </c>
      <c r="E6064" t="str">
        <f>"1933"</f>
        <v>1933</v>
      </c>
      <c r="F6064" t="str">
        <f t="shared" si="416"/>
        <v>0000</v>
      </c>
    </row>
    <row r="6065" spans="1:6">
      <c r="C6065" t="str">
        <f t="shared" si="417"/>
        <v>4</v>
      </c>
      <c r="D6065">
        <v>26</v>
      </c>
      <c r="E6065" t="str">
        <f>"1267"</f>
        <v>1267</v>
      </c>
      <c r="F6065" t="str">
        <f t="shared" si="416"/>
        <v>0000</v>
      </c>
    </row>
    <row r="6066" spans="1:6">
      <c r="A6066" t="str">
        <f>"E1272-1"</f>
        <v>E1272-1</v>
      </c>
      <c r="B6066" t="str">
        <f>"PIAZZA VITTIME DI BOLOGNA  10-"</f>
        <v>PIAZZA VITTIME DI BOLOGNA  10-</v>
      </c>
      <c r="C6066" t="str">
        <f t="shared" si="417"/>
        <v>4</v>
      </c>
      <c r="D6066">
        <v>26</v>
      </c>
      <c r="E6066" t="str">
        <f>"1932"</f>
        <v>1932</v>
      </c>
      <c r="F6066" t="str">
        <f t="shared" si="416"/>
        <v>0000</v>
      </c>
    </row>
    <row r="6067" spans="1:6">
      <c r="A6067" t="str">
        <f>"E1273-1"</f>
        <v>E1273-1</v>
      </c>
      <c r="B6067" t="str">
        <f>"PIAZZA VITTIME DI BOLOGNA  2-"</f>
        <v>PIAZZA VITTIME DI BOLOGNA  2-</v>
      </c>
      <c r="C6067" t="str">
        <f t="shared" si="417"/>
        <v>4</v>
      </c>
      <c r="D6067">
        <v>26</v>
      </c>
      <c r="E6067" t="str">
        <f>"1932"</f>
        <v>1932</v>
      </c>
      <c r="F6067" t="str">
        <f t="shared" si="416"/>
        <v>0000</v>
      </c>
    </row>
    <row r="6068" spans="1:6">
      <c r="A6068" t="str">
        <f>"E1276-1"</f>
        <v>E1276-1</v>
      </c>
      <c r="B6068" t="str">
        <f>"VIA CELESIA  45-"</f>
        <v>VIA CELESIA  45-</v>
      </c>
      <c r="C6068" t="str">
        <f t="shared" ref="C6068:C6073" si="418">"RIV"</f>
        <v>RIV</v>
      </c>
      <c r="D6068">
        <v>33</v>
      </c>
      <c r="E6068" t="str">
        <f>"252"</f>
        <v>252</v>
      </c>
      <c r="F6068" t="str">
        <f t="shared" si="416"/>
        <v>0000</v>
      </c>
    </row>
    <row r="6069" spans="1:6">
      <c r="C6069" t="str">
        <f t="shared" si="418"/>
        <v>RIV</v>
      </c>
      <c r="D6069">
        <v>33</v>
      </c>
      <c r="E6069" t="str">
        <f>"72"</f>
        <v>72</v>
      </c>
      <c r="F6069" t="str">
        <f>"7"</f>
        <v>7</v>
      </c>
    </row>
    <row r="6070" spans="1:6">
      <c r="A6070" t="str">
        <f>"E1276-2"</f>
        <v>E1276-2</v>
      </c>
      <c r="B6070" t="str">
        <f>"VIA CELESIA  99R-"</f>
        <v>VIA CELESIA  99R-</v>
      </c>
      <c r="C6070" t="str">
        <f t="shared" si="418"/>
        <v>RIV</v>
      </c>
      <c r="D6070">
        <v>33</v>
      </c>
      <c r="E6070" t="str">
        <f>"72"</f>
        <v>72</v>
      </c>
      <c r="F6070" t="str">
        <f>"1"</f>
        <v>1</v>
      </c>
    </row>
    <row r="6071" spans="1:6">
      <c r="A6071" t="str">
        <f>"E1277-1"</f>
        <v>E1277-1</v>
      </c>
      <c r="B6071" t="str">
        <f>"VIA GIOACHINO ROSSINI VICINO AL 2-"</f>
        <v>VIA GIOACHINO ROSSINI VICINO AL 2-</v>
      </c>
      <c r="C6071" t="str">
        <f t="shared" si="418"/>
        <v>RIV</v>
      </c>
      <c r="D6071">
        <v>33</v>
      </c>
      <c r="E6071" t="str">
        <f>"266"</f>
        <v>266</v>
      </c>
      <c r="F6071" t="str">
        <f>"0000"</f>
        <v>0000</v>
      </c>
    </row>
    <row r="6072" spans="1:6">
      <c r="A6072" t="str">
        <f>"E1278-1"</f>
        <v>E1278-1</v>
      </c>
      <c r="B6072" t="str">
        <f>"VIA GERMANO JORI  60-"</f>
        <v>VIA GERMANO JORI  60-</v>
      </c>
      <c r="C6072" t="str">
        <f t="shared" si="418"/>
        <v>RIV</v>
      </c>
      <c r="D6072">
        <v>35</v>
      </c>
      <c r="E6072" t="str">
        <f>"952"</f>
        <v>952</v>
      </c>
      <c r="F6072" t="str">
        <f>"1"</f>
        <v>1</v>
      </c>
    </row>
    <row r="6073" spans="1:6">
      <c r="A6073" t="str">
        <f>"E1279-1"</f>
        <v>E1279-1</v>
      </c>
      <c r="B6073" t="str">
        <f>"PASSO TORBELLA VICINO AL 1F-"</f>
        <v>PASSO TORBELLA VICINO AL 1F-</v>
      </c>
      <c r="C6073" t="str">
        <f t="shared" si="418"/>
        <v>RIV</v>
      </c>
      <c r="D6073">
        <v>35</v>
      </c>
      <c r="E6073" t="str">
        <f>"925"</f>
        <v>925</v>
      </c>
      <c r="F6073" t="str">
        <f t="shared" ref="F6073:F6088" si="419">"0000"</f>
        <v>0000</v>
      </c>
    </row>
    <row r="6074" spans="1:6">
      <c r="A6074" t="str">
        <f>"E1280-1"</f>
        <v>E1280-1</v>
      </c>
      <c r="B6074" t="str">
        <f>"VIA P NEGROTTO CAMBIASO VICINO AL 92-"</f>
        <v>VIA P NEGROTTO CAMBIASO VICINO AL 92-</v>
      </c>
      <c r="C6074" t="str">
        <f>"4"</f>
        <v>4</v>
      </c>
      <c r="D6074">
        <v>26</v>
      </c>
      <c r="E6074" t="str">
        <f>"233"</f>
        <v>233</v>
      </c>
      <c r="F6074" t="str">
        <f t="shared" si="419"/>
        <v>0000</v>
      </c>
    </row>
    <row r="6075" spans="1:6">
      <c r="A6075" t="str">
        <f>"E1281-1"</f>
        <v>E1281-1</v>
      </c>
      <c r="B6075" t="str">
        <f>"VIA CELESIA VICINO AL 9R-"</f>
        <v>VIA CELESIA VICINO AL 9R-</v>
      </c>
      <c r="C6075" t="str">
        <f>"4"</f>
        <v>4</v>
      </c>
      <c r="D6075">
        <v>33</v>
      </c>
      <c r="E6075" t="str">
        <f>"308"</f>
        <v>308</v>
      </c>
      <c r="F6075" t="str">
        <f t="shared" si="419"/>
        <v>0000</v>
      </c>
    </row>
    <row r="6076" spans="1:6">
      <c r="A6076" t="str">
        <f>"E1282-1"</f>
        <v>E1282-1</v>
      </c>
      <c r="B6076" t="str">
        <f>"VIA GIOACHINO ROSSINI  65R-"</f>
        <v>VIA GIOACHINO ROSSINI  65R-</v>
      </c>
      <c r="C6076" t="str">
        <f>"RIV"</f>
        <v>RIV</v>
      </c>
      <c r="D6076">
        <v>33</v>
      </c>
      <c r="E6076" t="str">
        <f>"215"</f>
        <v>215</v>
      </c>
      <c r="F6076" t="str">
        <f t="shared" si="419"/>
        <v>0000</v>
      </c>
    </row>
    <row r="6077" spans="1:6">
      <c r="A6077" t="str">
        <f>"E1286-1"</f>
        <v>E1286-1</v>
      </c>
      <c r="B6077" t="str">
        <f>"VIA RIVAROLO  31-"</f>
        <v>VIA RIVAROLO  31-</v>
      </c>
      <c r="C6077" t="str">
        <f t="shared" ref="C6077:C6088" si="420">"4"</f>
        <v>4</v>
      </c>
      <c r="D6077">
        <v>25</v>
      </c>
      <c r="E6077" t="str">
        <f>"130"</f>
        <v>130</v>
      </c>
      <c r="F6077" t="str">
        <f t="shared" si="419"/>
        <v>0000</v>
      </c>
    </row>
    <row r="6078" spans="1:6">
      <c r="C6078" t="str">
        <f t="shared" si="420"/>
        <v>4</v>
      </c>
      <c r="D6078">
        <v>25</v>
      </c>
      <c r="E6078" t="str">
        <f>"240"</f>
        <v>240</v>
      </c>
      <c r="F6078" t="str">
        <f t="shared" si="419"/>
        <v>0000</v>
      </c>
    </row>
    <row r="6079" spans="1:6">
      <c r="C6079" t="str">
        <f t="shared" si="420"/>
        <v>4</v>
      </c>
      <c r="D6079">
        <v>25</v>
      </c>
      <c r="E6079" t="str">
        <f>"242"</f>
        <v>242</v>
      </c>
      <c r="F6079" t="str">
        <f t="shared" si="419"/>
        <v>0000</v>
      </c>
    </row>
    <row r="6080" spans="1:6">
      <c r="C6080" t="str">
        <f t="shared" si="420"/>
        <v>4</v>
      </c>
      <c r="D6080">
        <v>25</v>
      </c>
      <c r="E6080" t="str">
        <f>"241"</f>
        <v>241</v>
      </c>
      <c r="F6080" t="str">
        <f t="shared" si="419"/>
        <v>0000</v>
      </c>
    </row>
    <row r="6081" spans="1:6">
      <c r="A6081" t="str">
        <f>"E1286-2"</f>
        <v>E1286-2</v>
      </c>
      <c r="B6081" t="str">
        <f>"VIA RIVAROLO VICINO AL 31-"</f>
        <v>VIA RIVAROLO VICINO AL 31-</v>
      </c>
      <c r="C6081" t="str">
        <f t="shared" si="420"/>
        <v>4</v>
      </c>
      <c r="D6081">
        <v>25</v>
      </c>
      <c r="E6081" t="str">
        <f>"130"</f>
        <v>130</v>
      </c>
      <c r="F6081" t="str">
        <f t="shared" si="419"/>
        <v>0000</v>
      </c>
    </row>
    <row r="6082" spans="1:6">
      <c r="C6082" t="str">
        <f t="shared" si="420"/>
        <v>4</v>
      </c>
      <c r="D6082">
        <v>25</v>
      </c>
      <c r="E6082" t="str">
        <f>"240"</f>
        <v>240</v>
      </c>
      <c r="F6082" t="str">
        <f t="shared" si="419"/>
        <v>0000</v>
      </c>
    </row>
    <row r="6083" spans="1:6">
      <c r="C6083" t="str">
        <f t="shared" si="420"/>
        <v>4</v>
      </c>
      <c r="D6083">
        <v>25</v>
      </c>
      <c r="E6083" t="str">
        <f>"242"</f>
        <v>242</v>
      </c>
      <c r="F6083" t="str">
        <f t="shared" si="419"/>
        <v>0000</v>
      </c>
    </row>
    <row r="6084" spans="1:6">
      <c r="C6084" t="str">
        <f t="shared" si="420"/>
        <v>4</v>
      </c>
      <c r="D6084">
        <v>25</v>
      </c>
      <c r="E6084" t="str">
        <f>"241"</f>
        <v>241</v>
      </c>
      <c r="F6084" t="str">
        <f t="shared" si="419"/>
        <v>0000</v>
      </c>
    </row>
    <row r="6085" spans="1:6">
      <c r="A6085" t="str">
        <f>"E1286-3"</f>
        <v>E1286-3</v>
      </c>
      <c r="B6085" t="str">
        <f>"VIA SANT STEFANO RIVAROLO VICINO AL 2R-"</f>
        <v>VIA SANT STEFANO RIVAROLO VICINO AL 2R-</v>
      </c>
      <c r="C6085" t="str">
        <f t="shared" si="420"/>
        <v>4</v>
      </c>
      <c r="D6085">
        <v>25</v>
      </c>
      <c r="E6085" t="str">
        <f>"130"</f>
        <v>130</v>
      </c>
      <c r="F6085" t="str">
        <f t="shared" si="419"/>
        <v>0000</v>
      </c>
    </row>
    <row r="6086" spans="1:6">
      <c r="C6086" t="str">
        <f t="shared" si="420"/>
        <v>4</v>
      </c>
      <c r="D6086">
        <v>25</v>
      </c>
      <c r="E6086" t="str">
        <f>"240"</f>
        <v>240</v>
      </c>
      <c r="F6086" t="str">
        <f t="shared" si="419"/>
        <v>0000</v>
      </c>
    </row>
    <row r="6087" spans="1:6">
      <c r="C6087" t="str">
        <f t="shared" si="420"/>
        <v>4</v>
      </c>
      <c r="D6087">
        <v>25</v>
      </c>
      <c r="E6087" t="str">
        <f>"242"</f>
        <v>242</v>
      </c>
      <c r="F6087" t="str">
        <f t="shared" si="419"/>
        <v>0000</v>
      </c>
    </row>
    <row r="6088" spans="1:6">
      <c r="C6088" t="str">
        <f t="shared" si="420"/>
        <v>4</v>
      </c>
      <c r="D6088">
        <v>25</v>
      </c>
      <c r="E6088" t="str">
        <f>"241"</f>
        <v>241</v>
      </c>
      <c r="F6088" t="str">
        <f t="shared" si="419"/>
        <v>0000</v>
      </c>
    </row>
    <row r="6089" spans="1:6">
      <c r="A6089" t="str">
        <f>"E1287-1"</f>
        <v>E1287-1</v>
      </c>
      <c r="B6089" t="str">
        <f>"VIA GIOACHINO ROSSINI  11-"</f>
        <v>VIA GIOACHINO ROSSINI  11-</v>
      </c>
      <c r="C6089" t="str">
        <f>"RIV"</f>
        <v>RIV</v>
      </c>
      <c r="D6089">
        <v>33</v>
      </c>
      <c r="E6089" t="str">
        <f>"228"</f>
        <v>228</v>
      </c>
      <c r="F6089" t="str">
        <f>"29"</f>
        <v>29</v>
      </c>
    </row>
    <row r="6090" spans="1:6">
      <c r="A6090" t="str">
        <f>"E1289-1"</f>
        <v>E1289-1</v>
      </c>
      <c r="B6090" t="str">
        <f>"VIA FALIERO VEZZANI VICINO AL 70-"</f>
        <v>VIA FALIERO VEZZANI VICINO AL 70-</v>
      </c>
      <c r="C6090" t="str">
        <f t="shared" ref="C6090:C6103" si="421">"4"</f>
        <v>4</v>
      </c>
      <c r="D6090">
        <v>32</v>
      </c>
      <c r="E6090" t="str">
        <f>"5"</f>
        <v>5</v>
      </c>
      <c r="F6090" t="str">
        <f t="shared" ref="F6090:F6103" si="422">"0000"</f>
        <v>0000</v>
      </c>
    </row>
    <row r="6091" spans="1:6">
      <c r="A6091" t="str">
        <f>"E1290-1"</f>
        <v>E1290-1</v>
      </c>
      <c r="B6091" t="str">
        <f>"SALITA AL GARBO  43-"</f>
        <v>SALITA AL GARBO  43-</v>
      </c>
      <c r="C6091" t="str">
        <f t="shared" si="421"/>
        <v>4</v>
      </c>
      <c r="D6091">
        <v>37</v>
      </c>
      <c r="E6091" t="str">
        <f>"214"</f>
        <v>214</v>
      </c>
      <c r="F6091" t="str">
        <f t="shared" si="422"/>
        <v>0000</v>
      </c>
    </row>
    <row r="6092" spans="1:6">
      <c r="C6092" t="str">
        <f t="shared" si="421"/>
        <v>4</v>
      </c>
      <c r="D6092">
        <v>37</v>
      </c>
      <c r="E6092" t="str">
        <f>"215"</f>
        <v>215</v>
      </c>
      <c r="F6092" t="str">
        <f t="shared" si="422"/>
        <v>0000</v>
      </c>
    </row>
    <row r="6093" spans="1:6">
      <c r="A6093" t="str">
        <f>"E1290-2"</f>
        <v>E1290-2</v>
      </c>
      <c r="B6093" t="str">
        <f>"SALITA AL GARBO  43-"</f>
        <v>SALITA AL GARBO  43-</v>
      </c>
      <c r="C6093" t="str">
        <f t="shared" si="421"/>
        <v>4</v>
      </c>
      <c r="D6093">
        <v>37</v>
      </c>
      <c r="E6093" t="str">
        <f>"214"</f>
        <v>214</v>
      </c>
      <c r="F6093" t="str">
        <f t="shared" si="422"/>
        <v>0000</v>
      </c>
    </row>
    <row r="6094" spans="1:6">
      <c r="C6094" t="str">
        <f t="shared" si="421"/>
        <v>4</v>
      </c>
      <c r="D6094">
        <v>37</v>
      </c>
      <c r="E6094" t="str">
        <f>"215"</f>
        <v>215</v>
      </c>
      <c r="F6094" t="str">
        <f t="shared" si="422"/>
        <v>0000</v>
      </c>
    </row>
    <row r="6095" spans="1:6">
      <c r="A6095" t="str">
        <f>"E1290-3"</f>
        <v>E1290-3</v>
      </c>
      <c r="B6095" t="str">
        <f>"SALITA AL GARBO  45-"</f>
        <v>SALITA AL GARBO  45-</v>
      </c>
      <c r="C6095" t="str">
        <f t="shared" si="421"/>
        <v>4</v>
      </c>
      <c r="D6095">
        <v>37</v>
      </c>
      <c r="E6095" t="str">
        <f>"214"</f>
        <v>214</v>
      </c>
      <c r="F6095" t="str">
        <f t="shared" si="422"/>
        <v>0000</v>
      </c>
    </row>
    <row r="6096" spans="1:6">
      <c r="C6096" t="str">
        <f t="shared" si="421"/>
        <v>4</v>
      </c>
      <c r="D6096">
        <v>37</v>
      </c>
      <c r="E6096" t="str">
        <f>"215"</f>
        <v>215</v>
      </c>
      <c r="F6096" t="str">
        <f t="shared" si="422"/>
        <v>0000</v>
      </c>
    </row>
    <row r="6097" spans="1:6">
      <c r="A6097" t="str">
        <f>"E1291-1"</f>
        <v>E1291-1</v>
      </c>
      <c r="B6097" t="str">
        <f>"VIA ISOCORTE  1B-"</f>
        <v>VIA ISOCORTE  1B-</v>
      </c>
      <c r="C6097" t="str">
        <f t="shared" si="421"/>
        <v>4</v>
      </c>
      <c r="D6097">
        <v>4</v>
      </c>
      <c r="E6097" t="str">
        <f>"255"</f>
        <v>255</v>
      </c>
      <c r="F6097" t="str">
        <f t="shared" si="422"/>
        <v>0000</v>
      </c>
    </row>
    <row r="6098" spans="1:6">
      <c r="A6098" t="str">
        <f>"E1293-3"</f>
        <v>E1293-3</v>
      </c>
      <c r="B6098" t="str">
        <f t="shared" ref="B6098:B6103" si="423">"VIA DA SERRO A MOREGO  25-"</f>
        <v>VIA DA SERRO A MOREGO  25-</v>
      </c>
      <c r="C6098" t="str">
        <f t="shared" si="421"/>
        <v>4</v>
      </c>
      <c r="D6098">
        <v>9</v>
      </c>
      <c r="E6098" t="str">
        <f t="shared" ref="E6098:E6103" si="424">"153"</f>
        <v>153</v>
      </c>
      <c r="F6098" t="str">
        <f t="shared" si="422"/>
        <v>0000</v>
      </c>
    </row>
    <row r="6099" spans="1:6">
      <c r="A6099" t="str">
        <f>"E1293-4"</f>
        <v>E1293-4</v>
      </c>
      <c r="B6099" t="str">
        <f t="shared" si="423"/>
        <v>VIA DA SERRO A MOREGO  25-</v>
      </c>
      <c r="C6099" t="str">
        <f t="shared" si="421"/>
        <v>4</v>
      </c>
      <c r="D6099">
        <v>9</v>
      </c>
      <c r="E6099" t="str">
        <f t="shared" si="424"/>
        <v>153</v>
      </c>
      <c r="F6099" t="str">
        <f t="shared" si="422"/>
        <v>0000</v>
      </c>
    </row>
    <row r="6100" spans="1:6">
      <c r="A6100" t="str">
        <f>"E1293-5"</f>
        <v>E1293-5</v>
      </c>
      <c r="B6100" t="str">
        <f t="shared" si="423"/>
        <v>VIA DA SERRO A MOREGO  25-</v>
      </c>
      <c r="C6100" t="str">
        <f t="shared" si="421"/>
        <v>4</v>
      </c>
      <c r="D6100">
        <v>9</v>
      </c>
      <c r="E6100" t="str">
        <f t="shared" si="424"/>
        <v>153</v>
      </c>
      <c r="F6100" t="str">
        <f t="shared" si="422"/>
        <v>0000</v>
      </c>
    </row>
    <row r="6101" spans="1:6">
      <c r="A6101" t="str">
        <f>"E1293-6"</f>
        <v>E1293-6</v>
      </c>
      <c r="B6101" t="str">
        <f t="shared" si="423"/>
        <v>VIA DA SERRO A MOREGO  25-</v>
      </c>
      <c r="C6101" t="str">
        <f t="shared" si="421"/>
        <v>4</v>
      </c>
      <c r="D6101">
        <v>9</v>
      </c>
      <c r="E6101" t="str">
        <f t="shared" si="424"/>
        <v>153</v>
      </c>
      <c r="F6101" t="str">
        <f t="shared" si="422"/>
        <v>0000</v>
      </c>
    </row>
    <row r="6102" spans="1:6">
      <c r="A6102" t="str">
        <f>"E1293-7"</f>
        <v>E1293-7</v>
      </c>
      <c r="B6102" t="str">
        <f t="shared" si="423"/>
        <v>VIA DA SERRO A MOREGO  25-</v>
      </c>
      <c r="C6102" t="str">
        <f t="shared" si="421"/>
        <v>4</v>
      </c>
      <c r="D6102">
        <v>9</v>
      </c>
      <c r="E6102" t="str">
        <f t="shared" si="424"/>
        <v>153</v>
      </c>
      <c r="F6102" t="str">
        <f t="shared" si="422"/>
        <v>0000</v>
      </c>
    </row>
    <row r="6103" spans="1:6">
      <c r="A6103" t="str">
        <f>"E1293-8"</f>
        <v>E1293-8</v>
      </c>
      <c r="B6103" t="str">
        <f t="shared" si="423"/>
        <v>VIA DA SERRO A MOREGO  25-</v>
      </c>
      <c r="C6103" t="str">
        <f t="shared" si="421"/>
        <v>4</v>
      </c>
      <c r="D6103">
        <v>9</v>
      </c>
      <c r="E6103" t="str">
        <f t="shared" si="424"/>
        <v>153</v>
      </c>
      <c r="F6103" t="str">
        <f t="shared" si="422"/>
        <v>0000</v>
      </c>
    </row>
    <row r="6104" spans="1:6">
      <c r="A6104" t="str">
        <f>"E1294-2"</f>
        <v>E1294-2</v>
      </c>
      <c r="B6104" t="str">
        <f>"VIA DA SERRO A MOREGO  27-"</f>
        <v>VIA DA SERRO A MOREGO  27-</v>
      </c>
      <c r="C6104" t="str">
        <f>"SQ"</f>
        <v>SQ</v>
      </c>
      <c r="D6104">
        <v>9</v>
      </c>
      <c r="E6104" t="str">
        <f>"1548"</f>
        <v>1548</v>
      </c>
      <c r="F6104" t="str">
        <f>"1"</f>
        <v>1</v>
      </c>
    </row>
    <row r="6105" spans="1:6">
      <c r="A6105" t="str">
        <f>"E1294-3"</f>
        <v>E1294-3</v>
      </c>
      <c r="B6105" t="str">
        <f>"VIA DA SERRO A MOREGO  27-"</f>
        <v>VIA DA SERRO A MOREGO  27-</v>
      </c>
      <c r="C6105" t="str">
        <f>"SQ"</f>
        <v>SQ</v>
      </c>
      <c r="D6105">
        <v>9</v>
      </c>
      <c r="E6105" t="str">
        <f>"1548"</f>
        <v>1548</v>
      </c>
      <c r="F6105" t="str">
        <f>"2"</f>
        <v>2</v>
      </c>
    </row>
    <row r="6106" spans="1:6">
      <c r="A6106" t="str">
        <f>"E1295-1"</f>
        <v>E1295-1</v>
      </c>
      <c r="B6106" t="str">
        <f>"VIA FALIERO VEZZANI VICINO AL 187R-"</f>
        <v>VIA FALIERO VEZZANI VICINO AL 187R-</v>
      </c>
      <c r="C6106" t="str">
        <f>"4"</f>
        <v>4</v>
      </c>
      <c r="D6106">
        <v>27</v>
      </c>
      <c r="E6106" t="str">
        <f>"726"</f>
        <v>726</v>
      </c>
      <c r="F6106" t="str">
        <f>"0000"</f>
        <v>0000</v>
      </c>
    </row>
    <row r="6107" spans="1:6">
      <c r="A6107" t="str">
        <f>"E1296-1"</f>
        <v>E1296-1</v>
      </c>
      <c r="B6107" t="str">
        <f>"PIAZZA RICCARDO DE CAROLI  4-"</f>
        <v>PIAZZA RICCARDO DE CAROLI  4-</v>
      </c>
      <c r="C6107" t="str">
        <f>"4"</f>
        <v>4</v>
      </c>
      <c r="D6107">
        <v>24</v>
      </c>
      <c r="E6107" t="str">
        <f>"128"</f>
        <v>128</v>
      </c>
      <c r="F6107" t="str">
        <f>"0000"</f>
        <v>0000</v>
      </c>
    </row>
    <row r="6108" spans="1:6">
      <c r="A6108" t="str">
        <f>"E1297-1"</f>
        <v>E1297-1</v>
      </c>
      <c r="B6108" t="str">
        <f>"VIA GERMANO JORI  61-"</f>
        <v>VIA GERMANO JORI  61-</v>
      </c>
      <c r="C6108" t="str">
        <f>"RIV"</f>
        <v>RIV</v>
      </c>
      <c r="D6108">
        <v>35</v>
      </c>
      <c r="E6108" t="str">
        <f>"42"</f>
        <v>42</v>
      </c>
      <c r="F6108" t="str">
        <f>"12"</f>
        <v>12</v>
      </c>
    </row>
    <row r="6109" spans="1:6">
      <c r="A6109" t="str">
        <f>"E1298-1"</f>
        <v>E1298-1</v>
      </c>
      <c r="B6109" t="str">
        <f>"VIA BENEDETTO DA CESINO VICINO AL 39R-"</f>
        <v>VIA BENEDETTO DA CESINO VICINO AL 39R-</v>
      </c>
      <c r="C6109" t="str">
        <f>"PON"</f>
        <v>PON</v>
      </c>
      <c r="D6109">
        <v>2</v>
      </c>
      <c r="E6109" t="str">
        <f>"C"</f>
        <v>C</v>
      </c>
      <c r="F6109" t="str">
        <f t="shared" ref="F6109:F6124" si="425">"0000"</f>
        <v>0000</v>
      </c>
    </row>
    <row r="6110" spans="1:6">
      <c r="A6110" t="str">
        <f>"E1299-1"</f>
        <v>E1299-1</v>
      </c>
      <c r="B6110" t="str">
        <f>"VIA PASQUALE PASTORINO  15-"</f>
        <v>VIA PASQUALE PASTORINO  15-</v>
      </c>
      <c r="C6110" t="str">
        <f t="shared" ref="C6110:C6115" si="426">"BOL"</f>
        <v>BOL</v>
      </c>
      <c r="D6110">
        <v>17</v>
      </c>
      <c r="E6110" t="str">
        <f>"104"</f>
        <v>104</v>
      </c>
      <c r="F6110" t="str">
        <f t="shared" si="425"/>
        <v>0000</v>
      </c>
    </row>
    <row r="6111" spans="1:6">
      <c r="A6111" t="str">
        <f>"E1300-1"</f>
        <v>E1300-1</v>
      </c>
      <c r="B6111" t="str">
        <f>"VIA CAMPODONICO  19A-"</f>
        <v>VIA CAMPODONICO  19A-</v>
      </c>
      <c r="C6111" t="str">
        <f t="shared" si="426"/>
        <v>BOL</v>
      </c>
      <c r="D6111">
        <v>17</v>
      </c>
      <c r="E6111" t="str">
        <f>"100"</f>
        <v>100</v>
      </c>
      <c r="F6111" t="str">
        <f t="shared" si="425"/>
        <v>0000</v>
      </c>
    </row>
    <row r="6112" spans="1:6">
      <c r="C6112" t="str">
        <f t="shared" si="426"/>
        <v>BOL</v>
      </c>
      <c r="D6112">
        <v>17</v>
      </c>
      <c r="E6112" t="str">
        <f>"103"</f>
        <v>103</v>
      </c>
      <c r="F6112" t="str">
        <f t="shared" si="425"/>
        <v>0000</v>
      </c>
    </row>
    <row r="6113" spans="1:6">
      <c r="C6113" t="str">
        <f t="shared" si="426"/>
        <v>BOL</v>
      </c>
      <c r="D6113">
        <v>17</v>
      </c>
      <c r="E6113" t="str">
        <f>"99"</f>
        <v>99</v>
      </c>
      <c r="F6113" t="str">
        <f t="shared" si="425"/>
        <v>0000</v>
      </c>
    </row>
    <row r="6114" spans="1:6">
      <c r="C6114" t="str">
        <f t="shared" si="426"/>
        <v>BOL</v>
      </c>
      <c r="D6114">
        <v>17</v>
      </c>
      <c r="E6114" t="str">
        <f>"102"</f>
        <v>102</v>
      </c>
      <c r="F6114" t="str">
        <f t="shared" si="425"/>
        <v>0000</v>
      </c>
    </row>
    <row r="6115" spans="1:6">
      <c r="C6115" t="str">
        <f t="shared" si="426"/>
        <v>BOL</v>
      </c>
      <c r="D6115">
        <v>17</v>
      </c>
      <c r="E6115" t="str">
        <f>"101"</f>
        <v>101</v>
      </c>
      <c r="F6115" t="str">
        <f t="shared" si="425"/>
        <v>0000</v>
      </c>
    </row>
    <row r="6116" spans="1:6">
      <c r="A6116" t="str">
        <f>"E1301-1"</f>
        <v>E1301-1</v>
      </c>
      <c r="B6116" t="str">
        <f>"VIA PASQUALE PASTORINO  15-"</f>
        <v>VIA PASQUALE PASTORINO  15-</v>
      </c>
      <c r="C6116" t="str">
        <f>"4"</f>
        <v>4</v>
      </c>
      <c r="D6116">
        <v>17</v>
      </c>
      <c r="E6116" t="str">
        <f>"323"</f>
        <v>323</v>
      </c>
      <c r="F6116" t="str">
        <f t="shared" si="425"/>
        <v>0000</v>
      </c>
    </row>
    <row r="6117" spans="1:6">
      <c r="A6117" t="str">
        <f>"E1302-1"</f>
        <v>E1302-1</v>
      </c>
      <c r="B6117" t="str">
        <f>"VIA BORZOLI  123-"</f>
        <v>VIA BORZOLI  123-</v>
      </c>
      <c r="C6117" t="str">
        <f>"3"</f>
        <v>3</v>
      </c>
      <c r="D6117">
        <v>67</v>
      </c>
      <c r="E6117" t="str">
        <f>"1182"</f>
        <v>1182</v>
      </c>
      <c r="F6117" t="str">
        <f t="shared" si="425"/>
        <v>0000</v>
      </c>
    </row>
    <row r="6118" spans="1:6">
      <c r="A6118" t="str">
        <f>"E1303-1"</f>
        <v>E1303-1</v>
      </c>
      <c r="B6118" t="str">
        <f>"VIA S BIAGIO DI VALPOLCEV VICINO AL 51-"</f>
        <v>VIA S BIAGIO DI VALPOLCEV VICINO AL 51-</v>
      </c>
      <c r="C6118" t="str">
        <f>"4"</f>
        <v>4</v>
      </c>
      <c r="D6118">
        <v>6</v>
      </c>
      <c r="E6118" t="str">
        <f>"A"</f>
        <v>A</v>
      </c>
      <c r="F6118" t="str">
        <f t="shared" si="425"/>
        <v>0000</v>
      </c>
    </row>
    <row r="6119" spans="1:6">
      <c r="A6119" t="str">
        <f>"E1310-1"</f>
        <v>E1310-1</v>
      </c>
      <c r="B6119" t="str">
        <f>"VIA FALIERO VEZZANI VICINO AL 187R-"</f>
        <v>VIA FALIERO VEZZANI VICINO AL 187R-</v>
      </c>
      <c r="C6119" t="str">
        <f>"4"</f>
        <v>4</v>
      </c>
      <c r="D6119">
        <v>27</v>
      </c>
      <c r="E6119" t="str">
        <f>"B"</f>
        <v>B</v>
      </c>
      <c r="F6119" t="str">
        <f t="shared" si="425"/>
        <v>0000</v>
      </c>
    </row>
    <row r="6120" spans="1:6">
      <c r="C6120" t="str">
        <f>"4"</f>
        <v>4</v>
      </c>
      <c r="D6120">
        <v>27</v>
      </c>
      <c r="E6120" t="str">
        <f>"C"</f>
        <v>C</v>
      </c>
      <c r="F6120" t="str">
        <f t="shared" si="425"/>
        <v>0000</v>
      </c>
    </row>
    <row r="6121" spans="1:6">
      <c r="A6121" t="str">
        <f>"E1311-1"</f>
        <v>E1311-1</v>
      </c>
      <c r="B6121" t="str">
        <f>"VIA S AMBROGIO DI FEGINO VICINO AL 59-"</f>
        <v>VIA S AMBROGIO DI FEGINO VICINO AL 59-</v>
      </c>
      <c r="C6121" t="str">
        <f>"3"</f>
        <v>3</v>
      </c>
      <c r="D6121">
        <v>67</v>
      </c>
      <c r="E6121" t="str">
        <f>"C"</f>
        <v>C</v>
      </c>
      <c r="F6121" t="str">
        <f t="shared" si="425"/>
        <v>0000</v>
      </c>
    </row>
    <row r="6122" spans="1:6">
      <c r="A6122" t="str">
        <f>"E1312-1"</f>
        <v>E1312-1</v>
      </c>
      <c r="B6122" t="str">
        <f>"VIA BEGATO VICINO AL 27-"</f>
        <v>VIA BEGATO VICINO AL 27-</v>
      </c>
      <c r="C6122" t="str">
        <f>"4"</f>
        <v>4</v>
      </c>
      <c r="D6122">
        <v>31</v>
      </c>
      <c r="E6122" t="str">
        <f>"A"</f>
        <v>A</v>
      </c>
      <c r="F6122" t="str">
        <f t="shared" si="425"/>
        <v>0000</v>
      </c>
    </row>
    <row r="6123" spans="1:6">
      <c r="A6123" t="str">
        <f>"E1317-1"</f>
        <v>E1317-1</v>
      </c>
      <c r="B6123" t="str">
        <f>"VIA SANT NS DELLA GUARDIA VICINO AL 62R-"</f>
        <v>VIA SANT NS DELLA GUARDIA VICINO AL 62R-</v>
      </c>
      <c r="C6123" t="str">
        <f>"4"</f>
        <v>4</v>
      </c>
      <c r="D6123">
        <v>10</v>
      </c>
      <c r="E6123" t="str">
        <f>"A"</f>
        <v>A</v>
      </c>
      <c r="F6123" t="str">
        <f t="shared" si="425"/>
        <v>0000</v>
      </c>
    </row>
    <row r="6124" spans="1:6">
      <c r="A6124" t="str">
        <f>"E1327-1"</f>
        <v>E1327-1</v>
      </c>
      <c r="B6124" t="str">
        <f>"VIA SANT NS DELLA GUARDIA  17B-"</f>
        <v>VIA SANT NS DELLA GUARDIA  17B-</v>
      </c>
      <c r="C6124" t="str">
        <f>"4"</f>
        <v>4</v>
      </c>
      <c r="D6124">
        <v>14</v>
      </c>
      <c r="E6124" t="str">
        <f>"99999"</f>
        <v>99999</v>
      </c>
      <c r="F6124" t="str">
        <f t="shared" si="425"/>
        <v>0000</v>
      </c>
    </row>
    <row r="6125" spans="1:6">
      <c r="A6125" t="str">
        <f>"E1554-1"</f>
        <v>E1554-1</v>
      </c>
      <c r="B6125" t="str">
        <f>"VIA SAN QUIRICO  3-"</f>
        <v>VIA SAN QUIRICO  3-</v>
      </c>
      <c r="C6125" t="str">
        <f>"SQ"</f>
        <v>SQ</v>
      </c>
      <c r="D6125">
        <v>9</v>
      </c>
      <c r="E6125" t="str">
        <f>"341"</f>
        <v>341</v>
      </c>
      <c r="F6125" t="str">
        <f>"2"</f>
        <v>2</v>
      </c>
    </row>
    <row r="6126" spans="1:6">
      <c r="A6126" t="str">
        <f>"E1555-1"</f>
        <v>E1555-1</v>
      </c>
      <c r="B6126" t="str">
        <f>"VIA SANT NS DELLA GUARDIA VICINO AL 96-"</f>
        <v>VIA SANT NS DELLA GUARDIA VICINO AL 96-</v>
      </c>
      <c r="C6126" t="str">
        <f t="shared" ref="C6126:C6137" si="427">"BOL"</f>
        <v>BOL</v>
      </c>
      <c r="D6126">
        <v>14</v>
      </c>
      <c r="E6126" t="str">
        <f>"111"</f>
        <v>111</v>
      </c>
      <c r="F6126" t="str">
        <f t="shared" ref="F6126:F6141" si="428">"0000"</f>
        <v>0000</v>
      </c>
    </row>
    <row r="6127" spans="1:6">
      <c r="C6127" t="str">
        <f t="shared" si="427"/>
        <v>BOL</v>
      </c>
      <c r="D6127">
        <v>14</v>
      </c>
      <c r="E6127" t="str">
        <f>"464"</f>
        <v>464</v>
      </c>
      <c r="F6127" t="str">
        <f t="shared" si="428"/>
        <v>0000</v>
      </c>
    </row>
    <row r="6128" spans="1:6">
      <c r="C6128" t="str">
        <f t="shared" si="427"/>
        <v>BOL</v>
      </c>
      <c r="D6128">
        <v>14</v>
      </c>
      <c r="E6128" t="str">
        <f>"466"</f>
        <v>466</v>
      </c>
      <c r="F6128" t="str">
        <f t="shared" si="428"/>
        <v>0000</v>
      </c>
    </row>
    <row r="6129" spans="1:6">
      <c r="C6129" t="str">
        <f t="shared" si="427"/>
        <v>BOL</v>
      </c>
      <c r="D6129">
        <v>14</v>
      </c>
      <c r="E6129" t="str">
        <f>"468"</f>
        <v>468</v>
      </c>
      <c r="F6129" t="str">
        <f t="shared" si="428"/>
        <v>0000</v>
      </c>
    </row>
    <row r="6130" spans="1:6">
      <c r="C6130" t="str">
        <f t="shared" si="427"/>
        <v>BOL</v>
      </c>
      <c r="D6130">
        <v>14</v>
      </c>
      <c r="E6130" t="str">
        <f>"482"</f>
        <v>482</v>
      </c>
      <c r="F6130" t="str">
        <f t="shared" si="428"/>
        <v>0000</v>
      </c>
    </row>
    <row r="6131" spans="1:6">
      <c r="C6131" t="str">
        <f t="shared" si="427"/>
        <v>BOL</v>
      </c>
      <c r="D6131">
        <v>14</v>
      </c>
      <c r="E6131" t="str">
        <f>"481"</f>
        <v>481</v>
      </c>
      <c r="F6131" t="str">
        <f t="shared" si="428"/>
        <v>0000</v>
      </c>
    </row>
    <row r="6132" spans="1:6">
      <c r="C6132" t="str">
        <f t="shared" si="427"/>
        <v>BOL</v>
      </c>
      <c r="D6132">
        <v>14</v>
      </c>
      <c r="E6132" t="str">
        <f>"471"</f>
        <v>471</v>
      </c>
      <c r="F6132" t="str">
        <f t="shared" si="428"/>
        <v>0000</v>
      </c>
    </row>
    <row r="6133" spans="1:6">
      <c r="C6133" t="str">
        <f t="shared" si="427"/>
        <v>BOL</v>
      </c>
      <c r="D6133">
        <v>14</v>
      </c>
      <c r="E6133" t="str">
        <f>"470"</f>
        <v>470</v>
      </c>
      <c r="F6133" t="str">
        <f t="shared" si="428"/>
        <v>0000</v>
      </c>
    </row>
    <row r="6134" spans="1:6">
      <c r="C6134" t="str">
        <f t="shared" si="427"/>
        <v>BOL</v>
      </c>
      <c r="D6134">
        <v>14</v>
      </c>
      <c r="E6134" t="str">
        <f>"469"</f>
        <v>469</v>
      </c>
      <c r="F6134" t="str">
        <f t="shared" si="428"/>
        <v>0000</v>
      </c>
    </row>
    <row r="6135" spans="1:6">
      <c r="C6135" t="str">
        <f t="shared" si="427"/>
        <v>BOL</v>
      </c>
      <c r="D6135">
        <v>14</v>
      </c>
      <c r="E6135" t="str">
        <f>"467"</f>
        <v>467</v>
      </c>
      <c r="F6135" t="str">
        <f t="shared" si="428"/>
        <v>0000</v>
      </c>
    </row>
    <row r="6136" spans="1:6">
      <c r="C6136" t="str">
        <f t="shared" si="427"/>
        <v>BOL</v>
      </c>
      <c r="D6136">
        <v>14</v>
      </c>
      <c r="E6136" t="str">
        <f>"465"</f>
        <v>465</v>
      </c>
      <c r="F6136" t="str">
        <f t="shared" si="428"/>
        <v>0000</v>
      </c>
    </row>
    <row r="6137" spans="1:6">
      <c r="C6137" t="str">
        <f t="shared" si="427"/>
        <v>BOL</v>
      </c>
      <c r="D6137">
        <v>14</v>
      </c>
      <c r="E6137" t="str">
        <f>"112"</f>
        <v>112</v>
      </c>
      <c r="F6137" t="str">
        <f t="shared" si="428"/>
        <v>0000</v>
      </c>
    </row>
    <row r="6138" spans="1:6">
      <c r="A6138" t="str">
        <f>"E1556-1"</f>
        <v>E1556-1</v>
      </c>
      <c r="B6138" t="str">
        <f>"LUNGOTORRENTE SECCA  10-"</f>
        <v>LUNGOTORRENTE SECCA  10-</v>
      </c>
      <c r="C6138" t="str">
        <f>"4"</f>
        <v>4</v>
      </c>
      <c r="D6138">
        <v>9</v>
      </c>
      <c r="E6138" t="str">
        <f>"275"</f>
        <v>275</v>
      </c>
      <c r="F6138" t="str">
        <f t="shared" si="428"/>
        <v>0000</v>
      </c>
    </row>
    <row r="6139" spans="1:6">
      <c r="C6139" t="str">
        <f>"4"</f>
        <v>4</v>
      </c>
      <c r="D6139">
        <v>9</v>
      </c>
      <c r="E6139" t="str">
        <f>"570"</f>
        <v>570</v>
      </c>
      <c r="F6139" t="str">
        <f t="shared" si="428"/>
        <v>0000</v>
      </c>
    </row>
    <row r="6140" spans="1:6">
      <c r="A6140" t="str">
        <f>"E1586-1"</f>
        <v>E1586-1</v>
      </c>
      <c r="B6140" t="str">
        <f>"VIA SAN QUIRICO VICINO AL 13-"</f>
        <v>VIA SAN QUIRICO VICINO AL 13-</v>
      </c>
      <c r="C6140" t="str">
        <f>"4"</f>
        <v>4</v>
      </c>
      <c r="D6140">
        <v>9</v>
      </c>
      <c r="E6140" t="str">
        <f>"266"</f>
        <v>266</v>
      </c>
      <c r="F6140" t="str">
        <f t="shared" si="428"/>
        <v>0000</v>
      </c>
    </row>
    <row r="6141" spans="1:6">
      <c r="A6141" t="str">
        <f>"E1587-1"</f>
        <v>E1587-1</v>
      </c>
      <c r="B6141" t="str">
        <f>"VIA CORNELIO BERTELLI  17-"</f>
        <v>VIA CORNELIO BERTELLI  17-</v>
      </c>
      <c r="C6141" t="str">
        <f>"BOL"</f>
        <v>BOL</v>
      </c>
      <c r="D6141">
        <v>20</v>
      </c>
      <c r="E6141" t="str">
        <f>"456"</f>
        <v>456</v>
      </c>
      <c r="F6141" t="str">
        <f t="shared" si="428"/>
        <v>0000</v>
      </c>
    </row>
    <row r="6142" spans="1:6">
      <c r="A6142" t="str">
        <f>"E1587-1"</f>
        <v>E1587-1</v>
      </c>
      <c r="B6142" t="str">
        <f>"VIA CORNELIO BERTELLI  17-"</f>
        <v>VIA CORNELIO BERTELLI  17-</v>
      </c>
      <c r="C6142" t="str">
        <f>"BOL"</f>
        <v>BOL</v>
      </c>
      <c r="D6142">
        <v>20</v>
      </c>
      <c r="E6142" t="str">
        <f>"87"</f>
        <v>87</v>
      </c>
      <c r="F6142" t="str">
        <f>"3"</f>
        <v>3</v>
      </c>
    </row>
    <row r="6143" spans="1:6">
      <c r="A6143" t="str">
        <f>"E1603-1"</f>
        <v>E1603-1</v>
      </c>
      <c r="B6143" t="str">
        <f>"VIA CORNELIO BERTELLI  4-"</f>
        <v>VIA CORNELIO BERTELLI  4-</v>
      </c>
      <c r="C6143" t="str">
        <f>"BOL"</f>
        <v>BOL</v>
      </c>
      <c r="D6143">
        <v>20</v>
      </c>
      <c r="E6143" t="str">
        <f>"92"</f>
        <v>92</v>
      </c>
      <c r="F6143" t="str">
        <f>"0000"</f>
        <v>0000</v>
      </c>
    </row>
    <row r="6144" spans="1:6">
      <c r="A6144" t="str">
        <f>"E1823-2"</f>
        <v>E1823-2</v>
      </c>
      <c r="B6144" t="str">
        <f>"VIA GIRO DEL VENTO  50-"</f>
        <v>VIA GIRO DEL VENTO  50-</v>
      </c>
      <c r="C6144" t="str">
        <f>"RIV"</f>
        <v>RIV</v>
      </c>
      <c r="D6144">
        <v>23</v>
      </c>
      <c r="E6144" t="str">
        <f>"29"</f>
        <v>29</v>
      </c>
      <c r="F6144" t="str">
        <f>"2"</f>
        <v>2</v>
      </c>
    </row>
    <row r="6145" spans="1:6">
      <c r="A6145" t="str">
        <f>"E1861-1"</f>
        <v>E1861-1</v>
      </c>
      <c r="B6145" t="str">
        <f>"VIA SARDORELLA  2RR-"</f>
        <v>VIA SARDORELLA  2RR-</v>
      </c>
      <c r="C6145" t="str">
        <f>"BOL"</f>
        <v>BOL</v>
      </c>
      <c r="D6145">
        <v>20</v>
      </c>
      <c r="E6145" t="str">
        <f>"990"</f>
        <v>990</v>
      </c>
      <c r="F6145" t="str">
        <f>"0000"</f>
        <v>0000</v>
      </c>
    </row>
    <row r="6146" spans="1:6">
      <c r="A6146" t="str">
        <f>"E1875-1"</f>
        <v>E1875-1</v>
      </c>
      <c r="B6146" t="str">
        <f>"VIA LUIGI M. LEVATI  1-"</f>
        <v>VIA LUIGI M. LEVATI  1-</v>
      </c>
      <c r="C6146" t="str">
        <f>"4"</f>
        <v>4</v>
      </c>
      <c r="D6146">
        <v>10</v>
      </c>
      <c r="E6146" t="str">
        <f>"880"</f>
        <v>880</v>
      </c>
      <c r="F6146" t="str">
        <f>"0000"</f>
        <v>0000</v>
      </c>
    </row>
    <row r="6147" spans="1:6">
      <c r="A6147" t="str">
        <f>"E1878-1"</f>
        <v>E1878-1</v>
      </c>
      <c r="B6147" t="str">
        <f>"VIA SAN QUIRICO VICINO AL 51-"</f>
        <v>VIA SAN QUIRICO VICINO AL 51-</v>
      </c>
      <c r="C6147" t="str">
        <f>"4"</f>
        <v>4</v>
      </c>
      <c r="D6147">
        <v>9</v>
      </c>
      <c r="E6147" t="str">
        <f t="shared" ref="E6147:F6149" si="429">"0"</f>
        <v>0</v>
      </c>
      <c r="F6147" t="str">
        <f t="shared" si="429"/>
        <v>0</v>
      </c>
    </row>
    <row r="6148" spans="1:6">
      <c r="A6148" t="str">
        <f>"E1879-1"</f>
        <v>E1879-1</v>
      </c>
      <c r="B6148" t="str">
        <f>"VIA DOMENICO MEIRANA VICINO AL 12-"</f>
        <v>VIA DOMENICO MEIRANA VICINO AL 12-</v>
      </c>
      <c r="C6148" t="str">
        <f>"4"</f>
        <v>4</v>
      </c>
      <c r="D6148">
        <v>3</v>
      </c>
      <c r="E6148" t="str">
        <f t="shared" si="429"/>
        <v>0</v>
      </c>
      <c r="F6148" t="str">
        <f t="shared" si="429"/>
        <v>0</v>
      </c>
    </row>
    <row r="6149" spans="1:6">
      <c r="A6149" t="str">
        <f>"E1880-1"</f>
        <v>E1880-1</v>
      </c>
      <c r="B6149" t="str">
        <f>"VIA SERGIO PIOMBELLI VICINO AL 2-"</f>
        <v>VIA SERGIO PIOMBELLI VICINO AL 2-</v>
      </c>
      <c r="C6149" t="str">
        <f>"4"</f>
        <v>4</v>
      </c>
      <c r="D6149">
        <v>35</v>
      </c>
      <c r="E6149" t="str">
        <f t="shared" si="429"/>
        <v>0</v>
      </c>
      <c r="F6149" t="str">
        <f t="shared" si="429"/>
        <v>0</v>
      </c>
    </row>
    <row r="6150" spans="1:6">
      <c r="A6150" t="str">
        <f>"E1885-1"</f>
        <v>E1885-1</v>
      </c>
      <c r="B6150" t="str">
        <f>"VIA NATALE GALLINO VICINO AL 16-"</f>
        <v>VIA NATALE GALLINO VICINO AL 16-</v>
      </c>
      <c r="C6150" t="str">
        <f>"PON"</f>
        <v>PON</v>
      </c>
      <c r="D6150">
        <v>4</v>
      </c>
      <c r="E6150" t="str">
        <f>"1241"</f>
        <v>1241</v>
      </c>
      <c r="F6150" t="str">
        <f>"1"</f>
        <v>1</v>
      </c>
    </row>
    <row r="6151" spans="1:6">
      <c r="A6151" t="str">
        <f>"E1911-1"</f>
        <v>E1911-1</v>
      </c>
      <c r="B6151" t="str">
        <f>"VIA FELICE MARITANO  34-"</f>
        <v>VIA FELICE MARITANO  34-</v>
      </c>
      <c r="C6151" t="str">
        <f>"4"</f>
        <v>4</v>
      </c>
      <c r="D6151">
        <v>27</v>
      </c>
      <c r="E6151" t="str">
        <f>"1422"</f>
        <v>1422</v>
      </c>
      <c r="F6151" t="str">
        <f>"0000"</f>
        <v>0000</v>
      </c>
    </row>
    <row r="6152" spans="1:6">
      <c r="A6152" t="str">
        <f>"E1912-1"</f>
        <v>E1912-1</v>
      </c>
      <c r="B6152" t="str">
        <f>"VIA DA SERRO A MOREGO  9-"</f>
        <v>VIA DA SERRO A MOREGO  9-</v>
      </c>
      <c r="C6152" t="str">
        <f>"SQ"</f>
        <v>SQ</v>
      </c>
      <c r="D6152">
        <v>9</v>
      </c>
      <c r="E6152" t="str">
        <f>"1122"</f>
        <v>1122</v>
      </c>
      <c r="F6152" t="str">
        <f>"2"</f>
        <v>2</v>
      </c>
    </row>
    <row r="6153" spans="1:6">
      <c r="A6153" t="str">
        <f>"E1915-1"</f>
        <v>E1915-1</v>
      </c>
      <c r="B6153" t="str">
        <f>"VIA TEGLIA  16-"</f>
        <v>VIA TEGLIA  16-</v>
      </c>
      <c r="C6153" t="str">
        <f t="shared" ref="C6153:C6160" si="430">"RIV"</f>
        <v>RIV</v>
      </c>
      <c r="D6153">
        <v>24</v>
      </c>
      <c r="E6153" t="str">
        <f>"146"</f>
        <v>146</v>
      </c>
      <c r="F6153" t="str">
        <f>"16"</f>
        <v>16</v>
      </c>
    </row>
    <row r="6154" spans="1:6">
      <c r="A6154" t="str">
        <f>"E1925-1"</f>
        <v>E1925-1</v>
      </c>
      <c r="B6154" t="str">
        <f>"PASSO TORBELLA  1F-"</f>
        <v>PASSO TORBELLA  1F-</v>
      </c>
      <c r="C6154" t="str">
        <f t="shared" si="430"/>
        <v>RIV</v>
      </c>
      <c r="D6154">
        <v>35</v>
      </c>
      <c r="E6154" t="str">
        <f>"922"</f>
        <v>922</v>
      </c>
      <c r="F6154" t="str">
        <f>"1"</f>
        <v>1</v>
      </c>
    </row>
    <row r="6155" spans="1:6">
      <c r="A6155" t="str">
        <f>"E1938-1"</f>
        <v>E1938-1</v>
      </c>
      <c r="B6155" t="str">
        <f>"VIA FELICE MARITANO  99-"</f>
        <v>VIA FELICE MARITANO  99-</v>
      </c>
      <c r="C6155" t="str">
        <f t="shared" si="430"/>
        <v>RIV</v>
      </c>
      <c r="D6155">
        <v>27</v>
      </c>
      <c r="E6155" t="str">
        <f>"1558"</f>
        <v>1558</v>
      </c>
      <c r="F6155" t="str">
        <f>"2"</f>
        <v>2</v>
      </c>
    </row>
    <row r="6156" spans="1:6">
      <c r="A6156" t="str">
        <f>"E1938-2"</f>
        <v>E1938-2</v>
      </c>
      <c r="B6156" t="str">
        <f>"VIA FELICE MARITANO  97-"</f>
        <v>VIA FELICE MARITANO  97-</v>
      </c>
      <c r="C6156" t="str">
        <f t="shared" si="430"/>
        <v>RIV</v>
      </c>
      <c r="D6156">
        <v>27</v>
      </c>
      <c r="E6156" t="str">
        <f>"1558"</f>
        <v>1558</v>
      </c>
      <c r="F6156" t="str">
        <f>"3"</f>
        <v>3</v>
      </c>
    </row>
    <row r="6157" spans="1:6">
      <c r="A6157" t="str">
        <f>"E1938-3"</f>
        <v>E1938-3</v>
      </c>
      <c r="B6157" t="str">
        <f>"VIA FELICE MARITANO  97-"</f>
        <v>VIA FELICE MARITANO  97-</v>
      </c>
      <c r="C6157" t="str">
        <f t="shared" si="430"/>
        <v>RIV</v>
      </c>
      <c r="D6157">
        <v>27</v>
      </c>
      <c r="E6157" t="str">
        <f>"1558"</f>
        <v>1558</v>
      </c>
      <c r="F6157" t="str">
        <f>"4"</f>
        <v>4</v>
      </c>
    </row>
    <row r="6158" spans="1:6">
      <c r="A6158" t="str">
        <f>"E1938-4"</f>
        <v>E1938-4</v>
      </c>
      <c r="B6158" t="str">
        <f>"VIA FELICE MARITANO  97-"</f>
        <v>VIA FELICE MARITANO  97-</v>
      </c>
      <c r="C6158" t="str">
        <f t="shared" si="430"/>
        <v>RIV</v>
      </c>
      <c r="D6158">
        <v>27</v>
      </c>
      <c r="E6158" t="str">
        <f>"1558"</f>
        <v>1558</v>
      </c>
      <c r="F6158" t="str">
        <f>"5"</f>
        <v>5</v>
      </c>
    </row>
    <row r="6159" spans="1:6">
      <c r="A6159" t="str">
        <f>"E1938-5"</f>
        <v>E1938-5</v>
      </c>
      <c r="B6159" t="str">
        <f>"VIA FELICE MARITANO  97-"</f>
        <v>VIA FELICE MARITANO  97-</v>
      </c>
      <c r="C6159" t="str">
        <f t="shared" si="430"/>
        <v>RIV</v>
      </c>
      <c r="D6159">
        <v>27</v>
      </c>
      <c r="E6159" t="str">
        <f>"1558"</f>
        <v>1558</v>
      </c>
      <c r="F6159" t="str">
        <f>"6"</f>
        <v>6</v>
      </c>
    </row>
    <row r="6160" spans="1:6">
      <c r="A6160" t="str">
        <f>"E1939-1"</f>
        <v>E1939-1</v>
      </c>
      <c r="B6160" t="str">
        <f>"VIA FELICE MARITANO  20-"</f>
        <v>VIA FELICE MARITANO  20-</v>
      </c>
      <c r="C6160" t="str">
        <f t="shared" si="430"/>
        <v>RIV</v>
      </c>
      <c r="D6160">
        <v>27</v>
      </c>
      <c r="E6160" t="str">
        <f>"1686"</f>
        <v>1686</v>
      </c>
      <c r="F6160" t="str">
        <f>"0000"</f>
        <v>0000</v>
      </c>
    </row>
    <row r="6161" spans="1:6">
      <c r="A6161" t="str">
        <f>"E1958-1"</f>
        <v>E1958-1</v>
      </c>
      <c r="B6161" t="str">
        <f>"GIARDINI U.N.I.C.E.F.  2-"</f>
        <v>GIARDINI U.N.I.C.E.F.  2-</v>
      </c>
      <c r="C6161" t="str">
        <f>"BOR"</f>
        <v>BOR</v>
      </c>
      <c r="D6161">
        <v>66</v>
      </c>
      <c r="E6161" t="str">
        <f>"1089"</f>
        <v>1089</v>
      </c>
      <c r="F6161" t="str">
        <f>"0000"</f>
        <v>0000</v>
      </c>
    </row>
    <row r="6162" spans="1:6">
      <c r="A6162" t="str">
        <f>"E1977-1"</f>
        <v>E1977-1</v>
      </c>
      <c r="B6162" t="str">
        <f>"VIA VIRGILIO BROCCHI  18D-"</f>
        <v>VIA VIRGILIO BROCCHI  18D-</v>
      </c>
      <c r="C6162" t="str">
        <f>"RIV"</f>
        <v>RIV</v>
      </c>
      <c r="D6162">
        <v>27</v>
      </c>
      <c r="E6162" t="str">
        <f>"1952"</f>
        <v>1952</v>
      </c>
      <c r="F6162" t="str">
        <f>"0000"</f>
        <v>0000</v>
      </c>
    </row>
    <row r="6163" spans="1:6">
      <c r="A6163" s="2"/>
      <c r="B6163" s="2"/>
      <c r="C6163" s="3"/>
      <c r="D6163" s="4"/>
      <c r="E6163" s="3"/>
      <c r="F6163" s="3"/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84"/>
  <sheetViews>
    <sheetView workbookViewId="0"/>
  </sheetViews>
  <sheetFormatPr defaultRowHeight="12.75"/>
  <cols>
    <col min="1" max="1" width="19.5703125" bestFit="1" customWidth="1"/>
    <col min="2" max="2" width="38.57031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"E746-10"</f>
        <v>E746-10</v>
      </c>
      <c r="B2" t="str">
        <f>"VIA SAN GIOVANNI BATTISTA  33R-"</f>
        <v>VIA SAN GIOVANNI BATTISTA  33R-</v>
      </c>
      <c r="C2" t="str">
        <f t="shared" ref="C2:C15" si="0">"SEP"</f>
        <v>SEP</v>
      </c>
      <c r="D2">
        <v>55</v>
      </c>
      <c r="E2" t="str">
        <f>"708"</f>
        <v>708</v>
      </c>
      <c r="F2" t="str">
        <f>"3"</f>
        <v>3</v>
      </c>
    </row>
    <row r="3" spans="1:6">
      <c r="A3" t="str">
        <f>"E754-1"</f>
        <v>E754-1</v>
      </c>
      <c r="B3" t="str">
        <f>"VIA S MARIA DELLA COSTA  29-"</f>
        <v>VIA S MARIA DELLA COSTA  29-</v>
      </c>
      <c r="C3" t="str">
        <f t="shared" si="0"/>
        <v>SEP</v>
      </c>
      <c r="D3">
        <v>53</v>
      </c>
      <c r="E3" t="str">
        <f t="shared" ref="E3:E10" si="1">"145"</f>
        <v>145</v>
      </c>
      <c r="F3" t="str">
        <f>"1"</f>
        <v>1</v>
      </c>
    </row>
    <row r="4" spans="1:6">
      <c r="A4" t="str">
        <f>"E754-2"</f>
        <v>E754-2</v>
      </c>
      <c r="B4" t="str">
        <f>"VIA S MARIA DELLA COSTA  29-"</f>
        <v>VIA S MARIA DELLA COSTA  29-</v>
      </c>
      <c r="C4" t="str">
        <f t="shared" si="0"/>
        <v>SEP</v>
      </c>
      <c r="D4">
        <v>53</v>
      </c>
      <c r="E4" t="str">
        <f t="shared" si="1"/>
        <v>145</v>
      </c>
      <c r="F4" t="str">
        <f>"2"</f>
        <v>2</v>
      </c>
    </row>
    <row r="5" spans="1:6">
      <c r="A5" t="str">
        <f>"E754-4"</f>
        <v>E754-4</v>
      </c>
      <c r="B5" t="str">
        <f>"VIA S MARIA DELLA COSTA  29-"</f>
        <v>VIA S MARIA DELLA COSTA  29-</v>
      </c>
      <c r="C5" t="str">
        <f t="shared" si="0"/>
        <v>SEP</v>
      </c>
      <c r="D5">
        <v>53</v>
      </c>
      <c r="E5" t="str">
        <f t="shared" si="1"/>
        <v>145</v>
      </c>
      <c r="F5" t="str">
        <f>"4"</f>
        <v>4</v>
      </c>
    </row>
    <row r="6" spans="1:6">
      <c r="A6" t="str">
        <f>"E754-8"</f>
        <v>E754-8</v>
      </c>
      <c r="B6" t="str">
        <f>"VIA S MARIA DELLA COSTA  29-"</f>
        <v>VIA S MARIA DELLA COSTA  29-</v>
      </c>
      <c r="C6" t="str">
        <f t="shared" si="0"/>
        <v>SEP</v>
      </c>
      <c r="D6">
        <v>53</v>
      </c>
      <c r="E6" t="str">
        <f t="shared" si="1"/>
        <v>145</v>
      </c>
      <c r="F6" t="str">
        <f>"9"</f>
        <v>9</v>
      </c>
    </row>
    <row r="7" spans="1:6">
      <c r="A7" t="str">
        <f>"E754-9"</f>
        <v>E754-9</v>
      </c>
      <c r="B7" t="str">
        <f>"VIA S MARIA DELLA COSTA  29-"</f>
        <v>VIA S MARIA DELLA COSTA  29-</v>
      </c>
      <c r="C7" t="str">
        <f t="shared" si="0"/>
        <v>SEP</v>
      </c>
      <c r="D7">
        <v>53</v>
      </c>
      <c r="E7" t="str">
        <f t="shared" si="1"/>
        <v>145</v>
      </c>
      <c r="F7" t="str">
        <f>"10"</f>
        <v>10</v>
      </c>
    </row>
    <row r="8" spans="1:6">
      <c r="A8" t="str">
        <f>"E754-11"</f>
        <v>E754-11</v>
      </c>
      <c r="B8" t="str">
        <f>"VIA S MARIA DELLA COSTA  31-"</f>
        <v>VIA S MARIA DELLA COSTA  31-</v>
      </c>
      <c r="C8" t="str">
        <f t="shared" si="0"/>
        <v>SEP</v>
      </c>
      <c r="D8">
        <v>53</v>
      </c>
      <c r="E8" t="str">
        <f t="shared" si="1"/>
        <v>145</v>
      </c>
      <c r="F8" t="str">
        <f>"12"</f>
        <v>12</v>
      </c>
    </row>
    <row r="9" spans="1:6">
      <c r="A9" t="str">
        <f>"E754-14"</f>
        <v>E754-14</v>
      </c>
      <c r="B9" t="str">
        <f>"VIA S MARIA DELLA COSTA  31-"</f>
        <v>VIA S MARIA DELLA COSTA  31-</v>
      </c>
      <c r="C9" t="str">
        <f t="shared" si="0"/>
        <v>SEP</v>
      </c>
      <c r="D9">
        <v>53</v>
      </c>
      <c r="E9" t="str">
        <f t="shared" si="1"/>
        <v>145</v>
      </c>
      <c r="F9" t="str">
        <f>"16"</f>
        <v>16</v>
      </c>
    </row>
    <row r="10" spans="1:6">
      <c r="A10" t="str">
        <f>"E754-16"</f>
        <v>E754-16</v>
      </c>
      <c r="B10" t="str">
        <f>"VIA S MARIA DELLA COSTA  31-"</f>
        <v>VIA S MARIA DELLA COSTA  31-</v>
      </c>
      <c r="C10" t="str">
        <f t="shared" si="0"/>
        <v>SEP</v>
      </c>
      <c r="D10">
        <v>53</v>
      </c>
      <c r="E10" t="str">
        <f t="shared" si="1"/>
        <v>145</v>
      </c>
      <c r="F10" t="str">
        <f>"18"</f>
        <v>18</v>
      </c>
    </row>
    <row r="11" spans="1:6">
      <c r="A11" t="str">
        <f>"E761-5"</f>
        <v>E761-5</v>
      </c>
      <c r="B11" t="str">
        <f>"VIA SAN GIOVANNI BATTISTA  36A-"</f>
        <v>VIA SAN GIOVANNI BATTISTA  36A-</v>
      </c>
      <c r="C11" t="str">
        <f t="shared" si="0"/>
        <v>SEP</v>
      </c>
      <c r="D11">
        <v>55</v>
      </c>
      <c r="E11" t="str">
        <f>"35"</f>
        <v>35</v>
      </c>
      <c r="F11" t="str">
        <f>"18"</f>
        <v>18</v>
      </c>
    </row>
    <row r="12" spans="1:6">
      <c r="A12" t="str">
        <f>"E761-9"</f>
        <v>E761-9</v>
      </c>
      <c r="B12" t="str">
        <f>"VIA SAN GIOVANNI BATTISTA  38-"</f>
        <v>VIA SAN GIOVANNI BATTISTA  38-</v>
      </c>
      <c r="C12" t="str">
        <f t="shared" si="0"/>
        <v>SEP</v>
      </c>
      <c r="D12">
        <v>55</v>
      </c>
      <c r="E12" t="str">
        <f>"35"</f>
        <v>35</v>
      </c>
      <c r="F12" t="str">
        <f>"13"</f>
        <v>13</v>
      </c>
    </row>
    <row r="13" spans="1:6">
      <c r="A13" t="str">
        <f>"E761-11"</f>
        <v>E761-11</v>
      </c>
      <c r="B13" t="str">
        <f>"VIA SAN GIOVANNI BATTISTA  38-"</f>
        <v>VIA SAN GIOVANNI BATTISTA  38-</v>
      </c>
      <c r="C13" t="str">
        <f t="shared" si="0"/>
        <v>SEP</v>
      </c>
      <c r="D13">
        <v>55</v>
      </c>
      <c r="E13" t="str">
        <f>"35"</f>
        <v>35</v>
      </c>
      <c r="F13" t="str">
        <f>"15"</f>
        <v>15</v>
      </c>
    </row>
    <row r="14" spans="1:6">
      <c r="A14" t="str">
        <f>"E814-1"</f>
        <v>E814-1</v>
      </c>
      <c r="B14" t="str">
        <f>"VIA DON LUIGI PERRONE  2-"</f>
        <v>VIA DON LUIGI PERRONE  2-</v>
      </c>
      <c r="C14" t="str">
        <f t="shared" si="0"/>
        <v>SEP</v>
      </c>
      <c r="D14">
        <v>55</v>
      </c>
      <c r="E14" t="str">
        <f>"321"</f>
        <v>321</v>
      </c>
      <c r="F14" t="str">
        <f>"0000"</f>
        <v>0000</v>
      </c>
    </row>
    <row r="15" spans="1:6">
      <c r="A15" t="str">
        <f>"E815-1"</f>
        <v>E815-1</v>
      </c>
      <c r="B15" t="str">
        <f>"VIA EMANUELE FERRO  12R-"</f>
        <v>VIA EMANUELE FERRO  12R-</v>
      </c>
      <c r="C15" t="str">
        <f t="shared" si="0"/>
        <v>SEP</v>
      </c>
      <c r="D15">
        <v>57</v>
      </c>
      <c r="E15" t="str">
        <f>"415"</f>
        <v>415</v>
      </c>
      <c r="F15" t="str">
        <f>"0000"</f>
        <v>0000</v>
      </c>
    </row>
    <row r="16" spans="1:6">
      <c r="A16" t="str">
        <f>"E827-1"</f>
        <v>E827-1</v>
      </c>
      <c r="B16" t="str">
        <f>"VIA S MARIA DELLA COSTA  37-"</f>
        <v>VIA S MARIA DELLA COSTA  37-</v>
      </c>
      <c r="C16" t="str">
        <f>"3"</f>
        <v>3</v>
      </c>
      <c r="D16">
        <v>53</v>
      </c>
      <c r="E16" t="str">
        <f>"204"</f>
        <v>204</v>
      </c>
      <c r="F16" t="str">
        <f>"0000"</f>
        <v>0000</v>
      </c>
    </row>
    <row r="17" spans="1:6">
      <c r="A17" t="str">
        <f>"E828-1"</f>
        <v>E828-1</v>
      </c>
      <c r="B17" t="str">
        <f>"VIA EMANUELE FERRO  2-"</f>
        <v>VIA EMANUELE FERRO  2-</v>
      </c>
      <c r="C17" t="str">
        <f t="shared" ref="C17:C36" si="2">"SEP"</f>
        <v>SEP</v>
      </c>
      <c r="D17">
        <v>57</v>
      </c>
      <c r="E17" t="str">
        <f>"413"</f>
        <v>413</v>
      </c>
      <c r="F17" t="str">
        <f>"1"</f>
        <v>1</v>
      </c>
    </row>
    <row r="18" spans="1:6">
      <c r="A18" t="str">
        <f>"E828-2"</f>
        <v>E828-2</v>
      </c>
      <c r="B18" t="str">
        <f>"VIA CARLO GOLDONI VICINO AL 1-"</f>
        <v>VIA CARLO GOLDONI VICINO AL 1-</v>
      </c>
      <c r="C18" t="str">
        <f t="shared" si="2"/>
        <v>SEP</v>
      </c>
      <c r="D18">
        <v>57</v>
      </c>
      <c r="E18" t="str">
        <f>"413"</f>
        <v>413</v>
      </c>
      <c r="F18" t="str">
        <f>"2"</f>
        <v>2</v>
      </c>
    </row>
    <row r="19" spans="1:6">
      <c r="A19" t="str">
        <f>"E828-3"</f>
        <v>E828-3</v>
      </c>
      <c r="B19" t="str">
        <f>"VIA CARLO GOLDONI  1-"</f>
        <v>VIA CARLO GOLDONI  1-</v>
      </c>
      <c r="C19" t="str">
        <f t="shared" si="2"/>
        <v>SEP</v>
      </c>
      <c r="D19">
        <v>57</v>
      </c>
      <c r="E19" t="str">
        <f>"413"</f>
        <v>413</v>
      </c>
      <c r="F19" t="str">
        <f>"3"</f>
        <v>3</v>
      </c>
    </row>
    <row r="20" spans="1:6">
      <c r="A20" t="str">
        <f>"E828-4"</f>
        <v>E828-4</v>
      </c>
      <c r="B20" t="str">
        <f>"VIA EMANUELE FERRO  4R-"</f>
        <v>VIA EMANUELE FERRO  4R-</v>
      </c>
      <c r="C20" t="str">
        <f t="shared" si="2"/>
        <v>SEP</v>
      </c>
      <c r="D20">
        <v>57</v>
      </c>
      <c r="E20" t="str">
        <f>"413"</f>
        <v>413</v>
      </c>
      <c r="F20" t="str">
        <f>"4"</f>
        <v>4</v>
      </c>
    </row>
    <row r="21" spans="1:6">
      <c r="A21" t="str">
        <f>"E828-5"</f>
        <v>E828-5</v>
      </c>
      <c r="B21" t="str">
        <f>"VIA EMANUELE FERRO  2-"</f>
        <v>VIA EMANUELE FERRO  2-</v>
      </c>
      <c r="C21" t="str">
        <f t="shared" si="2"/>
        <v>SEP</v>
      </c>
      <c r="D21">
        <v>57</v>
      </c>
      <c r="E21" t="str">
        <f>"413"</f>
        <v>413</v>
      </c>
      <c r="F21" t="str">
        <f>"5"</f>
        <v>5</v>
      </c>
    </row>
    <row r="22" spans="1:6">
      <c r="A22" t="str">
        <f>"E829-1"</f>
        <v>E829-1</v>
      </c>
      <c r="B22" t="str">
        <f>"VIALE ERMELINDA RIGON  16-"</f>
        <v>VIALE ERMELINDA RIGON  16-</v>
      </c>
      <c r="C22" t="str">
        <f t="shared" si="2"/>
        <v>SEP</v>
      </c>
      <c r="D22">
        <v>55</v>
      </c>
      <c r="E22" t="str">
        <f>"166"</f>
        <v>166</v>
      </c>
      <c r="F22" t="str">
        <f>"0000"</f>
        <v>0000</v>
      </c>
    </row>
    <row r="23" spans="1:6">
      <c r="C23" t="str">
        <f t="shared" si="2"/>
        <v>SEP</v>
      </c>
      <c r="D23">
        <v>55</v>
      </c>
      <c r="E23" t="str">
        <f>"167"</f>
        <v>167</v>
      </c>
      <c r="F23" t="str">
        <f>"0000"</f>
        <v>0000</v>
      </c>
    </row>
    <row r="24" spans="1:6">
      <c r="A24" t="str">
        <f>"E836-1"</f>
        <v>E836-1</v>
      </c>
      <c r="B24" t="str">
        <f t="shared" ref="B24:B29" si="3">"VIA MERANO  3-"</f>
        <v>VIA MERANO  3-</v>
      </c>
      <c r="C24" t="str">
        <f t="shared" si="2"/>
        <v>SEP</v>
      </c>
      <c r="D24">
        <v>55</v>
      </c>
      <c r="E24" t="str">
        <f>"198"</f>
        <v>198</v>
      </c>
      <c r="F24" t="str">
        <f>"1"</f>
        <v>1</v>
      </c>
    </row>
    <row r="25" spans="1:6">
      <c r="C25" t="str">
        <f t="shared" si="2"/>
        <v>SEP</v>
      </c>
      <c r="D25">
        <v>55</v>
      </c>
      <c r="E25" t="str">
        <f>"391"</f>
        <v>391</v>
      </c>
      <c r="F25" t="str">
        <f>"2"</f>
        <v>2</v>
      </c>
    </row>
    <row r="26" spans="1:6">
      <c r="A26" t="str">
        <f>"E836-2"</f>
        <v>E836-2</v>
      </c>
      <c r="B26" t="str">
        <f t="shared" si="3"/>
        <v>VIA MERANO  3-</v>
      </c>
      <c r="C26" t="str">
        <f t="shared" si="2"/>
        <v>SEP</v>
      </c>
      <c r="D26">
        <v>55</v>
      </c>
      <c r="E26" t="str">
        <f>"198"</f>
        <v>198</v>
      </c>
      <c r="F26" t="str">
        <f>"21"</f>
        <v>21</v>
      </c>
    </row>
    <row r="27" spans="1:6">
      <c r="A27" t="str">
        <f>"E836-3"</f>
        <v>E836-3</v>
      </c>
      <c r="B27" t="str">
        <f t="shared" si="3"/>
        <v>VIA MERANO  3-</v>
      </c>
      <c r="C27" t="str">
        <f t="shared" si="2"/>
        <v>SEP</v>
      </c>
      <c r="D27">
        <v>55</v>
      </c>
      <c r="E27" t="str">
        <f>"198"</f>
        <v>198</v>
      </c>
      <c r="F27" t="str">
        <f>"3"</f>
        <v>3</v>
      </c>
    </row>
    <row r="28" spans="1:6">
      <c r="A28" t="str">
        <f>"E836-4"</f>
        <v>E836-4</v>
      </c>
      <c r="B28" t="str">
        <f t="shared" si="3"/>
        <v>VIA MERANO  3-</v>
      </c>
      <c r="C28" t="str">
        <f t="shared" si="2"/>
        <v>SEP</v>
      </c>
      <c r="D28">
        <v>55</v>
      </c>
      <c r="E28" t="str">
        <f>"198"</f>
        <v>198</v>
      </c>
      <c r="F28" t="str">
        <f>"4"</f>
        <v>4</v>
      </c>
    </row>
    <row r="29" spans="1:6">
      <c r="A29" t="str">
        <f>"E836-5"</f>
        <v>E836-5</v>
      </c>
      <c r="B29" t="str">
        <f t="shared" si="3"/>
        <v>VIA MERANO  3-</v>
      </c>
      <c r="C29" t="str">
        <f t="shared" si="2"/>
        <v>SEP</v>
      </c>
      <c r="D29">
        <v>55</v>
      </c>
      <c r="E29" t="str">
        <f>"391"</f>
        <v>391</v>
      </c>
      <c r="F29" t="str">
        <f>"1"</f>
        <v>1</v>
      </c>
    </row>
    <row r="30" spans="1:6">
      <c r="A30" t="str">
        <f>"E839-1"</f>
        <v>E839-1</v>
      </c>
      <c r="B30" t="str">
        <f>"VIA FABIO DA PERSICO  13AR-"</f>
        <v>VIA FABIO DA PERSICO  13AR-</v>
      </c>
      <c r="C30" t="str">
        <f t="shared" si="2"/>
        <v>SEP</v>
      </c>
      <c r="D30">
        <v>55</v>
      </c>
      <c r="E30" t="str">
        <f>"329"</f>
        <v>329</v>
      </c>
      <c r="F30" t="str">
        <f>"0000"</f>
        <v>0000</v>
      </c>
    </row>
    <row r="31" spans="1:6">
      <c r="C31" t="str">
        <f t="shared" si="2"/>
        <v>SEP</v>
      </c>
      <c r="D31">
        <v>55</v>
      </c>
      <c r="E31" t="str">
        <f>"330"</f>
        <v>330</v>
      </c>
      <c r="F31" t="str">
        <f>"0000"</f>
        <v>0000</v>
      </c>
    </row>
    <row r="32" spans="1:6">
      <c r="A32" t="str">
        <f>"E839-2"</f>
        <v>E839-2</v>
      </c>
      <c r="B32" t="str">
        <f>"VIA FABIO DA PERSICO  1-"</f>
        <v>VIA FABIO DA PERSICO  1-</v>
      </c>
      <c r="C32" t="str">
        <f t="shared" si="2"/>
        <v>SEP</v>
      </c>
      <c r="D32">
        <v>55</v>
      </c>
      <c r="E32" t="str">
        <f>"329"</f>
        <v>329</v>
      </c>
      <c r="F32" t="str">
        <f>"64"</f>
        <v>64</v>
      </c>
    </row>
    <row r="33" spans="1:6">
      <c r="A33" t="str">
        <f>"E840-1"</f>
        <v>E840-1</v>
      </c>
      <c r="B33" t="str">
        <f>"VIA URSONE DA SESTRI  5-"</f>
        <v>VIA URSONE DA SESTRI  5-</v>
      </c>
      <c r="C33" t="str">
        <f t="shared" si="2"/>
        <v>SEP</v>
      </c>
      <c r="D33">
        <v>57</v>
      </c>
      <c r="E33" t="str">
        <f>"419"</f>
        <v>419</v>
      </c>
      <c r="F33" t="str">
        <f>"1"</f>
        <v>1</v>
      </c>
    </row>
    <row r="34" spans="1:6">
      <c r="A34" t="str">
        <f>"E840-2"</f>
        <v>E840-2</v>
      </c>
      <c r="B34" t="str">
        <f>"VIA URSONE DA SESTRI  5-"</f>
        <v>VIA URSONE DA SESTRI  5-</v>
      </c>
      <c r="C34" t="str">
        <f t="shared" si="2"/>
        <v>SEP</v>
      </c>
      <c r="D34">
        <v>57</v>
      </c>
      <c r="E34" t="str">
        <f>"419"</f>
        <v>419</v>
      </c>
      <c r="F34" t="str">
        <f>"2"</f>
        <v>2</v>
      </c>
    </row>
    <row r="35" spans="1:6">
      <c r="A35" t="str">
        <f>"E840-3"</f>
        <v>E840-3</v>
      </c>
      <c r="B35" t="str">
        <f>"VIA URSONE DA SESTRI  5-"</f>
        <v>VIA URSONE DA SESTRI  5-</v>
      </c>
      <c r="C35" t="str">
        <f t="shared" si="2"/>
        <v>SEP</v>
      </c>
      <c r="D35">
        <v>57</v>
      </c>
      <c r="E35" t="str">
        <f>"419"</f>
        <v>419</v>
      </c>
      <c r="F35" t="str">
        <f>"3"</f>
        <v>3</v>
      </c>
    </row>
    <row r="36" spans="1:6">
      <c r="A36" t="str">
        <f>"E840-4"</f>
        <v>E840-4</v>
      </c>
      <c r="B36" t="str">
        <f>"VIA URSONE DA SESTRI  5-"</f>
        <v>VIA URSONE DA SESTRI  5-</v>
      </c>
      <c r="C36" t="str">
        <f t="shared" si="2"/>
        <v>SEP</v>
      </c>
      <c r="D36">
        <v>57</v>
      </c>
      <c r="E36" t="str">
        <f>"419"</f>
        <v>419</v>
      </c>
      <c r="F36" t="str">
        <f>"4"</f>
        <v>4</v>
      </c>
    </row>
    <row r="37" spans="1:6">
      <c r="A37" t="str">
        <f>"E850-1"</f>
        <v>E850-1</v>
      </c>
      <c r="B37" t="str">
        <f>"VIA LODOVICO CALDA  27C-"</f>
        <v>VIA LODOVICO CALDA  27C-</v>
      </c>
      <c r="C37" t="str">
        <f>"BOR"</f>
        <v>BOR</v>
      </c>
      <c r="D37">
        <v>76</v>
      </c>
      <c r="E37" t="str">
        <f>"1058"</f>
        <v>1058</v>
      </c>
      <c r="F37" t="str">
        <f>"0000"</f>
        <v>0000</v>
      </c>
    </row>
    <row r="38" spans="1:6">
      <c r="A38" t="str">
        <f>"E851-1"</f>
        <v>E851-1</v>
      </c>
      <c r="B38" t="str">
        <f>"VIA PIER DOM.DA BISSONE  3A-"</f>
        <v>VIA PIER DOM.DA BISSONE  3A-</v>
      </c>
      <c r="C38" t="str">
        <f>"BOR"</f>
        <v>BOR</v>
      </c>
      <c r="D38">
        <v>70</v>
      </c>
      <c r="E38" t="str">
        <f>"53"</f>
        <v>53</v>
      </c>
      <c r="F38" t="str">
        <f>"1"</f>
        <v>1</v>
      </c>
    </row>
    <row r="39" spans="1:6">
      <c r="A39" t="str">
        <f>"E851-2"</f>
        <v>E851-2</v>
      </c>
      <c r="B39" t="str">
        <f>"VIA PIER DOM.DA BISSONE  3A-"</f>
        <v>VIA PIER DOM.DA BISSONE  3A-</v>
      </c>
      <c r="C39" t="str">
        <f>"BOR"</f>
        <v>BOR</v>
      </c>
      <c r="D39">
        <v>70</v>
      </c>
      <c r="E39" t="str">
        <f>"53"</f>
        <v>53</v>
      </c>
      <c r="F39" t="str">
        <f>"2"</f>
        <v>2</v>
      </c>
    </row>
    <row r="40" spans="1:6">
      <c r="A40" t="str">
        <f>"E855-1"</f>
        <v>E855-1</v>
      </c>
      <c r="B40" t="str">
        <f>"VIA SANT ALBERTO  18-"</f>
        <v>VIA SANT ALBERTO  18-</v>
      </c>
      <c r="C40" t="str">
        <f>"SEP"</f>
        <v>SEP</v>
      </c>
      <c r="D40">
        <v>51</v>
      </c>
      <c r="E40" t="str">
        <f>"2023"</f>
        <v>2023</v>
      </c>
      <c r="F40" t="str">
        <f t="shared" ref="F40:F45" si="4">"0000"</f>
        <v>0000</v>
      </c>
    </row>
    <row r="41" spans="1:6">
      <c r="A41" t="str">
        <f>"E865-1"</f>
        <v>E865-1</v>
      </c>
      <c r="B41" t="str">
        <f>"VIA VADO  39-"</f>
        <v>VIA VADO  39-</v>
      </c>
      <c r="C41" t="str">
        <f>"SEP"</f>
        <v>SEP</v>
      </c>
      <c r="D41">
        <v>55</v>
      </c>
      <c r="E41" t="str">
        <f>"117"</f>
        <v>117</v>
      </c>
      <c r="F41" t="str">
        <f t="shared" si="4"/>
        <v>0000</v>
      </c>
    </row>
    <row r="42" spans="1:6">
      <c r="A42" t="str">
        <f>"E866-1"</f>
        <v>E866-1</v>
      </c>
      <c r="B42" t="str">
        <f>"VIA VADO  39A-"</f>
        <v>VIA VADO  39A-</v>
      </c>
      <c r="C42" t="str">
        <f>"3"</f>
        <v>3</v>
      </c>
      <c r="D42">
        <v>55</v>
      </c>
      <c r="E42" t="str">
        <f>"119"</f>
        <v>119</v>
      </c>
      <c r="F42" t="str">
        <f t="shared" si="4"/>
        <v>0000</v>
      </c>
    </row>
    <row r="43" spans="1:6">
      <c r="A43" t="str">
        <f>"E868-1"</f>
        <v>E868-1</v>
      </c>
      <c r="B43" t="str">
        <f>"VIA VADO  41-"</f>
        <v>VIA VADO  41-</v>
      </c>
      <c r="C43" t="str">
        <f>"SEP"</f>
        <v>SEP</v>
      </c>
      <c r="D43">
        <v>55</v>
      </c>
      <c r="E43" t="str">
        <f>"116"</f>
        <v>116</v>
      </c>
      <c r="F43" t="str">
        <f t="shared" si="4"/>
        <v>0000</v>
      </c>
    </row>
    <row r="44" spans="1:6">
      <c r="A44" t="str">
        <f>"E869-1"</f>
        <v>E869-1</v>
      </c>
      <c r="B44" t="str">
        <f>"VIA BRISCATA  4-"</f>
        <v>VIA BRISCATA  4-</v>
      </c>
      <c r="C44" t="str">
        <f>"3"</f>
        <v>3</v>
      </c>
      <c r="D44">
        <v>55</v>
      </c>
      <c r="E44" t="str">
        <f>"123"</f>
        <v>123</v>
      </c>
      <c r="F44" t="str">
        <f t="shared" si="4"/>
        <v>0000</v>
      </c>
    </row>
    <row r="45" spans="1:6">
      <c r="A45" t="str">
        <f>"E869-2"</f>
        <v>E869-2</v>
      </c>
      <c r="B45" t="str">
        <f>"VIA BRISCATA  4-"</f>
        <v>VIA BRISCATA  4-</v>
      </c>
      <c r="C45" t="str">
        <f>"3"</f>
        <v>3</v>
      </c>
      <c r="D45">
        <v>55</v>
      </c>
      <c r="E45" t="str">
        <f>"123"</f>
        <v>123</v>
      </c>
      <c r="F45" t="str">
        <f t="shared" si="4"/>
        <v>0000</v>
      </c>
    </row>
    <row r="46" spans="1:6">
      <c r="A46" t="str">
        <f>"E874-1"</f>
        <v>E874-1</v>
      </c>
      <c r="B46" t="str">
        <f>"VIA ANTONIO SANT' ELIA  108-"</f>
        <v>VIA ANTONIO SANT' ELIA  108-</v>
      </c>
      <c r="C46" t="str">
        <f>"BOR"</f>
        <v>BOR</v>
      </c>
      <c r="D46">
        <v>71</v>
      </c>
      <c r="E46" t="str">
        <f>"203"</f>
        <v>203</v>
      </c>
      <c r="F46" t="str">
        <f>"49"</f>
        <v>49</v>
      </c>
    </row>
    <row r="47" spans="1:6">
      <c r="A47" t="str">
        <f>"E875-1"</f>
        <v>E875-1</v>
      </c>
      <c r="B47" t="str">
        <f>"VIA ANDREA DEL SARTO  20-"</f>
        <v>VIA ANDREA DEL SARTO  20-</v>
      </c>
      <c r="C47" t="str">
        <f>"SEP"</f>
        <v>SEP</v>
      </c>
      <c r="D47">
        <v>56</v>
      </c>
      <c r="E47" t="str">
        <f>"1232"</f>
        <v>1232</v>
      </c>
      <c r="F47" t="str">
        <f>"1"</f>
        <v>1</v>
      </c>
    </row>
    <row r="48" spans="1:6">
      <c r="A48" t="str">
        <f>"E875-2"</f>
        <v>E875-2</v>
      </c>
      <c r="B48" t="str">
        <f>"VIA ANDREA DEL SARTO  20-"</f>
        <v>VIA ANDREA DEL SARTO  20-</v>
      </c>
      <c r="C48" t="str">
        <f>"SEP"</f>
        <v>SEP</v>
      </c>
      <c r="D48">
        <v>56</v>
      </c>
      <c r="E48" t="str">
        <f>"1232"</f>
        <v>1232</v>
      </c>
      <c r="F48" t="str">
        <f>"2"</f>
        <v>2</v>
      </c>
    </row>
    <row r="49" spans="1:6">
      <c r="A49" t="str">
        <f>"E876-1"</f>
        <v>E876-1</v>
      </c>
      <c r="B49" t="str">
        <f>"VIA SAN TOMASO D AQUINO  7-"</f>
        <v>VIA SAN TOMASO D AQUINO  7-</v>
      </c>
      <c r="C49" t="str">
        <f>"SEP"</f>
        <v>SEP</v>
      </c>
      <c r="D49">
        <v>55</v>
      </c>
      <c r="E49" t="str">
        <f>"601"</f>
        <v>601</v>
      </c>
      <c r="F49" t="str">
        <f>"001"</f>
        <v>001</v>
      </c>
    </row>
    <row r="50" spans="1:6">
      <c r="A50" t="str">
        <f>"E877-1"</f>
        <v>E877-1</v>
      </c>
      <c r="B50" t="str">
        <f>"PIAZZA VITT CONSIGLIERE  7-"</f>
        <v>PIAZZA VITT CONSIGLIERE  7-</v>
      </c>
      <c r="C50" t="str">
        <f>"SEP"</f>
        <v>SEP</v>
      </c>
      <c r="D50">
        <v>53</v>
      </c>
      <c r="E50" t="str">
        <f>"596"</f>
        <v>596</v>
      </c>
      <c r="F50" t="str">
        <f>"0000"</f>
        <v>0000</v>
      </c>
    </row>
    <row r="51" spans="1:6">
      <c r="A51" t="str">
        <f>"E881-1"</f>
        <v>E881-1</v>
      </c>
      <c r="B51" t="str">
        <f>"PIAZZA VITT CONSIGLIERE VICINO AL 2-"</f>
        <v>PIAZZA VITT CONSIGLIERE VICINO AL 2-</v>
      </c>
      <c r="C51" t="str">
        <f>"SEP"</f>
        <v>SEP</v>
      </c>
      <c r="D51">
        <v>53</v>
      </c>
      <c r="E51" t="str">
        <f>"13"</f>
        <v>13</v>
      </c>
      <c r="F51" t="str">
        <f>"1"</f>
        <v>1</v>
      </c>
    </row>
    <row r="52" spans="1:6">
      <c r="A52" t="str">
        <f>"E881-2"</f>
        <v>E881-2</v>
      </c>
      <c r="B52" t="str">
        <f>"PIAZZA VITT CONSIGLIERE VICINO AL 2-"</f>
        <v>PIAZZA VITT CONSIGLIERE VICINO AL 2-</v>
      </c>
      <c r="C52" t="str">
        <f>"3"</f>
        <v>3</v>
      </c>
      <c r="D52">
        <v>53</v>
      </c>
      <c r="E52" t="str">
        <f>"13"</f>
        <v>13</v>
      </c>
      <c r="F52" t="str">
        <f>"0000"</f>
        <v>0000</v>
      </c>
    </row>
    <row r="53" spans="1:6">
      <c r="A53" t="str">
        <f>"E881-3"</f>
        <v>E881-3</v>
      </c>
      <c r="B53" t="str">
        <f>"PIAZZA VITT CONSIGLIERE VICINO AL 2-"</f>
        <v>PIAZZA VITT CONSIGLIERE VICINO AL 2-</v>
      </c>
      <c r="C53" t="str">
        <f>"3"</f>
        <v>3</v>
      </c>
      <c r="D53">
        <v>53</v>
      </c>
      <c r="E53" t="str">
        <f>"13"</f>
        <v>13</v>
      </c>
      <c r="F53" t="str">
        <f>"0000"</f>
        <v>0000</v>
      </c>
    </row>
    <row r="54" spans="1:6">
      <c r="A54" t="str">
        <f>"E882-2"</f>
        <v>E882-2</v>
      </c>
      <c r="B54" t="str">
        <f>"VIA SUPERIORE GAZZO  27-"</f>
        <v>VIA SUPERIORE GAZZO  27-</v>
      </c>
      <c r="C54" t="str">
        <f t="shared" ref="C54:C59" si="5">"SEP"</f>
        <v>SEP</v>
      </c>
      <c r="D54">
        <v>53</v>
      </c>
      <c r="E54" t="str">
        <f>"107"</f>
        <v>107</v>
      </c>
      <c r="F54" t="str">
        <f>"1"</f>
        <v>1</v>
      </c>
    </row>
    <row r="55" spans="1:6">
      <c r="C55" t="str">
        <f t="shared" si="5"/>
        <v>SEP</v>
      </c>
      <c r="D55">
        <v>53</v>
      </c>
      <c r="E55" t="str">
        <f>"20"</f>
        <v>20</v>
      </c>
      <c r="F55" t="str">
        <f>"1"</f>
        <v>1</v>
      </c>
    </row>
    <row r="56" spans="1:6">
      <c r="C56" t="str">
        <f t="shared" si="5"/>
        <v>SEP</v>
      </c>
      <c r="D56">
        <v>53</v>
      </c>
      <c r="E56" t="str">
        <f>"19"</f>
        <v>19</v>
      </c>
      <c r="F56" t="str">
        <f>"1"</f>
        <v>1</v>
      </c>
    </row>
    <row r="57" spans="1:6">
      <c r="A57" t="str">
        <f>"E883-10"</f>
        <v>E883-10</v>
      </c>
      <c r="B57" t="str">
        <f>"VIA SESTRI  34-"</f>
        <v>VIA SESTRI  34-</v>
      </c>
      <c r="C57" t="str">
        <f t="shared" si="5"/>
        <v>SEP</v>
      </c>
      <c r="D57">
        <v>57</v>
      </c>
      <c r="E57" t="str">
        <f>"220"</f>
        <v>220</v>
      </c>
      <c r="F57" t="str">
        <f>"0"</f>
        <v>0</v>
      </c>
    </row>
    <row r="58" spans="1:6">
      <c r="A58" t="str">
        <f>"E910-3"</f>
        <v>E910-3</v>
      </c>
      <c r="B58" t="str">
        <f>"VIA GIAN GIACOMO CAVALLI  5-"</f>
        <v>VIA GIAN GIACOMO CAVALLI  5-</v>
      </c>
      <c r="C58" t="str">
        <f t="shared" si="5"/>
        <v>SEP</v>
      </c>
      <c r="D58">
        <v>56</v>
      </c>
      <c r="E58" t="str">
        <f>"272"</f>
        <v>272</v>
      </c>
      <c r="F58" t="str">
        <f>"3"</f>
        <v>3</v>
      </c>
    </row>
    <row r="59" spans="1:6">
      <c r="A59" t="str">
        <f>"E910-4"</f>
        <v>E910-4</v>
      </c>
      <c r="B59" t="str">
        <f>"VIA GIAN GIACOMO CAVALLI  5-"</f>
        <v>VIA GIAN GIACOMO CAVALLI  5-</v>
      </c>
      <c r="C59" t="str">
        <f t="shared" si="5"/>
        <v>SEP</v>
      </c>
      <c r="D59">
        <v>56</v>
      </c>
      <c r="E59" t="str">
        <f>"272"</f>
        <v>272</v>
      </c>
      <c r="F59" t="str">
        <f>"4"</f>
        <v>4</v>
      </c>
    </row>
    <row r="60" spans="1:6">
      <c r="A60" t="str">
        <f>"E934-1"</f>
        <v>E934-1</v>
      </c>
      <c r="B60" t="str">
        <f>"VIA NINO CERVETTO  8-"</f>
        <v>VIA NINO CERVETTO  8-</v>
      </c>
      <c r="C60" t="str">
        <f>"COR"</f>
        <v>COR</v>
      </c>
      <c r="D60">
        <v>77</v>
      </c>
      <c r="E60" t="str">
        <f>"186"</f>
        <v>186</v>
      </c>
      <c r="F60" t="str">
        <f>"1"</f>
        <v>1</v>
      </c>
    </row>
    <row r="61" spans="1:6">
      <c r="A61" t="str">
        <f>"E962-1"</f>
        <v>E962-1</v>
      </c>
      <c r="B61" t="str">
        <f>"PIAZZA ALFREDO ORIANI  1R-"</f>
        <v>PIAZZA ALFREDO ORIANI  1R-</v>
      </c>
      <c r="C61" t="str">
        <f>"SEP"</f>
        <v>SEP</v>
      </c>
      <c r="D61">
        <v>55</v>
      </c>
      <c r="E61" t="str">
        <f>"398"</f>
        <v>398</v>
      </c>
      <c r="F61" t="str">
        <f t="shared" ref="F61:F67" si="6">"0000"</f>
        <v>0000</v>
      </c>
    </row>
    <row r="62" spans="1:6">
      <c r="A62" t="str">
        <f>"E962-2"</f>
        <v>E962-2</v>
      </c>
      <c r="B62" t="str">
        <f>"PIAZZA ALFREDO ORIANI  2R-"</f>
        <v>PIAZZA ALFREDO ORIANI  2R-</v>
      </c>
      <c r="C62" t="str">
        <f>"SEP"</f>
        <v>SEP</v>
      </c>
      <c r="D62">
        <v>55</v>
      </c>
      <c r="E62" t="str">
        <f>"399"</f>
        <v>399</v>
      </c>
      <c r="F62" t="str">
        <f t="shared" si="6"/>
        <v>0000</v>
      </c>
    </row>
    <row r="63" spans="1:6">
      <c r="A63" t="str">
        <f>"E962-4"</f>
        <v>E962-4</v>
      </c>
      <c r="B63" t="str">
        <f>"PIAZZA ALFREDO ORIANI  4R-"</f>
        <v>PIAZZA ALFREDO ORIANI  4R-</v>
      </c>
      <c r="C63" t="str">
        <f>"SEP"</f>
        <v>SEP</v>
      </c>
      <c r="D63">
        <v>55</v>
      </c>
      <c r="E63" t="str">
        <f>"402"</f>
        <v>402</v>
      </c>
      <c r="F63" t="str">
        <f t="shared" si="6"/>
        <v>0000</v>
      </c>
    </row>
    <row r="64" spans="1:6">
      <c r="A64" t="str">
        <f>"E962-5"</f>
        <v>E962-5</v>
      </c>
      <c r="B64" t="str">
        <f>"PIAZZA ALFREDO ORIANI VICINO AL 4R-"</f>
        <v>PIAZZA ALFREDO ORIANI VICINO AL 4R-</v>
      </c>
      <c r="C64" t="str">
        <f>"SEP"</f>
        <v>SEP</v>
      </c>
      <c r="D64">
        <v>55</v>
      </c>
      <c r="E64" t="str">
        <f>"516"</f>
        <v>516</v>
      </c>
      <c r="F64" t="str">
        <f t="shared" si="6"/>
        <v>0000</v>
      </c>
    </row>
    <row r="65" spans="1:6">
      <c r="A65" t="str">
        <f>"E962-6"</f>
        <v>E962-6</v>
      </c>
      <c r="B65" t="str">
        <f>"PIAZZA ALFREDO ORIANI VICINO AL 4R-"</f>
        <v>PIAZZA ALFREDO ORIANI VICINO AL 4R-</v>
      </c>
      <c r="C65" t="str">
        <f>"SEP"</f>
        <v>SEP</v>
      </c>
      <c r="D65">
        <v>55</v>
      </c>
      <c r="E65" t="str">
        <f>"517"</f>
        <v>517</v>
      </c>
      <c r="F65" t="str">
        <f t="shared" si="6"/>
        <v>0000</v>
      </c>
    </row>
    <row r="66" spans="1:6">
      <c r="A66" t="str">
        <f>"E965-1"</f>
        <v>E965-1</v>
      </c>
      <c r="B66" t="str">
        <f>"VIA LUCIANO MANARA  19R-"</f>
        <v>VIA LUCIANO MANARA  19R-</v>
      </c>
      <c r="C66" t="str">
        <f>"BOR"</f>
        <v>BOR</v>
      </c>
      <c r="D66">
        <v>72</v>
      </c>
      <c r="E66" t="str">
        <f>"43"</f>
        <v>43</v>
      </c>
      <c r="F66" t="str">
        <f t="shared" si="6"/>
        <v>0000</v>
      </c>
    </row>
    <row r="67" spans="1:6">
      <c r="C67" t="str">
        <f>"3"</f>
        <v>3</v>
      </c>
      <c r="D67">
        <v>51</v>
      </c>
      <c r="E67" t="str">
        <f>"722"</f>
        <v>722</v>
      </c>
      <c r="F67" t="str">
        <f t="shared" si="6"/>
        <v>0000</v>
      </c>
    </row>
    <row r="68" spans="1:6">
      <c r="A68" t="str">
        <f>"E986-1"</f>
        <v>E986-1</v>
      </c>
      <c r="B68" t="str">
        <f>"VIA FABIO DA PERSICO  43R-"</f>
        <v>VIA FABIO DA PERSICO  43R-</v>
      </c>
      <c r="C68" t="str">
        <f>"SEP"</f>
        <v>SEP</v>
      </c>
      <c r="D68">
        <v>55</v>
      </c>
      <c r="E68" t="str">
        <f>"326"</f>
        <v>326</v>
      </c>
      <c r="F68" t="str">
        <f>"32"</f>
        <v>32</v>
      </c>
    </row>
    <row r="69" spans="1:6">
      <c r="C69" t="str">
        <f>"SEP"</f>
        <v>SEP</v>
      </c>
      <c r="D69">
        <v>55</v>
      </c>
      <c r="E69" t="str">
        <f>"327"</f>
        <v>327</v>
      </c>
      <c r="F69" t="str">
        <f>"0000"</f>
        <v>0000</v>
      </c>
    </row>
    <row r="70" spans="1:6">
      <c r="A70" t="str">
        <f>"E987-1"</f>
        <v>E987-1</v>
      </c>
      <c r="B70" t="str">
        <f>"P.ZA UNIVERSITA POPOLARE  4-"</f>
        <v>P.ZA UNIVERSITA POPOLARE  4-</v>
      </c>
      <c r="C70" t="str">
        <f>"SEP"</f>
        <v>SEP</v>
      </c>
      <c r="D70">
        <v>55</v>
      </c>
      <c r="E70" t="str">
        <f>"700"</f>
        <v>700</v>
      </c>
      <c r="F70" t="str">
        <f>"4"</f>
        <v>4</v>
      </c>
    </row>
    <row r="71" spans="1:6">
      <c r="A71" t="str">
        <f>"E990-1"</f>
        <v>E990-1</v>
      </c>
      <c r="B71" t="str">
        <f>"VIA CORONATA  42-"</f>
        <v>VIA CORONATA  42-</v>
      </c>
      <c r="C71" t="str">
        <f>"COR"</f>
        <v>COR</v>
      </c>
      <c r="D71">
        <v>78</v>
      </c>
      <c r="E71" t="str">
        <f>"422"</f>
        <v>422</v>
      </c>
      <c r="F71" t="str">
        <f>"16"</f>
        <v>16</v>
      </c>
    </row>
    <row r="72" spans="1:6">
      <c r="A72" t="str">
        <f>"E990-2"</f>
        <v>E990-2</v>
      </c>
      <c r="B72" t="str">
        <f>"VIA CORONATA  42-"</f>
        <v>VIA CORONATA  42-</v>
      </c>
      <c r="C72" t="str">
        <f>"COR"</f>
        <v>COR</v>
      </c>
      <c r="D72">
        <v>78</v>
      </c>
      <c r="E72" t="str">
        <f>"422"</f>
        <v>422</v>
      </c>
      <c r="F72" t="str">
        <f>"17"</f>
        <v>17</v>
      </c>
    </row>
    <row r="73" spans="1:6">
      <c r="A73" t="str">
        <f>"E990-10"</f>
        <v>E990-10</v>
      </c>
      <c r="B73" t="str">
        <f>"VIA CORONATA  42-"</f>
        <v>VIA CORONATA  42-</v>
      </c>
      <c r="C73" t="str">
        <f>"COR"</f>
        <v>COR</v>
      </c>
      <c r="D73">
        <v>78</v>
      </c>
      <c r="E73" t="str">
        <f>"422"</f>
        <v>422</v>
      </c>
      <c r="F73" t="str">
        <f>"9"</f>
        <v>9</v>
      </c>
    </row>
    <row r="74" spans="1:6">
      <c r="A74" t="str">
        <f>"E990-22"</f>
        <v>E990-22</v>
      </c>
      <c r="B74" t="str">
        <f>"VIA CORONATA  42-"</f>
        <v>VIA CORONATA  42-</v>
      </c>
      <c r="C74" t="str">
        <f>"COR"</f>
        <v>COR</v>
      </c>
      <c r="D74">
        <v>78</v>
      </c>
      <c r="E74" t="str">
        <f>"422"</f>
        <v>422</v>
      </c>
      <c r="F74" t="str">
        <f>"24"</f>
        <v>24</v>
      </c>
    </row>
    <row r="75" spans="1:6">
      <c r="A75" t="str">
        <f>"E990-40"</f>
        <v>E990-40</v>
      </c>
      <c r="B75" t="str">
        <f>"VIA CORONATA  44-"</f>
        <v>VIA CORONATA  44-</v>
      </c>
      <c r="C75" t="str">
        <f>"COR"</f>
        <v>COR</v>
      </c>
      <c r="D75">
        <v>78</v>
      </c>
      <c r="E75" t="str">
        <f>"422"</f>
        <v>422</v>
      </c>
      <c r="F75" t="str">
        <f>"43"</f>
        <v>43</v>
      </c>
    </row>
    <row r="76" spans="1:6">
      <c r="A76" t="str">
        <f>"E991-1"</f>
        <v>E991-1</v>
      </c>
      <c r="B76" t="str">
        <f>"VIA CORONATA  52-"</f>
        <v>VIA CORONATA  52-</v>
      </c>
      <c r="C76" t="str">
        <f>"3"</f>
        <v>3</v>
      </c>
      <c r="D76">
        <v>78</v>
      </c>
      <c r="E76" t="str">
        <f>"54"</f>
        <v>54</v>
      </c>
      <c r="F76" t="str">
        <f>"0000"</f>
        <v>0000</v>
      </c>
    </row>
    <row r="77" spans="1:6">
      <c r="A77" t="str">
        <f>"E991-9"</f>
        <v>E991-9</v>
      </c>
      <c r="B77" t="str">
        <f>"VIA CORONATA  52-"</f>
        <v>VIA CORONATA  52-</v>
      </c>
      <c r="C77" t="str">
        <f>"COR"</f>
        <v>COR</v>
      </c>
      <c r="D77">
        <v>78</v>
      </c>
      <c r="E77" t="str">
        <f>"429"</f>
        <v>429</v>
      </c>
      <c r="F77" t="str">
        <f>"7"</f>
        <v>7</v>
      </c>
    </row>
    <row r="78" spans="1:6">
      <c r="A78" t="str">
        <f>"E991-14"</f>
        <v>E991-14</v>
      </c>
      <c r="B78" t="str">
        <f>"VIA CORONATA  52-"</f>
        <v>VIA CORONATA  52-</v>
      </c>
      <c r="C78" t="str">
        <f>"COR"</f>
        <v>COR</v>
      </c>
      <c r="D78">
        <v>78</v>
      </c>
      <c r="E78" t="str">
        <f>"429"</f>
        <v>429</v>
      </c>
      <c r="F78" t="str">
        <f>"13"</f>
        <v>13</v>
      </c>
    </row>
    <row r="79" spans="1:6">
      <c r="A79" t="str">
        <f>"E991-24"</f>
        <v>E991-24</v>
      </c>
      <c r="B79" t="str">
        <f>"VIA CORONATA  52-"</f>
        <v>VIA CORONATA  52-</v>
      </c>
      <c r="C79" t="str">
        <f>"COR"</f>
        <v>COR</v>
      </c>
      <c r="D79">
        <v>78</v>
      </c>
      <c r="E79" t="str">
        <f>"429"</f>
        <v>429</v>
      </c>
      <c r="F79" t="str">
        <f>"30"</f>
        <v>30</v>
      </c>
    </row>
    <row r="80" spans="1:6">
      <c r="A80" t="str">
        <f>"E991-29"</f>
        <v>E991-29</v>
      </c>
      <c r="B80" t="str">
        <f>"VIA CORONATA  54-"</f>
        <v>VIA CORONATA  54-</v>
      </c>
      <c r="C80" t="str">
        <f>"3"</f>
        <v>3</v>
      </c>
      <c r="D80">
        <v>78</v>
      </c>
      <c r="E80" t="str">
        <f>"54"</f>
        <v>54</v>
      </c>
      <c r="F80" t="str">
        <f>"0000"</f>
        <v>0000</v>
      </c>
    </row>
    <row r="81" spans="1:6">
      <c r="A81" t="str">
        <f>"E991-50"</f>
        <v>E991-50</v>
      </c>
      <c r="B81" t="str">
        <f>"VIA CORONATA  56-"</f>
        <v>VIA CORONATA  56-</v>
      </c>
      <c r="C81" t="str">
        <f>"COR"</f>
        <v>COR</v>
      </c>
      <c r="D81">
        <v>78</v>
      </c>
      <c r="E81" t="str">
        <f>"429"</f>
        <v>429</v>
      </c>
      <c r="F81" t="str">
        <f>"67"</f>
        <v>67</v>
      </c>
    </row>
    <row r="82" spans="1:6">
      <c r="A82" t="str">
        <f>"E991-66"</f>
        <v>E991-66</v>
      </c>
      <c r="B82" t="str">
        <f>"VIA CORONATA  56-"</f>
        <v>VIA CORONATA  56-</v>
      </c>
      <c r="C82" t="str">
        <f>"COR"</f>
        <v>COR</v>
      </c>
      <c r="D82">
        <v>78</v>
      </c>
      <c r="E82" t="str">
        <f>"429"</f>
        <v>429</v>
      </c>
      <c r="F82" t="str">
        <f>"86"</f>
        <v>86</v>
      </c>
    </row>
    <row r="83" spans="1:6">
      <c r="A83" t="str">
        <f>"E992-10"</f>
        <v>E992-10</v>
      </c>
      <c r="B83" t="str">
        <f>"VIA CORONATA  58-"</f>
        <v>VIA CORONATA  58-</v>
      </c>
      <c r="C83" t="str">
        <f>"COR"</f>
        <v>COR</v>
      </c>
      <c r="D83">
        <v>78</v>
      </c>
      <c r="E83" t="str">
        <f>"1111"</f>
        <v>1111</v>
      </c>
      <c r="F83" t="str">
        <f>"24"</f>
        <v>24</v>
      </c>
    </row>
    <row r="84" spans="1:6">
      <c r="A84" t="str">
        <f>"E993-2"</f>
        <v>E993-2</v>
      </c>
      <c r="B84" t="str">
        <f>"VIA CORONATA  28R-"</f>
        <v>VIA CORONATA  28R-</v>
      </c>
      <c r="C84" t="str">
        <f>"COR"</f>
        <v>COR</v>
      </c>
      <c r="D84">
        <v>78</v>
      </c>
      <c r="E84" t="str">
        <f>"427"</f>
        <v>427</v>
      </c>
      <c r="F84" t="str">
        <f>"54"</f>
        <v>54</v>
      </c>
    </row>
    <row r="85" spans="1:6">
      <c r="A85" t="str">
        <f>"E993-3"</f>
        <v>E993-3</v>
      </c>
      <c r="B85" t="str">
        <f>"VIA CORONATA  30R-"</f>
        <v>VIA CORONATA  30R-</v>
      </c>
      <c r="C85" t="str">
        <f>"COR"</f>
        <v>COR</v>
      </c>
      <c r="D85">
        <v>78</v>
      </c>
      <c r="E85" t="str">
        <f>"427"</f>
        <v>427</v>
      </c>
      <c r="F85" t="str">
        <f>"1"</f>
        <v>1</v>
      </c>
    </row>
    <row r="86" spans="1:6">
      <c r="A86" t="str">
        <f>"E993-4"</f>
        <v>E993-4</v>
      </c>
      <c r="B86" t="str">
        <f>"VIA CORONATA  32R-"</f>
        <v>VIA CORONATA  32R-</v>
      </c>
      <c r="C86" t="str">
        <f>"3"</f>
        <v>3</v>
      </c>
      <c r="D86">
        <v>78</v>
      </c>
      <c r="E86" t="str">
        <f>"384"</f>
        <v>384</v>
      </c>
      <c r="F86" t="str">
        <f>"0000"</f>
        <v>0000</v>
      </c>
    </row>
    <row r="87" spans="1:6">
      <c r="A87" t="str">
        <f>"E993-5"</f>
        <v>E993-5</v>
      </c>
      <c r="B87" t="str">
        <f>"VIA CORONATA  34R-"</f>
        <v>VIA CORONATA  34R-</v>
      </c>
      <c r="C87" t="str">
        <f>"COR"</f>
        <v>COR</v>
      </c>
      <c r="D87">
        <v>78</v>
      </c>
      <c r="E87" t="str">
        <f>"427"</f>
        <v>427</v>
      </c>
      <c r="F87" t="str">
        <f>"3"</f>
        <v>3</v>
      </c>
    </row>
    <row r="88" spans="1:6">
      <c r="A88" t="str">
        <f>"E993-13"</f>
        <v>E993-13</v>
      </c>
      <c r="B88" t="str">
        <f>"VIA CORONATA  62-"</f>
        <v>VIA CORONATA  62-</v>
      </c>
      <c r="C88" t="str">
        <f>"COR"</f>
        <v>COR</v>
      </c>
      <c r="D88">
        <v>78</v>
      </c>
      <c r="E88" t="str">
        <f>"427"</f>
        <v>427</v>
      </c>
      <c r="F88" t="str">
        <f>"12"</f>
        <v>12</v>
      </c>
    </row>
    <row r="89" spans="1:6">
      <c r="A89" t="str">
        <f>"E993-24"</f>
        <v>E993-24</v>
      </c>
      <c r="B89" t="str">
        <f>"VIA CORONATA  64-"</f>
        <v>VIA CORONATA  64-</v>
      </c>
      <c r="C89" t="str">
        <f>"COR"</f>
        <v>COR</v>
      </c>
      <c r="D89">
        <v>78</v>
      </c>
      <c r="E89" t="str">
        <f>"427"</f>
        <v>427</v>
      </c>
      <c r="F89" t="str">
        <f>"24"</f>
        <v>24</v>
      </c>
    </row>
    <row r="90" spans="1:6">
      <c r="A90" t="str">
        <f>"E993-34"</f>
        <v>E993-34</v>
      </c>
      <c r="B90" t="str">
        <f>"VIA CORONATA  66-"</f>
        <v>VIA CORONATA  66-</v>
      </c>
      <c r="C90" t="str">
        <f>"COR"</f>
        <v>COR</v>
      </c>
      <c r="D90">
        <v>78</v>
      </c>
      <c r="E90" t="str">
        <f>"427"</f>
        <v>427</v>
      </c>
      <c r="F90" t="str">
        <f>"34"</f>
        <v>34</v>
      </c>
    </row>
    <row r="91" spans="1:6">
      <c r="A91" t="str">
        <f>"E993-44"</f>
        <v>E993-44</v>
      </c>
      <c r="B91" t="str">
        <f>"VIA CORONATA  66-"</f>
        <v>VIA CORONATA  66-</v>
      </c>
      <c r="C91" t="str">
        <f>"COR"</f>
        <v>COR</v>
      </c>
      <c r="D91">
        <v>78</v>
      </c>
      <c r="E91" t="str">
        <f>"427"</f>
        <v>427</v>
      </c>
      <c r="F91" t="str">
        <f>"46"</f>
        <v>46</v>
      </c>
    </row>
    <row r="92" spans="1:6">
      <c r="A92" t="str">
        <f>"E994-1"</f>
        <v>E994-1</v>
      </c>
      <c r="B92" t="str">
        <f>"VIA CORONATA VICINO AL 68-"</f>
        <v>VIA CORONATA VICINO AL 68-</v>
      </c>
      <c r="C92" t="str">
        <f>"3"</f>
        <v>3</v>
      </c>
      <c r="D92">
        <v>78</v>
      </c>
      <c r="E92" t="str">
        <f>"383"</f>
        <v>383</v>
      </c>
      <c r="F92" t="str">
        <f>"0000"</f>
        <v>0000</v>
      </c>
    </row>
    <row r="93" spans="1:6">
      <c r="A93" t="str">
        <f>"E994-8"</f>
        <v>E994-8</v>
      </c>
      <c r="B93" t="str">
        <f t="shared" ref="B93:B98" si="7">"VIA CORONATA  68-"</f>
        <v>VIA CORONATA  68-</v>
      </c>
      <c r="C93" t="str">
        <f t="shared" ref="C93:C107" si="8">"COR"</f>
        <v>COR</v>
      </c>
      <c r="D93">
        <v>78</v>
      </c>
      <c r="E93" t="str">
        <f t="shared" ref="E93:E99" si="9">"426"</f>
        <v>426</v>
      </c>
      <c r="F93" t="str">
        <f>"5"</f>
        <v>5</v>
      </c>
    </row>
    <row r="94" spans="1:6">
      <c r="A94" t="str">
        <f>"E994-11"</f>
        <v>E994-11</v>
      </c>
      <c r="B94" t="str">
        <f t="shared" si="7"/>
        <v>VIA CORONATA  68-</v>
      </c>
      <c r="C94" t="str">
        <f t="shared" si="8"/>
        <v>COR</v>
      </c>
      <c r="D94">
        <v>78</v>
      </c>
      <c r="E94" t="str">
        <f t="shared" si="9"/>
        <v>426</v>
      </c>
      <c r="F94" t="str">
        <f>"8"</f>
        <v>8</v>
      </c>
    </row>
    <row r="95" spans="1:6">
      <c r="A95" t="str">
        <f>"E994-19"</f>
        <v>E994-19</v>
      </c>
      <c r="B95" t="str">
        <f t="shared" si="7"/>
        <v>VIA CORONATA  68-</v>
      </c>
      <c r="C95" t="str">
        <f t="shared" si="8"/>
        <v>COR</v>
      </c>
      <c r="D95">
        <v>78</v>
      </c>
      <c r="E95" t="str">
        <f t="shared" si="9"/>
        <v>426</v>
      </c>
      <c r="F95" t="str">
        <f>"17"</f>
        <v>17</v>
      </c>
    </row>
    <row r="96" spans="1:6">
      <c r="A96" t="str">
        <f>"E994-20"</f>
        <v>E994-20</v>
      </c>
      <c r="B96" t="str">
        <f t="shared" si="7"/>
        <v>VIA CORONATA  68-</v>
      </c>
      <c r="C96" t="str">
        <f t="shared" si="8"/>
        <v>COR</v>
      </c>
      <c r="D96">
        <v>78</v>
      </c>
      <c r="E96" t="str">
        <f t="shared" si="9"/>
        <v>426</v>
      </c>
      <c r="F96" t="str">
        <f>"18"</f>
        <v>18</v>
      </c>
    </row>
    <row r="97" spans="1:6">
      <c r="A97" t="str">
        <f>"E994-25"</f>
        <v>E994-25</v>
      </c>
      <c r="B97" t="str">
        <f t="shared" si="7"/>
        <v>VIA CORONATA  68-</v>
      </c>
      <c r="C97" t="str">
        <f t="shared" si="8"/>
        <v>COR</v>
      </c>
      <c r="D97">
        <v>78</v>
      </c>
      <c r="E97" t="str">
        <f t="shared" si="9"/>
        <v>426</v>
      </c>
      <c r="F97" t="str">
        <f>"25"</f>
        <v>25</v>
      </c>
    </row>
    <row r="98" spans="1:6">
      <c r="A98" t="str">
        <f>"E994-27"</f>
        <v>E994-27</v>
      </c>
      <c r="B98" t="str">
        <f t="shared" si="7"/>
        <v>VIA CORONATA  68-</v>
      </c>
      <c r="C98" t="str">
        <f t="shared" si="8"/>
        <v>COR</v>
      </c>
      <c r="D98">
        <v>78</v>
      </c>
      <c r="E98" t="str">
        <f t="shared" si="9"/>
        <v>426</v>
      </c>
      <c r="F98" t="str">
        <f>"28"</f>
        <v>28</v>
      </c>
    </row>
    <row r="99" spans="1:6">
      <c r="A99" t="str">
        <f>"E994-44"</f>
        <v>E994-44</v>
      </c>
      <c r="B99" t="str">
        <f>"VIA CORONATA  72-"</f>
        <v>VIA CORONATA  72-</v>
      </c>
      <c r="C99" t="str">
        <f t="shared" si="8"/>
        <v>COR</v>
      </c>
      <c r="D99">
        <v>78</v>
      </c>
      <c r="E99" t="str">
        <f t="shared" si="9"/>
        <v>426</v>
      </c>
      <c r="F99" t="str">
        <f>"60"</f>
        <v>60</v>
      </c>
    </row>
    <row r="100" spans="1:6">
      <c r="A100" t="str">
        <f>"E995-15"</f>
        <v>E995-15</v>
      </c>
      <c r="B100" t="str">
        <f>"VIA CORONATA  76-"</f>
        <v>VIA CORONATA  76-</v>
      </c>
      <c r="C100" t="str">
        <f t="shared" si="8"/>
        <v>COR</v>
      </c>
      <c r="D100">
        <v>78</v>
      </c>
      <c r="E100" t="str">
        <f>"425"</f>
        <v>425</v>
      </c>
      <c r="F100" t="str">
        <f>"19"</f>
        <v>19</v>
      </c>
    </row>
    <row r="101" spans="1:6">
      <c r="A101" t="str">
        <f>"E995-46"</f>
        <v>E995-46</v>
      </c>
      <c r="B101" t="str">
        <f>"VIA CORONATA  78-"</f>
        <v>VIA CORONATA  78-</v>
      </c>
      <c r="C101" t="str">
        <f t="shared" si="8"/>
        <v>COR</v>
      </c>
      <c r="D101">
        <v>78</v>
      </c>
      <c r="E101" t="str">
        <f>"425"</f>
        <v>425</v>
      </c>
      <c r="F101" t="str">
        <f>"53"</f>
        <v>53</v>
      </c>
    </row>
    <row r="102" spans="1:6">
      <c r="A102" t="str">
        <f>"E995-63"</f>
        <v>E995-63</v>
      </c>
      <c r="B102" t="str">
        <f>"VIA CORONATA  78-"</f>
        <v>VIA CORONATA  78-</v>
      </c>
      <c r="C102" t="str">
        <f t="shared" si="8"/>
        <v>COR</v>
      </c>
      <c r="D102">
        <v>78</v>
      </c>
      <c r="E102" t="str">
        <f>"425"</f>
        <v>425</v>
      </c>
      <c r="F102" t="str">
        <f>"74"</f>
        <v>74</v>
      </c>
    </row>
    <row r="103" spans="1:6">
      <c r="A103" t="str">
        <f>"E996-1"</f>
        <v>E996-1</v>
      </c>
      <c r="B103" t="str">
        <f>"VIA CORONATA  80-"</f>
        <v>VIA CORONATA  80-</v>
      </c>
      <c r="C103" t="str">
        <f t="shared" si="8"/>
        <v>COR</v>
      </c>
      <c r="D103">
        <v>78</v>
      </c>
      <c r="E103" t="str">
        <f>"1108"</f>
        <v>1108</v>
      </c>
      <c r="F103" t="str">
        <f>"1"</f>
        <v>1</v>
      </c>
    </row>
    <row r="104" spans="1:6">
      <c r="A104" t="str">
        <f>"E996-2"</f>
        <v>E996-2</v>
      </c>
      <c r="B104" t="str">
        <f>"VIA CORONATA  80-"</f>
        <v>VIA CORONATA  80-</v>
      </c>
      <c r="C104" t="str">
        <f t="shared" si="8"/>
        <v>COR</v>
      </c>
      <c r="D104">
        <v>78</v>
      </c>
      <c r="E104" t="str">
        <f>"1108"</f>
        <v>1108</v>
      </c>
      <c r="F104" t="str">
        <f>"2"</f>
        <v>2</v>
      </c>
    </row>
    <row r="105" spans="1:6">
      <c r="A105" t="str">
        <f>"E997-1"</f>
        <v>E997-1</v>
      </c>
      <c r="B105" t="str">
        <f>"VIA CORONATA  46R-"</f>
        <v>VIA CORONATA  46R-</v>
      </c>
      <c r="C105" t="str">
        <f t="shared" si="8"/>
        <v>COR</v>
      </c>
      <c r="D105">
        <v>78</v>
      </c>
      <c r="E105" t="str">
        <f>"423"</f>
        <v>423</v>
      </c>
      <c r="F105" t="str">
        <f>"1"</f>
        <v>1</v>
      </c>
    </row>
    <row r="106" spans="1:6">
      <c r="A106" t="str">
        <f>"E997-31"</f>
        <v>E997-31</v>
      </c>
      <c r="B106" t="str">
        <f>"VIA CORONATA  84-"</f>
        <v>VIA CORONATA  84-</v>
      </c>
      <c r="C106" t="str">
        <f t="shared" si="8"/>
        <v>COR</v>
      </c>
      <c r="D106">
        <v>78</v>
      </c>
      <c r="E106" t="str">
        <f>"423"</f>
        <v>423</v>
      </c>
      <c r="F106" t="str">
        <f>"32"</f>
        <v>32</v>
      </c>
    </row>
    <row r="107" spans="1:6">
      <c r="A107" t="str">
        <f>"E998-1"</f>
        <v>E998-1</v>
      </c>
      <c r="B107" t="str">
        <f>"VIA CORONATA  48-"</f>
        <v>VIA CORONATA  48-</v>
      </c>
      <c r="C107" t="str">
        <f t="shared" si="8"/>
        <v>COR</v>
      </c>
      <c r="D107">
        <v>78</v>
      </c>
      <c r="E107" t="str">
        <f>"845"</f>
        <v>845</v>
      </c>
      <c r="F107" t="str">
        <f>"0000"</f>
        <v>0000</v>
      </c>
    </row>
    <row r="108" spans="1:6">
      <c r="A108" t="str">
        <f>"E999-1"</f>
        <v>E999-1</v>
      </c>
      <c r="B108" t="str">
        <f>"VIA RAMIRO GINOCCHIO VICINO AL 22-"</f>
        <v>VIA RAMIRO GINOCCHIO VICINO AL 22-</v>
      </c>
      <c r="C108" t="str">
        <f>"3"</f>
        <v>3</v>
      </c>
      <c r="D108">
        <v>56</v>
      </c>
      <c r="E108" t="str">
        <f>"99999"</f>
        <v>99999</v>
      </c>
      <c r="F108" t="str">
        <f>"0000"</f>
        <v>0000</v>
      </c>
    </row>
    <row r="109" spans="1:6">
      <c r="A109" t="str">
        <f>"E1000-2"</f>
        <v>E1000-2</v>
      </c>
      <c r="B109" t="str">
        <f>"VIA DEI COSTO VICINO AL 7BR-"</f>
        <v>VIA DEI COSTO VICINO AL 7BR-</v>
      </c>
      <c r="C109" t="str">
        <f>"SEP"</f>
        <v>SEP</v>
      </c>
      <c r="D109">
        <v>57</v>
      </c>
      <c r="E109" t="str">
        <f>"62"</f>
        <v>62</v>
      </c>
      <c r="F109" t="str">
        <f>"8"</f>
        <v>8</v>
      </c>
    </row>
    <row r="110" spans="1:6">
      <c r="A110" t="str">
        <f>"E1000-3"</f>
        <v>E1000-3</v>
      </c>
      <c r="B110" t="str">
        <f>"VIA MERANO  4-"</f>
        <v>VIA MERANO  4-</v>
      </c>
      <c r="C110" t="str">
        <f>"SEP"</f>
        <v>SEP</v>
      </c>
      <c r="D110">
        <v>57</v>
      </c>
      <c r="E110" t="str">
        <f>"60"</f>
        <v>60</v>
      </c>
      <c r="F110" t="str">
        <f>"19"</f>
        <v>19</v>
      </c>
    </row>
    <row r="111" spans="1:6">
      <c r="A111" t="str">
        <f>"E1001-1"</f>
        <v>E1001-1</v>
      </c>
      <c r="B111" t="str">
        <f>"VIA GIAN GIACOMO CAVALLI  10-"</f>
        <v>VIA GIAN GIACOMO CAVALLI  10-</v>
      </c>
      <c r="C111" t="str">
        <f>"SEP"</f>
        <v>SEP</v>
      </c>
      <c r="D111">
        <v>56</v>
      </c>
      <c r="E111" t="str">
        <f>"361"</f>
        <v>361</v>
      </c>
      <c r="F111" t="str">
        <f>"1"</f>
        <v>1</v>
      </c>
    </row>
    <row r="112" spans="1:6">
      <c r="A112" t="str">
        <f>"E1002-1"</f>
        <v>E1002-1</v>
      </c>
      <c r="B112" t="str">
        <f>"PIAZZA ROSOLINO PILO VICINO AL 1-"</f>
        <v>PIAZZA ROSOLINO PILO VICINO AL 1-</v>
      </c>
      <c r="C112" t="str">
        <f>"SEP"</f>
        <v>SEP</v>
      </c>
      <c r="D112">
        <v>57</v>
      </c>
      <c r="E112" t="str">
        <f>"219"</f>
        <v>219</v>
      </c>
      <c r="F112" t="str">
        <f>"0000"</f>
        <v>0000</v>
      </c>
    </row>
    <row r="113" spans="1:6">
      <c r="A113" t="str">
        <f>"E1003-1"</f>
        <v>E1003-1</v>
      </c>
      <c r="B113" t="str">
        <f>"VIA ORATORIO DI BORZOLI VICINO AL 10-"</f>
        <v>VIA ORATORIO DI BORZOLI VICINO AL 10-</v>
      </c>
      <c r="C113" t="str">
        <f>"BOR"</f>
        <v>BOR</v>
      </c>
      <c r="D113">
        <v>65</v>
      </c>
      <c r="E113" t="str">
        <f>"390"</f>
        <v>390</v>
      </c>
      <c r="F113" t="str">
        <f>"0000"</f>
        <v>0000</v>
      </c>
    </row>
    <row r="114" spans="1:6">
      <c r="A114" t="str">
        <f>"E1004-2"</f>
        <v>E1004-2</v>
      </c>
      <c r="B114" t="str">
        <f>"PIAZZA COSMA CLAVARINO VICINO AL 3-"</f>
        <v>PIAZZA COSMA CLAVARINO VICINO AL 3-</v>
      </c>
      <c r="C114" t="str">
        <f>"3"</f>
        <v>3</v>
      </c>
      <c r="D114">
        <v>55</v>
      </c>
      <c r="E114" t="str">
        <f>"649"</f>
        <v>649</v>
      </c>
      <c r="F114" t="str">
        <f>"0000"</f>
        <v>0000</v>
      </c>
    </row>
    <row r="115" spans="1:6">
      <c r="A115" t="str">
        <f>"E1005-1"</f>
        <v>E1005-1</v>
      </c>
      <c r="B115" t="str">
        <f>"VIA ANTONIO MANNO  1-"</f>
        <v>VIA ANTONIO MANNO  1-</v>
      </c>
      <c r="C115" t="str">
        <f t="shared" ref="C115:C127" si="10">"SEP"</f>
        <v>SEP</v>
      </c>
      <c r="D115">
        <v>55</v>
      </c>
      <c r="E115" t="str">
        <f>"144"</f>
        <v>144</v>
      </c>
      <c r="F115" t="str">
        <f>"4"</f>
        <v>4</v>
      </c>
    </row>
    <row r="116" spans="1:6">
      <c r="A116" t="str">
        <f>"E1005-1"</f>
        <v>E1005-1</v>
      </c>
      <c r="B116" t="str">
        <f>"VIA ANTONIO MANNO  1-"</f>
        <v>VIA ANTONIO MANNO  1-</v>
      </c>
      <c r="C116" t="str">
        <f t="shared" si="10"/>
        <v>SEP</v>
      </c>
      <c r="D116">
        <v>55</v>
      </c>
      <c r="E116" t="str">
        <f>"457"</f>
        <v>457</v>
      </c>
      <c r="F116" t="str">
        <f t="shared" ref="F116:F130" si="11">"0000"</f>
        <v>0000</v>
      </c>
    </row>
    <row r="117" spans="1:6">
      <c r="C117" t="str">
        <f t="shared" si="10"/>
        <v>SEP</v>
      </c>
      <c r="D117">
        <v>55</v>
      </c>
      <c r="E117" t="str">
        <f>"453"</f>
        <v>453</v>
      </c>
      <c r="F117" t="str">
        <f t="shared" si="11"/>
        <v>0000</v>
      </c>
    </row>
    <row r="118" spans="1:6">
      <c r="A118" t="str">
        <f>"E1006-1"</f>
        <v>E1006-1</v>
      </c>
      <c r="B118" t="str">
        <f>"VIA VADO  67R-"</f>
        <v>VIA VADO  67R-</v>
      </c>
      <c r="C118" t="str">
        <f t="shared" si="10"/>
        <v>SEP</v>
      </c>
      <c r="D118">
        <v>55</v>
      </c>
      <c r="E118" t="str">
        <f>"381"</f>
        <v>381</v>
      </c>
      <c r="F118" t="str">
        <f t="shared" si="11"/>
        <v>0000</v>
      </c>
    </row>
    <row r="119" spans="1:6">
      <c r="A119" t="str">
        <f>"E1006-2"</f>
        <v>E1006-2</v>
      </c>
      <c r="B119" t="str">
        <f>"VIA VADO  57R-"</f>
        <v>VIA VADO  57R-</v>
      </c>
      <c r="C119" t="str">
        <f t="shared" si="10"/>
        <v>SEP</v>
      </c>
      <c r="D119">
        <v>55</v>
      </c>
      <c r="E119" t="str">
        <f>"519"</f>
        <v>519</v>
      </c>
      <c r="F119" t="str">
        <f t="shared" si="11"/>
        <v>0000</v>
      </c>
    </row>
    <row r="120" spans="1:6">
      <c r="C120" t="str">
        <f t="shared" si="10"/>
        <v>SEP</v>
      </c>
      <c r="D120">
        <v>55</v>
      </c>
      <c r="E120" t="str">
        <f>"520"</f>
        <v>520</v>
      </c>
      <c r="F120" t="str">
        <f t="shared" si="11"/>
        <v>0000</v>
      </c>
    </row>
    <row r="121" spans="1:6">
      <c r="A121" t="str">
        <f>"E1006-3"</f>
        <v>E1006-3</v>
      </c>
      <c r="B121" t="str">
        <f>"VIA VADO  61R-"</f>
        <v>VIA VADO  61R-</v>
      </c>
      <c r="C121" t="str">
        <f t="shared" si="10"/>
        <v>SEP</v>
      </c>
      <c r="D121">
        <v>55</v>
      </c>
      <c r="E121" t="str">
        <f>"521"</f>
        <v>521</v>
      </c>
      <c r="F121" t="str">
        <f t="shared" si="11"/>
        <v>0000</v>
      </c>
    </row>
    <row r="122" spans="1:6">
      <c r="A122" t="str">
        <f>"E1006-4"</f>
        <v>E1006-4</v>
      </c>
      <c r="B122" t="str">
        <f>"VIA VADO  63R-"</f>
        <v>VIA VADO  63R-</v>
      </c>
      <c r="C122" t="str">
        <f t="shared" si="10"/>
        <v>SEP</v>
      </c>
      <c r="D122">
        <v>55</v>
      </c>
      <c r="E122" t="str">
        <f>"522"</f>
        <v>522</v>
      </c>
      <c r="F122" t="str">
        <f t="shared" si="11"/>
        <v>0000</v>
      </c>
    </row>
    <row r="123" spans="1:6">
      <c r="A123" t="str">
        <f>"E1006-5"</f>
        <v>E1006-5</v>
      </c>
      <c r="B123" t="str">
        <f>"VIA VADO  65R-"</f>
        <v>VIA VADO  65R-</v>
      </c>
      <c r="C123" t="str">
        <f t="shared" si="10"/>
        <v>SEP</v>
      </c>
      <c r="D123">
        <v>55</v>
      </c>
      <c r="E123" t="str">
        <f>"523"</f>
        <v>523</v>
      </c>
      <c r="F123" t="str">
        <f t="shared" si="11"/>
        <v>0000</v>
      </c>
    </row>
    <row r="124" spans="1:6">
      <c r="A124" t="str">
        <f>"E1006-6"</f>
        <v>E1006-6</v>
      </c>
      <c r="B124" t="str">
        <f>"VIA VADO  69R-"</f>
        <v>VIA VADO  69R-</v>
      </c>
      <c r="C124" t="str">
        <f t="shared" si="10"/>
        <v>SEP</v>
      </c>
      <c r="D124">
        <v>55</v>
      </c>
      <c r="E124" t="str">
        <f>"524"</f>
        <v>524</v>
      </c>
      <c r="F124" t="str">
        <f t="shared" si="11"/>
        <v>0000</v>
      </c>
    </row>
    <row r="125" spans="1:6">
      <c r="C125" t="str">
        <f t="shared" si="10"/>
        <v>SEP</v>
      </c>
      <c r="D125">
        <v>55</v>
      </c>
      <c r="E125" t="str">
        <f>"525"</f>
        <v>525</v>
      </c>
      <c r="F125" t="str">
        <f t="shared" si="11"/>
        <v>0000</v>
      </c>
    </row>
    <row r="126" spans="1:6">
      <c r="A126" t="str">
        <f>"E1006-7"</f>
        <v>E1006-7</v>
      </c>
      <c r="B126" t="str">
        <f>"VIA VADO  73R-"</f>
        <v>VIA VADO  73R-</v>
      </c>
      <c r="C126" t="str">
        <f t="shared" si="10"/>
        <v>SEP</v>
      </c>
      <c r="D126">
        <v>55</v>
      </c>
      <c r="E126" t="str">
        <f>"526"</f>
        <v>526</v>
      </c>
      <c r="F126" t="str">
        <f t="shared" si="11"/>
        <v>0000</v>
      </c>
    </row>
    <row r="127" spans="1:6">
      <c r="A127" t="str">
        <f>"E1006-8"</f>
        <v>E1006-8</v>
      </c>
      <c r="B127" t="str">
        <f>"VIA VADO  75R-"</f>
        <v>VIA VADO  75R-</v>
      </c>
      <c r="C127" t="str">
        <f t="shared" si="10"/>
        <v>SEP</v>
      </c>
      <c r="D127">
        <v>55</v>
      </c>
      <c r="E127" t="str">
        <f>"527"</f>
        <v>527</v>
      </c>
      <c r="F127" t="str">
        <f t="shared" si="11"/>
        <v>0000</v>
      </c>
    </row>
    <row r="128" spans="1:6">
      <c r="A128" t="str">
        <f>"E1007-1"</f>
        <v>E1007-1</v>
      </c>
      <c r="B128" t="str">
        <f>"VIA PADRE ANTERO VICINO AL 10-"</f>
        <v>VIA PADRE ANTERO VICINO AL 10-</v>
      </c>
      <c r="C128" t="str">
        <f>"3"</f>
        <v>3</v>
      </c>
      <c r="D128">
        <v>56</v>
      </c>
      <c r="E128" t="str">
        <f>"99999"</f>
        <v>99999</v>
      </c>
      <c r="F128" t="str">
        <f t="shared" si="11"/>
        <v>0000</v>
      </c>
    </row>
    <row r="129" spans="1:6">
      <c r="A129" t="str">
        <f>"E1009-1"</f>
        <v>E1009-1</v>
      </c>
      <c r="B129" t="str">
        <f>"P.LE GIUSEPPE MURATORE  3-"</f>
        <v>P.LE GIUSEPPE MURATORE  3-</v>
      </c>
      <c r="C129" t="str">
        <f>"BOR"</f>
        <v>BOR</v>
      </c>
      <c r="D129">
        <v>65</v>
      </c>
      <c r="E129" t="str">
        <f>"1003"</f>
        <v>1003</v>
      </c>
      <c r="F129" t="str">
        <f t="shared" si="11"/>
        <v>0000</v>
      </c>
    </row>
    <row r="130" spans="1:6">
      <c r="C130" t="str">
        <f>"BOR"</f>
        <v>BOR</v>
      </c>
      <c r="D130">
        <v>65</v>
      </c>
      <c r="E130" t="str">
        <f>"1015"</f>
        <v>1015</v>
      </c>
      <c r="F130" t="str">
        <f t="shared" si="11"/>
        <v>0000</v>
      </c>
    </row>
    <row r="131" spans="1:6">
      <c r="A131" t="str">
        <f>"E1010-1"</f>
        <v>E1010-1</v>
      </c>
      <c r="B131" t="str">
        <f>"PIAZZA ALFREDO ORIANI  1R-"</f>
        <v>PIAZZA ALFREDO ORIANI  1R-</v>
      </c>
      <c r="C131" t="str">
        <f>"SEP"</f>
        <v>SEP</v>
      </c>
      <c r="D131">
        <v>55</v>
      </c>
      <c r="E131" t="str">
        <f>"322"</f>
        <v>322</v>
      </c>
      <c r="F131" t="str">
        <f>"1"</f>
        <v>1</v>
      </c>
    </row>
    <row r="132" spans="1:6">
      <c r="A132" t="str">
        <f>"E1011-1"</f>
        <v>E1011-1</v>
      </c>
      <c r="B132" t="str">
        <f>"VIA BRESSANONE  1-"</f>
        <v>VIA BRESSANONE  1-</v>
      </c>
      <c r="C132" t="str">
        <f>"3"</f>
        <v>3</v>
      </c>
      <c r="D132">
        <v>57</v>
      </c>
      <c r="E132" t="str">
        <f>"102"</f>
        <v>102</v>
      </c>
      <c r="F132" t="str">
        <f>"0000"</f>
        <v>0000</v>
      </c>
    </row>
    <row r="133" spans="1:6">
      <c r="A133" t="str">
        <f>"E1012-1"</f>
        <v>E1012-1</v>
      </c>
      <c r="B133" t="str">
        <f>"VIA SESTRI  7-"</f>
        <v>VIA SESTRI  7-</v>
      </c>
      <c r="C133" t="str">
        <f>"SEP"</f>
        <v>SEP</v>
      </c>
      <c r="D133">
        <v>56</v>
      </c>
      <c r="E133" t="str">
        <f>"494"</f>
        <v>494</v>
      </c>
      <c r="F133" t="str">
        <f>"4"</f>
        <v>4</v>
      </c>
    </row>
    <row r="134" spans="1:6">
      <c r="A134" t="str">
        <f>"E1013-1"</f>
        <v>E1013-1</v>
      </c>
      <c r="B134" t="str">
        <f>"PIAZZA FRANCESCO BARACCA  27R-"</f>
        <v>PIAZZA FRANCESCO BARACCA  27R-</v>
      </c>
      <c r="C134" t="str">
        <f>"SEP"</f>
        <v>SEP</v>
      </c>
      <c r="D134">
        <v>56</v>
      </c>
      <c r="E134" t="str">
        <f>"403"</f>
        <v>403</v>
      </c>
      <c r="F134" t="str">
        <f>"0000"</f>
        <v>0000</v>
      </c>
    </row>
    <row r="135" spans="1:6">
      <c r="A135" t="str">
        <f>"E1014-1"</f>
        <v>E1014-1</v>
      </c>
      <c r="B135" t="str">
        <f>"PIAZZA FRANCESCO BARACCA  29R-"</f>
        <v>PIAZZA FRANCESCO BARACCA  29R-</v>
      </c>
      <c r="C135" t="str">
        <f>"SEP"</f>
        <v>SEP</v>
      </c>
      <c r="D135">
        <v>56</v>
      </c>
      <c r="E135" t="str">
        <f>"404"</f>
        <v>404</v>
      </c>
      <c r="F135" t="str">
        <f>"1"</f>
        <v>1</v>
      </c>
    </row>
    <row r="136" spans="1:6">
      <c r="A136" t="str">
        <f>"E1014-2"</f>
        <v>E1014-2</v>
      </c>
      <c r="B136" t="str">
        <f>"VIA RAIMONDO AMEDEO VIGNA  45-"</f>
        <v>VIA RAIMONDO AMEDEO VIGNA  45-</v>
      </c>
      <c r="C136" t="str">
        <f>"SEP"</f>
        <v>SEP</v>
      </c>
      <c r="D136">
        <v>56</v>
      </c>
      <c r="E136" t="str">
        <f>"404"</f>
        <v>404</v>
      </c>
      <c r="F136" t="str">
        <f>"2"</f>
        <v>2</v>
      </c>
    </row>
    <row r="137" spans="1:6">
      <c r="A137" t="str">
        <f>"E1015-1"</f>
        <v>E1015-1</v>
      </c>
      <c r="B137" t="str">
        <f>"VIA BORZOLI  43-"</f>
        <v>VIA BORZOLI  43-</v>
      </c>
      <c r="C137" t="str">
        <f>"BOR"</f>
        <v>BOR</v>
      </c>
      <c r="D137">
        <v>65</v>
      </c>
      <c r="E137" t="str">
        <f>"298"</f>
        <v>298</v>
      </c>
      <c r="F137" t="str">
        <f>"1"</f>
        <v>1</v>
      </c>
    </row>
    <row r="138" spans="1:6">
      <c r="C138" t="str">
        <f>"BOR"</f>
        <v>BOR</v>
      </c>
      <c r="D138">
        <v>65</v>
      </c>
      <c r="E138" t="str">
        <f>"299"</f>
        <v>299</v>
      </c>
      <c r="F138" t="str">
        <f>"1"</f>
        <v>1</v>
      </c>
    </row>
    <row r="139" spans="1:6">
      <c r="A139" t="str">
        <f>"E1015-2"</f>
        <v>E1015-2</v>
      </c>
      <c r="B139" t="str">
        <f>"VIA BORZOLI  45-"</f>
        <v>VIA BORZOLI  45-</v>
      </c>
      <c r="C139" t="str">
        <f>"BOR"</f>
        <v>BOR</v>
      </c>
      <c r="D139">
        <v>65</v>
      </c>
      <c r="E139" t="str">
        <f>"299"</f>
        <v>299</v>
      </c>
      <c r="F139" t="str">
        <f>"2"</f>
        <v>2</v>
      </c>
    </row>
    <row r="140" spans="1:6">
      <c r="A140" t="str">
        <f>"E1015-3"</f>
        <v>E1015-3</v>
      </c>
      <c r="B140" t="str">
        <f>"VIA BORZOLI  47-"</f>
        <v>VIA BORZOLI  47-</v>
      </c>
      <c r="C140" t="str">
        <f>"BOR"</f>
        <v>BOR</v>
      </c>
      <c r="D140">
        <v>65</v>
      </c>
      <c r="E140" t="str">
        <f>"299"</f>
        <v>299</v>
      </c>
      <c r="F140" t="str">
        <f>"3"</f>
        <v>3</v>
      </c>
    </row>
    <row r="141" spans="1:6">
      <c r="A141" t="str">
        <f>"E1017-3"</f>
        <v>E1017-3</v>
      </c>
      <c r="B141" t="str">
        <f>"VIA BORZOLI  81-"</f>
        <v>VIA BORZOLI  81-</v>
      </c>
      <c r="C141" t="str">
        <f>"3"</f>
        <v>3</v>
      </c>
      <c r="D141">
        <v>66</v>
      </c>
      <c r="E141" t="str">
        <f>"195"</f>
        <v>195</v>
      </c>
      <c r="F141" t="str">
        <f>"0000"</f>
        <v>0000</v>
      </c>
    </row>
    <row r="142" spans="1:6">
      <c r="A142" t="str">
        <f>"E1017-4"</f>
        <v>E1017-4</v>
      </c>
      <c r="B142" t="str">
        <f>"VIA BORZOLI  81-"</f>
        <v>VIA BORZOLI  81-</v>
      </c>
      <c r="C142" t="str">
        <f>"3"</f>
        <v>3</v>
      </c>
      <c r="D142">
        <v>66</v>
      </c>
      <c r="E142" t="str">
        <f>"195"</f>
        <v>195</v>
      </c>
      <c r="F142" t="str">
        <f>"0000"</f>
        <v>0000</v>
      </c>
    </row>
    <row r="143" spans="1:6">
      <c r="A143" t="str">
        <f>"E1017-5"</f>
        <v>E1017-5</v>
      </c>
      <c r="B143" t="str">
        <f>"VIA BORZOLI  81-"</f>
        <v>VIA BORZOLI  81-</v>
      </c>
      <c r="C143" t="str">
        <f>"3"</f>
        <v>3</v>
      </c>
      <c r="D143">
        <v>66</v>
      </c>
      <c r="E143" t="str">
        <f>"195"</f>
        <v>195</v>
      </c>
      <c r="F143" t="str">
        <f>"0000"</f>
        <v>0000</v>
      </c>
    </row>
    <row r="144" spans="1:6">
      <c r="A144" t="str">
        <f>"E1017-6"</f>
        <v>E1017-6</v>
      </c>
      <c r="B144" t="str">
        <f>"VIA BORZOLI  81-"</f>
        <v>VIA BORZOLI  81-</v>
      </c>
      <c r="C144" t="str">
        <f>"3"</f>
        <v>3</v>
      </c>
      <c r="D144">
        <v>66</v>
      </c>
      <c r="E144" t="str">
        <f>"195"</f>
        <v>195</v>
      </c>
      <c r="F144" t="str">
        <f>"0000"</f>
        <v>0000</v>
      </c>
    </row>
    <row r="145" spans="1:6">
      <c r="A145" t="str">
        <f>"E1022-4"</f>
        <v>E1022-4</v>
      </c>
      <c r="B145" t="str">
        <f>"VIA VADO  36A-"</f>
        <v>VIA VADO  36A-</v>
      </c>
      <c r="C145" t="str">
        <f>"SEP"</f>
        <v>SEP</v>
      </c>
      <c r="D145">
        <v>55</v>
      </c>
      <c r="E145" t="str">
        <f>"97"</f>
        <v>97</v>
      </c>
      <c r="F145" t="str">
        <f>"87"</f>
        <v>87</v>
      </c>
    </row>
    <row r="146" spans="1:6">
      <c r="A146" t="str">
        <f>"E1022-5"</f>
        <v>E1022-5</v>
      </c>
      <c r="B146" t="str">
        <f>"VIA VADO  36A-"</f>
        <v>VIA VADO  36A-</v>
      </c>
      <c r="C146" t="str">
        <f>"SEP"</f>
        <v>SEP</v>
      </c>
      <c r="D146">
        <v>55</v>
      </c>
      <c r="E146" t="str">
        <f>"97"</f>
        <v>97</v>
      </c>
      <c r="F146" t="str">
        <f>"88"</f>
        <v>88</v>
      </c>
    </row>
    <row r="147" spans="1:6">
      <c r="A147" t="str">
        <f>"E1022-9"</f>
        <v>E1022-9</v>
      </c>
      <c r="B147" t="str">
        <f>"VIA VADO  36A-"</f>
        <v>VIA VADO  36A-</v>
      </c>
      <c r="C147" t="str">
        <f>"SEP"</f>
        <v>SEP</v>
      </c>
      <c r="D147">
        <v>55</v>
      </c>
      <c r="E147" t="str">
        <f>"97"</f>
        <v>97</v>
      </c>
      <c r="F147" t="str">
        <f>"92"</f>
        <v>92</v>
      </c>
    </row>
    <row r="148" spans="1:6">
      <c r="A148" t="str">
        <f>"E1022-10"</f>
        <v>E1022-10</v>
      </c>
      <c r="B148" t="str">
        <f>"VIA VADO  36A-"</f>
        <v>VIA VADO  36A-</v>
      </c>
      <c r="C148" t="str">
        <f>"SEP"</f>
        <v>SEP</v>
      </c>
      <c r="D148">
        <v>55</v>
      </c>
      <c r="E148" t="str">
        <f>"97"</f>
        <v>97</v>
      </c>
      <c r="F148" t="str">
        <f>"93"</f>
        <v>93</v>
      </c>
    </row>
    <row r="149" spans="1:6">
      <c r="A149" t="str">
        <f>"E1023-1"</f>
        <v>E1023-1</v>
      </c>
      <c r="B149" t="str">
        <f>"VIA MARCO REDOANO  4-"</f>
        <v>VIA MARCO REDOANO  4-</v>
      </c>
      <c r="C149" t="str">
        <f t="shared" ref="C149:C158" si="12">"3"</f>
        <v>3</v>
      </c>
      <c r="D149">
        <v>54</v>
      </c>
      <c r="E149" t="str">
        <f>"142"</f>
        <v>142</v>
      </c>
      <c r="F149" t="str">
        <f t="shared" ref="F149:F158" si="13">"0000"</f>
        <v>0000</v>
      </c>
    </row>
    <row r="150" spans="1:6">
      <c r="C150" t="str">
        <f t="shared" si="12"/>
        <v>3</v>
      </c>
      <c r="D150">
        <v>54</v>
      </c>
      <c r="E150" t="str">
        <f>"517"</f>
        <v>517</v>
      </c>
      <c r="F150" t="str">
        <f t="shared" si="13"/>
        <v>0000</v>
      </c>
    </row>
    <row r="151" spans="1:6">
      <c r="C151" t="str">
        <f t="shared" si="12"/>
        <v>3</v>
      </c>
      <c r="D151">
        <v>54</v>
      </c>
      <c r="E151" t="str">
        <f>"289"</f>
        <v>289</v>
      </c>
      <c r="F151" t="str">
        <f t="shared" si="13"/>
        <v>0000</v>
      </c>
    </row>
    <row r="152" spans="1:6">
      <c r="A152" t="str">
        <f>"E1024-1"</f>
        <v>E1024-1</v>
      </c>
      <c r="B152" t="str">
        <f>"VIA MARCO REDOANO  19-"</f>
        <v>VIA MARCO REDOANO  19-</v>
      </c>
      <c r="C152" t="str">
        <f t="shared" si="12"/>
        <v>3</v>
      </c>
      <c r="D152">
        <v>54</v>
      </c>
      <c r="E152" t="str">
        <f>"113"</f>
        <v>113</v>
      </c>
      <c r="F152" t="str">
        <f t="shared" si="13"/>
        <v>0000</v>
      </c>
    </row>
    <row r="153" spans="1:6">
      <c r="C153" t="str">
        <f t="shared" si="12"/>
        <v>3</v>
      </c>
      <c r="D153">
        <v>54</v>
      </c>
      <c r="E153" t="str">
        <f>"291"</f>
        <v>291</v>
      </c>
      <c r="F153" t="str">
        <f t="shared" si="13"/>
        <v>0000</v>
      </c>
    </row>
    <row r="154" spans="1:6">
      <c r="C154" t="str">
        <f t="shared" si="12"/>
        <v>3</v>
      </c>
      <c r="D154">
        <v>54</v>
      </c>
      <c r="E154" t="str">
        <f>"293"</f>
        <v>293</v>
      </c>
      <c r="F154" t="str">
        <f t="shared" si="13"/>
        <v>0000</v>
      </c>
    </row>
    <row r="155" spans="1:6">
      <c r="C155" t="str">
        <f t="shared" si="12"/>
        <v>3</v>
      </c>
      <c r="D155">
        <v>54</v>
      </c>
      <c r="E155" t="str">
        <f>"517"</f>
        <v>517</v>
      </c>
      <c r="F155" t="str">
        <f t="shared" si="13"/>
        <v>0000</v>
      </c>
    </row>
    <row r="156" spans="1:6">
      <c r="C156" t="str">
        <f t="shared" si="12"/>
        <v>3</v>
      </c>
      <c r="D156">
        <v>54</v>
      </c>
      <c r="E156" t="str">
        <f>"292"</f>
        <v>292</v>
      </c>
      <c r="F156" t="str">
        <f t="shared" si="13"/>
        <v>0000</v>
      </c>
    </row>
    <row r="157" spans="1:6">
      <c r="C157" t="str">
        <f t="shared" si="12"/>
        <v>3</v>
      </c>
      <c r="D157">
        <v>54</v>
      </c>
      <c r="E157" t="str">
        <f>"143"</f>
        <v>143</v>
      </c>
      <c r="F157" t="str">
        <f t="shared" si="13"/>
        <v>0000</v>
      </c>
    </row>
    <row r="158" spans="1:6">
      <c r="C158" t="str">
        <f t="shared" si="12"/>
        <v>3</v>
      </c>
      <c r="D158">
        <v>54</v>
      </c>
      <c r="E158" t="str">
        <f>"290"</f>
        <v>290</v>
      </c>
      <c r="F158" t="str">
        <f t="shared" si="13"/>
        <v>0000</v>
      </c>
    </row>
    <row r="159" spans="1:6">
      <c r="A159" t="str">
        <f>"E1026-7"</f>
        <v>E1026-7</v>
      </c>
      <c r="B159" t="str">
        <f>"VIA CIRO MENOTTI  33-"</f>
        <v>VIA CIRO MENOTTI  33-</v>
      </c>
      <c r="C159" t="str">
        <f>"SEP"</f>
        <v>SEP</v>
      </c>
      <c r="D159">
        <v>57</v>
      </c>
      <c r="E159" t="str">
        <f>"203"</f>
        <v>203</v>
      </c>
      <c r="F159" t="str">
        <f>"7"</f>
        <v>7</v>
      </c>
    </row>
    <row r="160" spans="1:6">
      <c r="A160" t="str">
        <f>"E1026-11"</f>
        <v>E1026-11</v>
      </c>
      <c r="B160" t="str">
        <f>"VIA CHIAPPORI  25R-"</f>
        <v>VIA CHIAPPORI  25R-</v>
      </c>
      <c r="C160" t="str">
        <f>"SEP"</f>
        <v>SEP</v>
      </c>
      <c r="D160">
        <v>57</v>
      </c>
      <c r="E160" t="str">
        <f>"199"</f>
        <v>199</v>
      </c>
      <c r="F160" t="str">
        <f>"7"</f>
        <v>7</v>
      </c>
    </row>
    <row r="161" spans="1:6">
      <c r="A161" t="str">
        <f>"E1035-1"</f>
        <v>E1035-1</v>
      </c>
      <c r="B161" t="str">
        <f>"PIAZZA CLAUDIO MONTEVERDI  30R-"</f>
        <v>PIAZZA CLAUDIO MONTEVERDI  30R-</v>
      </c>
      <c r="C161" t="str">
        <f>"COR"</f>
        <v>COR</v>
      </c>
      <c r="D161">
        <v>79</v>
      </c>
      <c r="E161" t="str">
        <f>"234"</f>
        <v>234</v>
      </c>
      <c r="F161" t="str">
        <f>"0000"</f>
        <v>0000</v>
      </c>
    </row>
    <row r="162" spans="1:6">
      <c r="A162" t="str">
        <f>"E1036-1"</f>
        <v>E1036-1</v>
      </c>
      <c r="B162" t="str">
        <f>"VIA DEL BOSCHETTO VICINO AL 2A-"</f>
        <v>VIA DEL BOSCHETTO VICINO AL 2A-</v>
      </c>
      <c r="C162" t="str">
        <f>"3"</f>
        <v>3</v>
      </c>
      <c r="D162">
        <v>74</v>
      </c>
      <c r="E162" t="str">
        <f>"189"</f>
        <v>189</v>
      </c>
      <c r="F162" t="str">
        <f>"0000"</f>
        <v>0000</v>
      </c>
    </row>
    <row r="163" spans="1:6">
      <c r="A163" t="str">
        <f>"E1037-5"</f>
        <v>E1037-5</v>
      </c>
      <c r="B163" t="str">
        <f>"VIA NINO CERVETTO  40-"</f>
        <v>VIA NINO CERVETTO  40-</v>
      </c>
      <c r="C163" t="str">
        <f>"COR"</f>
        <v>COR</v>
      </c>
      <c r="D163">
        <v>78</v>
      </c>
      <c r="E163" t="str">
        <f>"150"</f>
        <v>150</v>
      </c>
      <c r="F163" t="str">
        <f>"7"</f>
        <v>7</v>
      </c>
    </row>
    <row r="164" spans="1:6">
      <c r="A164" t="str">
        <f>"E1037-6"</f>
        <v>E1037-6</v>
      </c>
      <c r="B164" t="str">
        <f>"VIA NINO CERVETTO  40R-"</f>
        <v>VIA NINO CERVETTO  40R-</v>
      </c>
      <c r="C164" t="str">
        <f>"COR"</f>
        <v>COR</v>
      </c>
      <c r="D164">
        <v>78</v>
      </c>
      <c r="E164" t="str">
        <f>"150"</f>
        <v>150</v>
      </c>
      <c r="F164" t="str">
        <f>"16"</f>
        <v>16</v>
      </c>
    </row>
    <row r="165" spans="1:6">
      <c r="A165" t="str">
        <f>"E1038-1"</f>
        <v>E1038-1</v>
      </c>
      <c r="B165" t="str">
        <f>"VIA CORNIGLIANO  9-"</f>
        <v>VIA CORNIGLIANO  9-</v>
      </c>
      <c r="C165" t="str">
        <f>"3"</f>
        <v>3</v>
      </c>
      <c r="D165">
        <v>80</v>
      </c>
      <c r="E165" t="str">
        <f>"47"</f>
        <v>47</v>
      </c>
      <c r="F165" t="str">
        <f>"0000"</f>
        <v>0000</v>
      </c>
    </row>
    <row r="166" spans="1:6">
      <c r="A166" t="str">
        <f>"E1038-2"</f>
        <v>E1038-2</v>
      </c>
      <c r="B166" t="str">
        <f>"VIA CORNIGLIANO  9-"</f>
        <v>VIA CORNIGLIANO  9-</v>
      </c>
      <c r="C166" t="str">
        <f>"3"</f>
        <v>3</v>
      </c>
      <c r="D166">
        <v>80</v>
      </c>
      <c r="E166" t="str">
        <f>"47"</f>
        <v>47</v>
      </c>
      <c r="F166" t="str">
        <f>"0000"</f>
        <v>0000</v>
      </c>
    </row>
    <row r="167" spans="1:6">
      <c r="A167" t="str">
        <f>"E1039-1"</f>
        <v>E1039-1</v>
      </c>
      <c r="B167" t="str">
        <f>"VIA CORNIGLIANO  37R-"</f>
        <v>VIA CORNIGLIANO  37R-</v>
      </c>
      <c r="C167" t="str">
        <f t="shared" ref="C167:C175" si="14">"COR"</f>
        <v>COR</v>
      </c>
      <c r="D167">
        <v>80</v>
      </c>
      <c r="E167" t="str">
        <f>"163"</f>
        <v>163</v>
      </c>
      <c r="F167" t="str">
        <f>"0000"</f>
        <v>0000</v>
      </c>
    </row>
    <row r="168" spans="1:6">
      <c r="A168" t="str">
        <f>"E1040-1"</f>
        <v>E1040-1</v>
      </c>
      <c r="B168" t="str">
        <f>"VIA LORENZO DUFOUR  4-"</f>
        <v>VIA LORENZO DUFOUR  4-</v>
      </c>
      <c r="C168" t="str">
        <f t="shared" si="14"/>
        <v>COR</v>
      </c>
      <c r="D168">
        <v>79</v>
      </c>
      <c r="E168" t="str">
        <f>"109"</f>
        <v>109</v>
      </c>
      <c r="F168" t="str">
        <f>"10"</f>
        <v>10</v>
      </c>
    </row>
    <row r="169" spans="1:6">
      <c r="A169" t="str">
        <f>"E1043-1"</f>
        <v>E1043-1</v>
      </c>
      <c r="B169" t="str">
        <f>"PIAZZA MARIO CONTI  8-"</f>
        <v>PIAZZA MARIO CONTI  8-</v>
      </c>
      <c r="C169" t="str">
        <f t="shared" si="14"/>
        <v>COR</v>
      </c>
      <c r="D169">
        <v>79</v>
      </c>
      <c r="E169" t="str">
        <f>"557"</f>
        <v>557</v>
      </c>
      <c r="F169" t="str">
        <f>"42"</f>
        <v>42</v>
      </c>
    </row>
    <row r="170" spans="1:6">
      <c r="C170" t="str">
        <f t="shared" si="14"/>
        <v>COR</v>
      </c>
      <c r="D170">
        <v>79</v>
      </c>
      <c r="E170" t="str">
        <f>"559"</f>
        <v>559</v>
      </c>
      <c r="F170" t="str">
        <f>"0000"</f>
        <v>0000</v>
      </c>
    </row>
    <row r="171" spans="1:6">
      <c r="A171" t="str">
        <f>"E1044-1"</f>
        <v>E1044-1</v>
      </c>
      <c r="B171" t="str">
        <f>"VIA NINO CERVETTO  42-"</f>
        <v>VIA NINO CERVETTO  42-</v>
      </c>
      <c r="C171" t="str">
        <f t="shared" si="14"/>
        <v>COR</v>
      </c>
      <c r="D171">
        <v>78</v>
      </c>
      <c r="E171" t="str">
        <f>"153"</f>
        <v>153</v>
      </c>
      <c r="F171" t="str">
        <f>"0000"</f>
        <v>0000</v>
      </c>
    </row>
    <row r="172" spans="1:6">
      <c r="A172" t="str">
        <f>"E1045-1"</f>
        <v>E1045-1</v>
      </c>
      <c r="B172" t="str">
        <f>"GIARDINI LUCIANO MELIS  8-"</f>
        <v>GIARDINI LUCIANO MELIS  8-</v>
      </c>
      <c r="C172" t="str">
        <f t="shared" si="14"/>
        <v>COR</v>
      </c>
      <c r="D172">
        <v>78</v>
      </c>
      <c r="E172" t="str">
        <f>"152"</f>
        <v>152</v>
      </c>
      <c r="F172" t="str">
        <f>"1"</f>
        <v>1</v>
      </c>
    </row>
    <row r="173" spans="1:6">
      <c r="A173" t="str">
        <f>"E1045-2"</f>
        <v>E1045-2</v>
      </c>
      <c r="B173" t="str">
        <f>"GIARDINI LUCIANO MELIS  8-"</f>
        <v>GIARDINI LUCIANO MELIS  8-</v>
      </c>
      <c r="C173" t="str">
        <f t="shared" si="14"/>
        <v>COR</v>
      </c>
      <c r="D173">
        <v>78</v>
      </c>
      <c r="E173" t="str">
        <f>"152"</f>
        <v>152</v>
      </c>
      <c r="F173" t="str">
        <f>"2"</f>
        <v>2</v>
      </c>
    </row>
    <row r="174" spans="1:6">
      <c r="A174" t="str">
        <f>"E1045-3"</f>
        <v>E1045-3</v>
      </c>
      <c r="B174" t="str">
        <f>"GIARDINI LUCIANO MELIS  8-"</f>
        <v>GIARDINI LUCIANO MELIS  8-</v>
      </c>
      <c r="C174" t="str">
        <f t="shared" si="14"/>
        <v>COR</v>
      </c>
      <c r="D174">
        <v>78</v>
      </c>
      <c r="E174" t="str">
        <f>"152"</f>
        <v>152</v>
      </c>
      <c r="F174" t="str">
        <f>"3"</f>
        <v>3</v>
      </c>
    </row>
    <row r="175" spans="1:6">
      <c r="A175" t="str">
        <f>"E1046-1"</f>
        <v>E1046-1</v>
      </c>
      <c r="B175" t="str">
        <f>"GIARDINI LUCIANO MELIS  2-"</f>
        <v>GIARDINI LUCIANO MELIS  2-</v>
      </c>
      <c r="C175" t="str">
        <f t="shared" si="14"/>
        <v>COR</v>
      </c>
      <c r="D175">
        <v>78</v>
      </c>
      <c r="E175" t="str">
        <f t="shared" ref="E175:E181" si="15">"155"</f>
        <v>155</v>
      </c>
      <c r="F175" t="str">
        <f>"1"</f>
        <v>1</v>
      </c>
    </row>
    <row r="176" spans="1:6">
      <c r="A176" t="str">
        <f>"E1046-2"</f>
        <v>E1046-2</v>
      </c>
      <c r="B176" t="str">
        <f t="shared" ref="B176:B181" si="16">"GIARDINI LUCIANO MELIS  3-"</f>
        <v>GIARDINI LUCIANO MELIS  3-</v>
      </c>
      <c r="C176" t="str">
        <f t="shared" ref="C176:C182" si="17">"3"</f>
        <v>3</v>
      </c>
      <c r="D176">
        <v>78</v>
      </c>
      <c r="E176" t="str">
        <f t="shared" si="15"/>
        <v>155</v>
      </c>
      <c r="F176" t="str">
        <f t="shared" ref="F176:F182" si="18">"0000"</f>
        <v>0000</v>
      </c>
    </row>
    <row r="177" spans="1:6">
      <c r="A177" t="str">
        <f>"E1046-3"</f>
        <v>E1046-3</v>
      </c>
      <c r="B177" t="str">
        <f t="shared" si="16"/>
        <v>GIARDINI LUCIANO MELIS  3-</v>
      </c>
      <c r="C177" t="str">
        <f t="shared" si="17"/>
        <v>3</v>
      </c>
      <c r="D177">
        <v>78</v>
      </c>
      <c r="E177" t="str">
        <f t="shared" si="15"/>
        <v>155</v>
      </c>
      <c r="F177" t="str">
        <f t="shared" si="18"/>
        <v>0000</v>
      </c>
    </row>
    <row r="178" spans="1:6">
      <c r="A178" t="str">
        <f>"E1046-4"</f>
        <v>E1046-4</v>
      </c>
      <c r="B178" t="str">
        <f t="shared" si="16"/>
        <v>GIARDINI LUCIANO MELIS  3-</v>
      </c>
      <c r="C178" t="str">
        <f t="shared" si="17"/>
        <v>3</v>
      </c>
      <c r="D178">
        <v>78</v>
      </c>
      <c r="E178" t="str">
        <f t="shared" si="15"/>
        <v>155</v>
      </c>
      <c r="F178" t="str">
        <f t="shared" si="18"/>
        <v>0000</v>
      </c>
    </row>
    <row r="179" spans="1:6">
      <c r="A179" t="str">
        <f>"E1046-5"</f>
        <v>E1046-5</v>
      </c>
      <c r="B179" t="str">
        <f t="shared" si="16"/>
        <v>GIARDINI LUCIANO MELIS  3-</v>
      </c>
      <c r="C179" t="str">
        <f t="shared" si="17"/>
        <v>3</v>
      </c>
      <c r="D179">
        <v>78</v>
      </c>
      <c r="E179" t="str">
        <f t="shared" si="15"/>
        <v>155</v>
      </c>
      <c r="F179" t="str">
        <f t="shared" si="18"/>
        <v>0000</v>
      </c>
    </row>
    <row r="180" spans="1:6">
      <c r="A180" t="str">
        <f>"E1046-6"</f>
        <v>E1046-6</v>
      </c>
      <c r="B180" t="str">
        <f t="shared" si="16"/>
        <v>GIARDINI LUCIANO MELIS  3-</v>
      </c>
      <c r="C180" t="str">
        <f t="shared" si="17"/>
        <v>3</v>
      </c>
      <c r="D180">
        <v>78</v>
      </c>
      <c r="E180" t="str">
        <f t="shared" si="15"/>
        <v>155</v>
      </c>
      <c r="F180" t="str">
        <f t="shared" si="18"/>
        <v>0000</v>
      </c>
    </row>
    <row r="181" spans="1:6">
      <c r="A181" t="str">
        <f>"E1046-7"</f>
        <v>E1046-7</v>
      </c>
      <c r="B181" t="str">
        <f t="shared" si="16"/>
        <v>GIARDINI LUCIANO MELIS  3-</v>
      </c>
      <c r="C181" t="str">
        <f t="shared" si="17"/>
        <v>3</v>
      </c>
      <c r="D181">
        <v>78</v>
      </c>
      <c r="E181" t="str">
        <f t="shared" si="15"/>
        <v>155</v>
      </c>
      <c r="F181" t="str">
        <f t="shared" si="18"/>
        <v>0000</v>
      </c>
    </row>
    <row r="182" spans="1:6">
      <c r="A182" t="str">
        <f>"E1047-1"</f>
        <v>E1047-1</v>
      </c>
      <c r="B182" t="str">
        <f>"VIA CORNIGLIANO  15-"</f>
        <v>VIA CORNIGLIANO  15-</v>
      </c>
      <c r="C182" t="str">
        <f t="shared" si="17"/>
        <v>3</v>
      </c>
      <c r="D182">
        <v>78</v>
      </c>
      <c r="E182" t="str">
        <f>"156"</f>
        <v>156</v>
      </c>
      <c r="F182" t="str">
        <f t="shared" si="18"/>
        <v>0000</v>
      </c>
    </row>
    <row r="183" spans="1:6">
      <c r="A183" t="str">
        <f>"E1048-1"</f>
        <v>E1048-1</v>
      </c>
      <c r="B183" t="str">
        <f>"VIA GUIDO AGOSTI  15-"</f>
        <v>VIA GUIDO AGOSTI  15-</v>
      </c>
      <c r="C183" t="str">
        <f t="shared" ref="C183:C198" si="19">"COR"</f>
        <v>COR</v>
      </c>
      <c r="D183">
        <v>78</v>
      </c>
      <c r="E183" t="str">
        <f t="shared" ref="E183:E188" si="20">"441"</f>
        <v>441</v>
      </c>
      <c r="F183" t="str">
        <f>"41"</f>
        <v>41</v>
      </c>
    </row>
    <row r="184" spans="1:6">
      <c r="A184" t="str">
        <f>"E1048-2"</f>
        <v>E1048-2</v>
      </c>
      <c r="B184" t="str">
        <f>"VIA GUIDO AGOSTI  21-"</f>
        <v>VIA GUIDO AGOSTI  21-</v>
      </c>
      <c r="C184" t="str">
        <f t="shared" si="19"/>
        <v>COR</v>
      </c>
      <c r="D184">
        <v>78</v>
      </c>
      <c r="E184" t="str">
        <f t="shared" si="20"/>
        <v>441</v>
      </c>
      <c r="F184" t="str">
        <f>"43"</f>
        <v>43</v>
      </c>
    </row>
    <row r="185" spans="1:6">
      <c r="A185" t="str">
        <f>"E1048-3"</f>
        <v>E1048-3</v>
      </c>
      <c r="B185" t="str">
        <f>"VIA GUIDO AGOSTI  39-"</f>
        <v>VIA GUIDO AGOSTI  39-</v>
      </c>
      <c r="C185" t="str">
        <f t="shared" si="19"/>
        <v>COR</v>
      </c>
      <c r="D185">
        <v>78</v>
      </c>
      <c r="E185" t="str">
        <f t="shared" si="20"/>
        <v>441</v>
      </c>
      <c r="F185" t="str">
        <f>"44"</f>
        <v>44</v>
      </c>
    </row>
    <row r="186" spans="1:6">
      <c r="A186" t="str">
        <f>"E1048-4"</f>
        <v>E1048-4</v>
      </c>
      <c r="B186" t="str">
        <f>"VIA GUIDO AGOSTI  45-"</f>
        <v>VIA GUIDO AGOSTI  45-</v>
      </c>
      <c r="C186" t="str">
        <f t="shared" si="19"/>
        <v>COR</v>
      </c>
      <c r="D186">
        <v>78</v>
      </c>
      <c r="E186" t="str">
        <f t="shared" si="20"/>
        <v>441</v>
      </c>
      <c r="F186" t="str">
        <f>"45"</f>
        <v>45</v>
      </c>
    </row>
    <row r="187" spans="1:6">
      <c r="A187" t="str">
        <f>"E1048-5"</f>
        <v>E1048-5</v>
      </c>
      <c r="B187" t="str">
        <f>"VIA GUIDO AGOSTI  31-"</f>
        <v>VIA GUIDO AGOSTI  31-</v>
      </c>
      <c r="C187" t="str">
        <f t="shared" si="19"/>
        <v>COR</v>
      </c>
      <c r="D187">
        <v>78</v>
      </c>
      <c r="E187" t="str">
        <f t="shared" si="20"/>
        <v>441</v>
      </c>
      <c r="F187" t="str">
        <f>"46"</f>
        <v>46</v>
      </c>
    </row>
    <row r="188" spans="1:6">
      <c r="A188" t="str">
        <f>"E1048-6"</f>
        <v>E1048-6</v>
      </c>
      <c r="B188" t="str">
        <f>"VIA GUIDO AGOSTI  33-"</f>
        <v>VIA GUIDO AGOSTI  33-</v>
      </c>
      <c r="C188" t="str">
        <f t="shared" si="19"/>
        <v>COR</v>
      </c>
      <c r="D188">
        <v>78</v>
      </c>
      <c r="E188" t="str">
        <f t="shared" si="20"/>
        <v>441</v>
      </c>
      <c r="F188" t="str">
        <f>"42"</f>
        <v>42</v>
      </c>
    </row>
    <row r="189" spans="1:6">
      <c r="A189" t="str">
        <f>"E1050-1"</f>
        <v>E1050-1</v>
      </c>
      <c r="B189" t="str">
        <f>"VIA ROMOLO GESSI  2-"</f>
        <v>VIA ROMOLO GESSI  2-</v>
      </c>
      <c r="C189" t="str">
        <f t="shared" si="19"/>
        <v>COR</v>
      </c>
      <c r="D189">
        <v>79</v>
      </c>
      <c r="E189" t="str">
        <f>"170"</f>
        <v>170</v>
      </c>
      <c r="F189" t="str">
        <f>"1"</f>
        <v>1</v>
      </c>
    </row>
    <row r="190" spans="1:6">
      <c r="C190" t="str">
        <f t="shared" si="19"/>
        <v>COR</v>
      </c>
      <c r="D190">
        <v>79</v>
      </c>
      <c r="E190" t="str">
        <f>"171"</f>
        <v>171</v>
      </c>
      <c r="F190" t="str">
        <f>"2"</f>
        <v>2</v>
      </c>
    </row>
    <row r="191" spans="1:6">
      <c r="A191" t="str">
        <f>"E1051-1"</f>
        <v>E1051-1</v>
      </c>
      <c r="B191" t="str">
        <f>"VIA ROMOLO GESSI  6R-"</f>
        <v>VIA ROMOLO GESSI  6R-</v>
      </c>
      <c r="C191" t="str">
        <f t="shared" si="19"/>
        <v>COR</v>
      </c>
      <c r="D191">
        <v>79</v>
      </c>
      <c r="E191" t="str">
        <f>"170"</f>
        <v>170</v>
      </c>
      <c r="F191" t="str">
        <f>"3"</f>
        <v>3</v>
      </c>
    </row>
    <row r="192" spans="1:6">
      <c r="A192" t="str">
        <f>"E1051-2"</f>
        <v>E1051-2</v>
      </c>
      <c r="B192" t="str">
        <f>"VIA ROMOLO GESSI  8R-"</f>
        <v>VIA ROMOLO GESSI  8R-</v>
      </c>
      <c r="C192" t="str">
        <f t="shared" si="19"/>
        <v>COR</v>
      </c>
      <c r="D192">
        <v>79</v>
      </c>
      <c r="E192" t="str">
        <f>"169"</f>
        <v>169</v>
      </c>
      <c r="F192" t="str">
        <f>"1"</f>
        <v>1</v>
      </c>
    </row>
    <row r="193" spans="1:6">
      <c r="C193" t="str">
        <f t="shared" si="19"/>
        <v>COR</v>
      </c>
      <c r="D193">
        <v>79</v>
      </c>
      <c r="E193" t="str">
        <f>"173"</f>
        <v>173</v>
      </c>
      <c r="F193" t="str">
        <f>"1"</f>
        <v>1</v>
      </c>
    </row>
    <row r="194" spans="1:6">
      <c r="A194" t="str">
        <f>"E1051-3"</f>
        <v>E1051-3</v>
      </c>
      <c r="B194" t="str">
        <f>"VIA ROMOLO GESSI  14R-"</f>
        <v>VIA ROMOLO GESSI  14R-</v>
      </c>
      <c r="C194" t="str">
        <f t="shared" si="19"/>
        <v>COR</v>
      </c>
      <c r="D194">
        <v>79</v>
      </c>
      <c r="E194" t="str">
        <f>"173"</f>
        <v>173</v>
      </c>
      <c r="F194" t="str">
        <f>"3"</f>
        <v>3</v>
      </c>
    </row>
    <row r="195" spans="1:6">
      <c r="A195" t="str">
        <f>"E1052-2"</f>
        <v>E1052-2</v>
      </c>
      <c r="B195" t="str">
        <f>"VIA TONALE VICINO AL 41-"</f>
        <v>VIA TONALE VICINO AL 41-</v>
      </c>
      <c r="C195" t="str">
        <f t="shared" si="19"/>
        <v>COR</v>
      </c>
      <c r="D195">
        <v>79</v>
      </c>
      <c r="E195" t="str">
        <f>"69"</f>
        <v>69</v>
      </c>
      <c r="F195" t="str">
        <f>"9"</f>
        <v>9</v>
      </c>
    </row>
    <row r="196" spans="1:6">
      <c r="A196" t="str">
        <f>"E1052-4"</f>
        <v>E1052-4</v>
      </c>
      <c r="B196" t="str">
        <f>"VIA TONALE  37-"</f>
        <v>VIA TONALE  37-</v>
      </c>
      <c r="C196" t="str">
        <f t="shared" si="19"/>
        <v>COR</v>
      </c>
      <c r="D196">
        <v>79</v>
      </c>
      <c r="E196" t="str">
        <f>"69"</f>
        <v>69</v>
      </c>
      <c r="F196" t="str">
        <f>"10"</f>
        <v>10</v>
      </c>
    </row>
    <row r="197" spans="1:6">
      <c r="A197" t="str">
        <f>"E1053-1"</f>
        <v>E1053-1</v>
      </c>
      <c r="B197" t="str">
        <f>"VIA GEROLAMO BORDONE  12-"</f>
        <v>VIA GEROLAMO BORDONE  12-</v>
      </c>
      <c r="C197" t="str">
        <f t="shared" si="19"/>
        <v>COR</v>
      </c>
      <c r="D197">
        <v>79</v>
      </c>
      <c r="E197" t="str">
        <f>"2"</f>
        <v>2</v>
      </c>
      <c r="F197" t="str">
        <f>"0000"</f>
        <v>0000</v>
      </c>
    </row>
    <row r="198" spans="1:6">
      <c r="A198" t="str">
        <f>"E1054-1"</f>
        <v>E1054-1</v>
      </c>
      <c r="B198" t="str">
        <f>"VIA FEDERICO GATTORNO  6-"</f>
        <v>VIA FEDERICO GATTORNO  6-</v>
      </c>
      <c r="C198" t="str">
        <f t="shared" si="19"/>
        <v>COR</v>
      </c>
      <c r="D198">
        <v>79</v>
      </c>
      <c r="E198" t="str">
        <f>"361"</f>
        <v>361</v>
      </c>
      <c r="F198" t="str">
        <f>"0000"</f>
        <v>0000</v>
      </c>
    </row>
    <row r="199" spans="1:6">
      <c r="A199" t="str">
        <f>"E1055-1"</f>
        <v>E1055-1</v>
      </c>
      <c r="B199" t="str">
        <f>"VIA DEL BOSCHETTO VICINO AL 23-"</f>
        <v>VIA DEL BOSCHETTO VICINO AL 23-</v>
      </c>
      <c r="C199" t="str">
        <f>"3"</f>
        <v>3</v>
      </c>
      <c r="D199">
        <v>76</v>
      </c>
      <c r="E199" t="str">
        <f>"266"</f>
        <v>266</v>
      </c>
      <c r="F199" t="str">
        <f>"0000"</f>
        <v>0000</v>
      </c>
    </row>
    <row r="200" spans="1:6">
      <c r="A200" t="str">
        <f>"E1056-1"</f>
        <v>E1056-1</v>
      </c>
      <c r="B200" t="str">
        <f>"VIA CORONATA  100-"</f>
        <v>VIA CORONATA  100-</v>
      </c>
      <c r="C200" t="str">
        <f>"COR"</f>
        <v>COR</v>
      </c>
      <c r="D200">
        <v>78</v>
      </c>
      <c r="E200" t="str">
        <f>"23"</f>
        <v>23</v>
      </c>
      <c r="F200" t="str">
        <f>"0000"</f>
        <v>0000</v>
      </c>
    </row>
    <row r="201" spans="1:6">
      <c r="A201" t="str">
        <f>"E1063-1"</f>
        <v>E1063-1</v>
      </c>
      <c r="B201" t="str">
        <f>"VIA CORONATA  100-"</f>
        <v>VIA CORONATA  100-</v>
      </c>
      <c r="C201" t="str">
        <f>"3"</f>
        <v>3</v>
      </c>
      <c r="D201">
        <v>78</v>
      </c>
      <c r="E201" t="str">
        <f>"23"</f>
        <v>23</v>
      </c>
      <c r="F201" t="str">
        <f>"0000"</f>
        <v>0000</v>
      </c>
    </row>
    <row r="202" spans="1:6">
      <c r="A202" t="str">
        <f>"E1064-2"</f>
        <v>E1064-2</v>
      </c>
      <c r="B202" t="str">
        <f>"VIA ANTONIO NEGRO  4-"</f>
        <v>VIA ANTONIO NEGRO  4-</v>
      </c>
      <c r="C202" t="str">
        <f t="shared" ref="C202:C209" si="21">"SEP"</f>
        <v>SEP</v>
      </c>
      <c r="D202">
        <v>53</v>
      </c>
      <c r="E202" t="str">
        <f>"97"</f>
        <v>97</v>
      </c>
      <c r="F202" t="str">
        <f>"10"</f>
        <v>10</v>
      </c>
    </row>
    <row r="203" spans="1:6">
      <c r="A203" t="str">
        <f>"E1064-10"</f>
        <v>E1064-10</v>
      </c>
      <c r="B203" t="str">
        <f>"GIARDINI GIANNI RODARI  6A-"</f>
        <v>GIARDINI GIANNI RODARI  6A-</v>
      </c>
      <c r="C203" t="str">
        <f t="shared" si="21"/>
        <v>SEP</v>
      </c>
      <c r="D203">
        <v>53</v>
      </c>
      <c r="E203" t="str">
        <f>"97"</f>
        <v>97</v>
      </c>
      <c r="F203" t="str">
        <f>"11"</f>
        <v>11</v>
      </c>
    </row>
    <row r="204" spans="1:6">
      <c r="A204" t="str">
        <f>"E1065-1"</f>
        <v>E1065-1</v>
      </c>
      <c r="B204" t="str">
        <f t="shared" ref="B204:B209" si="22">"VIA GIUSEPPE GALLIANO  16-"</f>
        <v>VIA GIUSEPPE GALLIANO  16-</v>
      </c>
      <c r="C204" t="str">
        <f t="shared" si="21"/>
        <v>SEP</v>
      </c>
      <c r="D204">
        <v>53</v>
      </c>
      <c r="E204" t="str">
        <f t="shared" ref="E204:E209" si="23">"26"</f>
        <v>26</v>
      </c>
      <c r="F204" t="str">
        <f>"1"</f>
        <v>1</v>
      </c>
    </row>
    <row r="205" spans="1:6">
      <c r="A205" t="str">
        <f>"E1065-6"</f>
        <v>E1065-6</v>
      </c>
      <c r="B205" t="str">
        <f t="shared" si="22"/>
        <v>VIA GIUSEPPE GALLIANO  16-</v>
      </c>
      <c r="C205" t="str">
        <f t="shared" si="21"/>
        <v>SEP</v>
      </c>
      <c r="D205">
        <v>53</v>
      </c>
      <c r="E205" t="str">
        <f t="shared" si="23"/>
        <v>26</v>
      </c>
      <c r="F205" t="str">
        <f>"6"</f>
        <v>6</v>
      </c>
    </row>
    <row r="206" spans="1:6">
      <c r="A206" t="str">
        <f>"E1065-7"</f>
        <v>E1065-7</v>
      </c>
      <c r="B206" t="str">
        <f t="shared" si="22"/>
        <v>VIA GIUSEPPE GALLIANO  16-</v>
      </c>
      <c r="C206" t="str">
        <f t="shared" si="21"/>
        <v>SEP</v>
      </c>
      <c r="D206">
        <v>53</v>
      </c>
      <c r="E206" t="str">
        <f t="shared" si="23"/>
        <v>26</v>
      </c>
      <c r="F206" t="str">
        <f>"7"</f>
        <v>7</v>
      </c>
    </row>
    <row r="207" spans="1:6">
      <c r="A207" t="str">
        <f>"E1065-8"</f>
        <v>E1065-8</v>
      </c>
      <c r="B207" t="str">
        <f t="shared" si="22"/>
        <v>VIA GIUSEPPE GALLIANO  16-</v>
      </c>
      <c r="C207" t="str">
        <f t="shared" si="21"/>
        <v>SEP</v>
      </c>
      <c r="D207">
        <v>53</v>
      </c>
      <c r="E207" t="str">
        <f t="shared" si="23"/>
        <v>26</v>
      </c>
      <c r="F207" t="str">
        <f>"8"</f>
        <v>8</v>
      </c>
    </row>
    <row r="208" spans="1:6">
      <c r="A208" t="str">
        <f>"E1065-9"</f>
        <v>E1065-9</v>
      </c>
      <c r="B208" t="str">
        <f t="shared" si="22"/>
        <v>VIA GIUSEPPE GALLIANO  16-</v>
      </c>
      <c r="C208" t="str">
        <f t="shared" si="21"/>
        <v>SEP</v>
      </c>
      <c r="D208">
        <v>53</v>
      </c>
      <c r="E208" t="str">
        <f t="shared" si="23"/>
        <v>26</v>
      </c>
      <c r="F208" t="str">
        <f>"9"</f>
        <v>9</v>
      </c>
    </row>
    <row r="209" spans="1:6">
      <c r="A209" t="str">
        <f>"E1065-10"</f>
        <v>E1065-10</v>
      </c>
      <c r="B209" t="str">
        <f t="shared" si="22"/>
        <v>VIA GIUSEPPE GALLIANO  16-</v>
      </c>
      <c r="C209" t="str">
        <f t="shared" si="21"/>
        <v>SEP</v>
      </c>
      <c r="D209">
        <v>53</v>
      </c>
      <c r="E209" t="str">
        <f t="shared" si="23"/>
        <v>26</v>
      </c>
      <c r="F209" t="str">
        <f>"5"</f>
        <v>5</v>
      </c>
    </row>
    <row r="210" spans="1:6">
      <c r="A210" t="str">
        <f>"E1066-1"</f>
        <v>E1066-1</v>
      </c>
      <c r="B210" t="str">
        <f>"GIARDINI GIANNI RODARI  18-"</f>
        <v>GIARDINI GIANNI RODARI  18-</v>
      </c>
      <c r="C210" t="str">
        <f t="shared" ref="C210:C219" si="24">"3"</f>
        <v>3</v>
      </c>
      <c r="D210">
        <v>53</v>
      </c>
      <c r="E210" t="str">
        <f>"191"</f>
        <v>191</v>
      </c>
      <c r="F210" t="str">
        <f t="shared" ref="F210:F219" si="25">"0000"</f>
        <v>0000</v>
      </c>
    </row>
    <row r="211" spans="1:6">
      <c r="C211" t="str">
        <f t="shared" si="24"/>
        <v>3</v>
      </c>
      <c r="D211">
        <v>53</v>
      </c>
      <c r="E211" t="str">
        <f>"93"</f>
        <v>93</v>
      </c>
      <c r="F211" t="str">
        <f t="shared" si="25"/>
        <v>0000</v>
      </c>
    </row>
    <row r="212" spans="1:6">
      <c r="C212" t="str">
        <f t="shared" si="24"/>
        <v>3</v>
      </c>
      <c r="D212">
        <v>53</v>
      </c>
      <c r="E212" t="str">
        <f>"86"</f>
        <v>86</v>
      </c>
      <c r="F212" t="str">
        <f t="shared" si="25"/>
        <v>0000</v>
      </c>
    </row>
    <row r="213" spans="1:6">
      <c r="C213" t="str">
        <f t="shared" si="24"/>
        <v>3</v>
      </c>
      <c r="D213">
        <v>53</v>
      </c>
      <c r="E213" t="str">
        <f>"92"</f>
        <v>92</v>
      </c>
      <c r="F213" t="str">
        <f t="shared" si="25"/>
        <v>0000</v>
      </c>
    </row>
    <row r="214" spans="1:6">
      <c r="C214" t="str">
        <f t="shared" si="24"/>
        <v>3</v>
      </c>
      <c r="D214">
        <v>53</v>
      </c>
      <c r="E214" t="str">
        <f>"90"</f>
        <v>90</v>
      </c>
      <c r="F214" t="str">
        <f t="shared" si="25"/>
        <v>0000</v>
      </c>
    </row>
    <row r="215" spans="1:6">
      <c r="A215" t="str">
        <f>"E1066-2"</f>
        <v>E1066-2</v>
      </c>
      <c r="B215" t="str">
        <f>"PIAZZA G. DI VITTORIO  6-"</f>
        <v>PIAZZA G. DI VITTORIO  6-</v>
      </c>
      <c r="C215" t="str">
        <f t="shared" si="24"/>
        <v>3</v>
      </c>
      <c r="D215">
        <v>53</v>
      </c>
      <c r="E215" t="str">
        <f>"191"</f>
        <v>191</v>
      </c>
      <c r="F215" t="str">
        <f t="shared" si="25"/>
        <v>0000</v>
      </c>
    </row>
    <row r="216" spans="1:6">
      <c r="C216" t="str">
        <f t="shared" si="24"/>
        <v>3</v>
      </c>
      <c r="D216">
        <v>53</v>
      </c>
      <c r="E216" t="str">
        <f>"92"</f>
        <v>92</v>
      </c>
      <c r="F216" t="str">
        <f t="shared" si="25"/>
        <v>0000</v>
      </c>
    </row>
    <row r="217" spans="1:6">
      <c r="C217" t="str">
        <f t="shared" si="24"/>
        <v>3</v>
      </c>
      <c r="D217">
        <v>53</v>
      </c>
      <c r="E217" t="str">
        <f>"93"</f>
        <v>93</v>
      </c>
      <c r="F217" t="str">
        <f t="shared" si="25"/>
        <v>0000</v>
      </c>
    </row>
    <row r="218" spans="1:6">
      <c r="C218" t="str">
        <f t="shared" si="24"/>
        <v>3</v>
      </c>
      <c r="D218">
        <v>53</v>
      </c>
      <c r="E218" t="str">
        <f>"86"</f>
        <v>86</v>
      </c>
      <c r="F218" t="str">
        <f t="shared" si="25"/>
        <v>0000</v>
      </c>
    </row>
    <row r="219" spans="1:6">
      <c r="C219" t="str">
        <f t="shared" si="24"/>
        <v>3</v>
      </c>
      <c r="D219">
        <v>53</v>
      </c>
      <c r="E219" t="str">
        <f>"90"</f>
        <v>90</v>
      </c>
      <c r="F219" t="str">
        <f t="shared" si="25"/>
        <v>0000</v>
      </c>
    </row>
    <row r="220" spans="1:6">
      <c r="A220" t="str">
        <f>"E1067-1"</f>
        <v>E1067-1</v>
      </c>
      <c r="B220" t="str">
        <f t="shared" ref="B220:B226" si="26">"VIALE NARISANO  12-"</f>
        <v>VIALE NARISANO  12-</v>
      </c>
      <c r="C220" t="str">
        <f t="shared" ref="C220:C251" si="27">"COR"</f>
        <v>COR</v>
      </c>
      <c r="D220">
        <v>79</v>
      </c>
      <c r="E220" t="str">
        <f>"133"</f>
        <v>133</v>
      </c>
      <c r="F220" t="str">
        <f>"9"</f>
        <v>9</v>
      </c>
    </row>
    <row r="221" spans="1:6">
      <c r="A221" t="str">
        <f>"E1067-2"</f>
        <v>E1067-2</v>
      </c>
      <c r="B221" t="str">
        <f t="shared" si="26"/>
        <v>VIALE NARISANO  12-</v>
      </c>
      <c r="C221" t="str">
        <f t="shared" si="27"/>
        <v>COR</v>
      </c>
      <c r="D221">
        <v>79</v>
      </c>
      <c r="E221" t="str">
        <f>"133"</f>
        <v>133</v>
      </c>
      <c r="F221" t="str">
        <f>"10"</f>
        <v>10</v>
      </c>
    </row>
    <row r="222" spans="1:6">
      <c r="A222" t="str">
        <f>"E1067-3"</f>
        <v>E1067-3</v>
      </c>
      <c r="B222" t="str">
        <f t="shared" si="26"/>
        <v>VIALE NARISANO  12-</v>
      </c>
      <c r="C222" t="str">
        <f t="shared" si="27"/>
        <v>COR</v>
      </c>
      <c r="D222">
        <v>79</v>
      </c>
      <c r="E222" t="str">
        <f>"133"</f>
        <v>133</v>
      </c>
      <c r="F222" t="str">
        <f>"11"</f>
        <v>11</v>
      </c>
    </row>
    <row r="223" spans="1:6">
      <c r="A223" t="str">
        <f>"E1067-4"</f>
        <v>E1067-4</v>
      </c>
      <c r="B223" t="str">
        <f t="shared" si="26"/>
        <v>VIALE NARISANO  12-</v>
      </c>
      <c r="C223" t="str">
        <f t="shared" si="27"/>
        <v>COR</v>
      </c>
      <c r="D223">
        <v>79</v>
      </c>
      <c r="E223" t="str">
        <f>"133"</f>
        <v>133</v>
      </c>
      <c r="F223" t="str">
        <f>"12"</f>
        <v>12</v>
      </c>
    </row>
    <row r="224" spans="1:6">
      <c r="A224" t="str">
        <f>"E1067-5"</f>
        <v>E1067-5</v>
      </c>
      <c r="B224" t="str">
        <f t="shared" si="26"/>
        <v>VIALE NARISANO  12-</v>
      </c>
      <c r="C224" t="str">
        <f t="shared" si="27"/>
        <v>COR</v>
      </c>
      <c r="D224">
        <v>79</v>
      </c>
      <c r="E224" t="str">
        <f>"135"</f>
        <v>135</v>
      </c>
      <c r="F224" t="str">
        <f>"1"</f>
        <v>1</v>
      </c>
    </row>
    <row r="225" spans="1:6">
      <c r="A225" t="str">
        <f>"E1067-6"</f>
        <v>E1067-6</v>
      </c>
      <c r="B225" t="str">
        <f t="shared" si="26"/>
        <v>VIALE NARISANO  12-</v>
      </c>
      <c r="C225" t="str">
        <f t="shared" si="27"/>
        <v>COR</v>
      </c>
      <c r="D225">
        <v>79</v>
      </c>
      <c r="E225" t="str">
        <f>"135"</f>
        <v>135</v>
      </c>
      <c r="F225" t="str">
        <f>"2"</f>
        <v>2</v>
      </c>
    </row>
    <row r="226" spans="1:6">
      <c r="A226" t="str">
        <f>"E1067-7"</f>
        <v>E1067-7</v>
      </c>
      <c r="B226" t="str">
        <f t="shared" si="26"/>
        <v>VIALE NARISANO  12-</v>
      </c>
      <c r="C226" t="str">
        <f t="shared" si="27"/>
        <v>COR</v>
      </c>
      <c r="D226">
        <v>79</v>
      </c>
      <c r="E226" t="str">
        <f>"135"</f>
        <v>135</v>
      </c>
      <c r="F226" t="str">
        <f>"3"</f>
        <v>3</v>
      </c>
    </row>
    <row r="227" spans="1:6">
      <c r="A227" t="str">
        <f>"E1068-1"</f>
        <v>E1068-1</v>
      </c>
      <c r="B227" t="str">
        <f>"VIA TONALE  21-"</f>
        <v>VIA TONALE  21-</v>
      </c>
      <c r="C227" t="str">
        <f t="shared" si="27"/>
        <v>COR</v>
      </c>
      <c r="D227">
        <v>79</v>
      </c>
      <c r="E227" t="str">
        <f>"469"</f>
        <v>469</v>
      </c>
      <c r="F227" t="str">
        <f>"10"</f>
        <v>10</v>
      </c>
    </row>
    <row r="228" spans="1:6">
      <c r="A228" t="str">
        <f>"E1068-2"</f>
        <v>E1068-2</v>
      </c>
      <c r="B228" t="str">
        <f>"VIA CORNIGLIANO  51G-"</f>
        <v>VIA CORNIGLIANO  51G-</v>
      </c>
      <c r="C228" t="str">
        <f t="shared" si="27"/>
        <v>COR</v>
      </c>
      <c r="D228">
        <v>79</v>
      </c>
      <c r="E228" t="str">
        <f>"469"</f>
        <v>469</v>
      </c>
      <c r="F228" t="str">
        <f>"11"</f>
        <v>11</v>
      </c>
    </row>
    <row r="229" spans="1:6">
      <c r="A229" t="str">
        <f>"E1068-3"</f>
        <v>E1068-3</v>
      </c>
      <c r="B229" t="str">
        <f>"VIA CORNIGLIANO  51H-"</f>
        <v>VIA CORNIGLIANO  51H-</v>
      </c>
      <c r="C229" t="str">
        <f t="shared" si="27"/>
        <v>COR</v>
      </c>
      <c r="D229">
        <v>79</v>
      </c>
      <c r="E229" t="str">
        <f>"50"</f>
        <v>50</v>
      </c>
      <c r="F229" t="str">
        <f>"60"</f>
        <v>60</v>
      </c>
    </row>
    <row r="230" spans="1:6">
      <c r="A230" t="str">
        <f>"E1068-4"</f>
        <v>E1068-4</v>
      </c>
      <c r="B230" t="str">
        <f>"VIA CORNIGLIANO  51I-"</f>
        <v>VIA CORNIGLIANO  51I-</v>
      </c>
      <c r="C230" t="str">
        <f t="shared" si="27"/>
        <v>COR</v>
      </c>
      <c r="D230">
        <v>79</v>
      </c>
      <c r="E230" t="str">
        <f>"50"</f>
        <v>50</v>
      </c>
      <c r="F230" t="str">
        <f>"61"</f>
        <v>61</v>
      </c>
    </row>
    <row r="231" spans="1:6">
      <c r="A231" t="str">
        <f>"E1068-5"</f>
        <v>E1068-5</v>
      </c>
      <c r="B231" t="str">
        <f>"VIA CORNIGLIANO  51L-"</f>
        <v>VIA CORNIGLIANO  51L-</v>
      </c>
      <c r="C231" t="str">
        <f t="shared" si="27"/>
        <v>COR</v>
      </c>
      <c r="D231">
        <v>79</v>
      </c>
      <c r="E231" t="str">
        <f>"50"</f>
        <v>50</v>
      </c>
      <c r="F231" t="str">
        <f>"62"</f>
        <v>62</v>
      </c>
    </row>
    <row r="232" spans="1:6">
      <c r="A232" t="str">
        <f>"E1068-6"</f>
        <v>E1068-6</v>
      </c>
      <c r="B232" t="str">
        <f>"VIA TONALE  21-"</f>
        <v>VIA TONALE  21-</v>
      </c>
      <c r="C232" t="str">
        <f t="shared" si="27"/>
        <v>COR</v>
      </c>
      <c r="D232">
        <v>79</v>
      </c>
      <c r="E232" t="str">
        <f>"469"</f>
        <v>469</v>
      </c>
      <c r="F232" t="str">
        <f>"4"</f>
        <v>4</v>
      </c>
    </row>
    <row r="233" spans="1:6">
      <c r="A233" t="str">
        <f>"E1068-8"</f>
        <v>E1068-8</v>
      </c>
      <c r="B233" t="str">
        <f>"VIA TONALE  21-"</f>
        <v>VIA TONALE  21-</v>
      </c>
      <c r="C233" t="str">
        <f t="shared" si="27"/>
        <v>COR</v>
      </c>
      <c r="D233">
        <v>79</v>
      </c>
      <c r="E233" t="str">
        <f>"469"</f>
        <v>469</v>
      </c>
      <c r="F233" t="str">
        <f>"6"</f>
        <v>6</v>
      </c>
    </row>
    <row r="234" spans="1:6">
      <c r="A234" t="str">
        <f>"E1068-9"</f>
        <v>E1068-9</v>
      </c>
      <c r="B234" t="str">
        <f>"VIA TONALE  21-"</f>
        <v>VIA TONALE  21-</v>
      </c>
      <c r="C234" t="str">
        <f t="shared" si="27"/>
        <v>COR</v>
      </c>
      <c r="D234">
        <v>79</v>
      </c>
      <c r="E234" t="str">
        <f>"469"</f>
        <v>469</v>
      </c>
      <c r="F234" t="str">
        <f>"7"</f>
        <v>7</v>
      </c>
    </row>
    <row r="235" spans="1:6">
      <c r="C235" t="str">
        <f t="shared" si="27"/>
        <v>COR</v>
      </c>
      <c r="D235">
        <v>79</v>
      </c>
      <c r="E235" t="str">
        <f>"50"</f>
        <v>50</v>
      </c>
      <c r="F235" t="str">
        <f>"8"</f>
        <v>8</v>
      </c>
    </row>
    <row r="236" spans="1:6">
      <c r="A236" t="str">
        <f>"E1068-10"</f>
        <v>E1068-10</v>
      </c>
      <c r="B236" t="str">
        <f>"VIA TONALE  23-"</f>
        <v>VIA TONALE  23-</v>
      </c>
      <c r="C236" t="str">
        <f t="shared" si="27"/>
        <v>COR</v>
      </c>
      <c r="D236">
        <v>79</v>
      </c>
      <c r="E236" t="str">
        <f>"50"</f>
        <v>50</v>
      </c>
      <c r="F236" t="str">
        <f>"9"</f>
        <v>9</v>
      </c>
    </row>
    <row r="237" spans="1:6">
      <c r="A237" t="str">
        <f>"E1068-11"</f>
        <v>E1068-11</v>
      </c>
      <c r="B237" t="str">
        <f>"VIA TONALE  21-"</f>
        <v>VIA TONALE  21-</v>
      </c>
      <c r="C237" t="str">
        <f t="shared" si="27"/>
        <v>COR</v>
      </c>
      <c r="D237">
        <v>79</v>
      </c>
      <c r="E237" t="str">
        <f>"469"</f>
        <v>469</v>
      </c>
      <c r="F237" t="str">
        <f>"8"</f>
        <v>8</v>
      </c>
    </row>
    <row r="238" spans="1:6">
      <c r="A238" t="str">
        <f>"E1068-12"</f>
        <v>E1068-12</v>
      </c>
      <c r="B238" t="str">
        <f>"VIA TONALE  21-"</f>
        <v>VIA TONALE  21-</v>
      </c>
      <c r="C238" t="str">
        <f t="shared" si="27"/>
        <v>COR</v>
      </c>
      <c r="D238">
        <v>79</v>
      </c>
      <c r="E238" t="str">
        <f>"469"</f>
        <v>469</v>
      </c>
      <c r="F238" t="str">
        <f>"9"</f>
        <v>9</v>
      </c>
    </row>
    <row r="239" spans="1:6">
      <c r="C239" t="str">
        <f t="shared" si="27"/>
        <v>COR</v>
      </c>
      <c r="D239">
        <v>79</v>
      </c>
      <c r="E239" t="str">
        <f t="shared" ref="E239:E284" si="28">"50"</f>
        <v>50</v>
      </c>
      <c r="F239" t="str">
        <f>"63"</f>
        <v>63</v>
      </c>
    </row>
    <row r="240" spans="1:6">
      <c r="A240" t="str">
        <f>"E1068-13"</f>
        <v>E1068-13</v>
      </c>
      <c r="B240" t="str">
        <f t="shared" ref="B240:B284" si="29">"VIA TONALE  25-"</f>
        <v>VIA TONALE  25-</v>
      </c>
      <c r="C240" t="str">
        <f t="shared" si="27"/>
        <v>COR</v>
      </c>
      <c r="D240">
        <v>79</v>
      </c>
      <c r="E240" t="str">
        <f t="shared" si="28"/>
        <v>50</v>
      </c>
      <c r="F240" t="str">
        <f>"10"</f>
        <v>10</v>
      </c>
    </row>
    <row r="241" spans="1:6">
      <c r="A241" t="str">
        <f>"E1068-15"</f>
        <v>E1068-15</v>
      </c>
      <c r="B241" t="str">
        <f t="shared" si="29"/>
        <v>VIA TONALE  25-</v>
      </c>
      <c r="C241" t="str">
        <f t="shared" si="27"/>
        <v>COR</v>
      </c>
      <c r="D241">
        <v>79</v>
      </c>
      <c r="E241" t="str">
        <f t="shared" si="28"/>
        <v>50</v>
      </c>
      <c r="F241" t="str">
        <f>"12"</f>
        <v>12</v>
      </c>
    </row>
    <row r="242" spans="1:6">
      <c r="A242" t="str">
        <f>"E1068-16"</f>
        <v>E1068-16</v>
      </c>
      <c r="B242" t="str">
        <f t="shared" si="29"/>
        <v>VIA TONALE  25-</v>
      </c>
      <c r="C242" t="str">
        <f t="shared" si="27"/>
        <v>COR</v>
      </c>
      <c r="D242">
        <v>79</v>
      </c>
      <c r="E242" t="str">
        <f t="shared" si="28"/>
        <v>50</v>
      </c>
      <c r="F242" t="str">
        <f>"13"</f>
        <v>13</v>
      </c>
    </row>
    <row r="243" spans="1:6">
      <c r="A243" t="str">
        <f>"E1068-17"</f>
        <v>E1068-17</v>
      </c>
      <c r="B243" t="str">
        <f t="shared" si="29"/>
        <v>VIA TONALE  25-</v>
      </c>
      <c r="C243" t="str">
        <f t="shared" si="27"/>
        <v>COR</v>
      </c>
      <c r="D243">
        <v>79</v>
      </c>
      <c r="E243" t="str">
        <f t="shared" si="28"/>
        <v>50</v>
      </c>
      <c r="F243" t="str">
        <f>"14"</f>
        <v>14</v>
      </c>
    </row>
    <row r="244" spans="1:6">
      <c r="A244" t="str">
        <f>"E1068-18"</f>
        <v>E1068-18</v>
      </c>
      <c r="B244" t="str">
        <f t="shared" si="29"/>
        <v>VIA TONALE  25-</v>
      </c>
      <c r="C244" t="str">
        <f t="shared" si="27"/>
        <v>COR</v>
      </c>
      <c r="D244">
        <v>79</v>
      </c>
      <c r="E244" t="str">
        <f t="shared" si="28"/>
        <v>50</v>
      </c>
      <c r="F244" t="str">
        <f>"15"</f>
        <v>15</v>
      </c>
    </row>
    <row r="245" spans="1:6">
      <c r="A245" t="str">
        <f>"E1068-19"</f>
        <v>E1068-19</v>
      </c>
      <c r="B245" t="str">
        <f t="shared" si="29"/>
        <v>VIA TONALE  25-</v>
      </c>
      <c r="C245" t="str">
        <f t="shared" si="27"/>
        <v>COR</v>
      </c>
      <c r="D245">
        <v>79</v>
      </c>
      <c r="E245" t="str">
        <f t="shared" si="28"/>
        <v>50</v>
      </c>
      <c r="F245" t="str">
        <f>"16"</f>
        <v>16</v>
      </c>
    </row>
    <row r="246" spans="1:6">
      <c r="A246" t="str">
        <f>"E1068-21"</f>
        <v>E1068-21</v>
      </c>
      <c r="B246" t="str">
        <f t="shared" si="29"/>
        <v>VIA TONALE  25-</v>
      </c>
      <c r="C246" t="str">
        <f t="shared" si="27"/>
        <v>COR</v>
      </c>
      <c r="D246">
        <v>79</v>
      </c>
      <c r="E246" t="str">
        <f t="shared" si="28"/>
        <v>50</v>
      </c>
      <c r="F246" t="str">
        <f>"18"</f>
        <v>18</v>
      </c>
    </row>
    <row r="247" spans="1:6">
      <c r="A247" t="str">
        <f>"E1068-22"</f>
        <v>E1068-22</v>
      </c>
      <c r="B247" t="str">
        <f t="shared" si="29"/>
        <v>VIA TONALE  25-</v>
      </c>
      <c r="C247" t="str">
        <f t="shared" si="27"/>
        <v>COR</v>
      </c>
      <c r="D247">
        <v>79</v>
      </c>
      <c r="E247" t="str">
        <f t="shared" si="28"/>
        <v>50</v>
      </c>
      <c r="F247" t="str">
        <f>"19"</f>
        <v>19</v>
      </c>
    </row>
    <row r="248" spans="1:6">
      <c r="A248" t="str">
        <f>"E1068-23"</f>
        <v>E1068-23</v>
      </c>
      <c r="B248" t="str">
        <f t="shared" si="29"/>
        <v>VIA TONALE  25-</v>
      </c>
      <c r="C248" t="str">
        <f t="shared" si="27"/>
        <v>COR</v>
      </c>
      <c r="D248">
        <v>79</v>
      </c>
      <c r="E248" t="str">
        <f t="shared" si="28"/>
        <v>50</v>
      </c>
      <c r="F248" t="str">
        <f>"20"</f>
        <v>20</v>
      </c>
    </row>
    <row r="249" spans="1:6">
      <c r="A249" t="str">
        <f>"E1068-24"</f>
        <v>E1068-24</v>
      </c>
      <c r="B249" t="str">
        <f t="shared" si="29"/>
        <v>VIA TONALE  25-</v>
      </c>
      <c r="C249" t="str">
        <f t="shared" si="27"/>
        <v>COR</v>
      </c>
      <c r="D249">
        <v>79</v>
      </c>
      <c r="E249" t="str">
        <f t="shared" si="28"/>
        <v>50</v>
      </c>
      <c r="F249" t="str">
        <f>"21"</f>
        <v>21</v>
      </c>
    </row>
    <row r="250" spans="1:6">
      <c r="A250" t="str">
        <f>"E1068-25"</f>
        <v>E1068-25</v>
      </c>
      <c r="B250" t="str">
        <f t="shared" si="29"/>
        <v>VIA TONALE  25-</v>
      </c>
      <c r="C250" t="str">
        <f t="shared" si="27"/>
        <v>COR</v>
      </c>
      <c r="D250">
        <v>79</v>
      </c>
      <c r="E250" t="str">
        <f t="shared" si="28"/>
        <v>50</v>
      </c>
      <c r="F250" t="str">
        <f>"22"</f>
        <v>22</v>
      </c>
    </row>
    <row r="251" spans="1:6">
      <c r="A251" t="str">
        <f>"E1068-26"</f>
        <v>E1068-26</v>
      </c>
      <c r="B251" t="str">
        <f t="shared" si="29"/>
        <v>VIA TONALE  25-</v>
      </c>
      <c r="C251" t="str">
        <f t="shared" si="27"/>
        <v>COR</v>
      </c>
      <c r="D251">
        <v>79</v>
      </c>
      <c r="E251" t="str">
        <f t="shared" si="28"/>
        <v>50</v>
      </c>
      <c r="F251" t="str">
        <f>"23"</f>
        <v>23</v>
      </c>
    </row>
    <row r="252" spans="1:6">
      <c r="A252" t="str">
        <f>"E1068-27"</f>
        <v>E1068-27</v>
      </c>
      <c r="B252" t="str">
        <f t="shared" si="29"/>
        <v>VIA TONALE  25-</v>
      </c>
      <c r="C252" t="str">
        <f t="shared" ref="C252:C283" si="30">"COR"</f>
        <v>COR</v>
      </c>
      <c r="D252">
        <v>79</v>
      </c>
      <c r="E252" t="str">
        <f t="shared" si="28"/>
        <v>50</v>
      </c>
      <c r="F252" t="str">
        <f>"24"</f>
        <v>24</v>
      </c>
    </row>
    <row r="253" spans="1:6">
      <c r="A253" t="str">
        <f>"E1068-28"</f>
        <v>E1068-28</v>
      </c>
      <c r="B253" t="str">
        <f t="shared" si="29"/>
        <v>VIA TONALE  25-</v>
      </c>
      <c r="C253" t="str">
        <f t="shared" si="30"/>
        <v>COR</v>
      </c>
      <c r="D253">
        <v>79</v>
      </c>
      <c r="E253" t="str">
        <f t="shared" si="28"/>
        <v>50</v>
      </c>
      <c r="F253" t="str">
        <f>"25"</f>
        <v>25</v>
      </c>
    </row>
    <row r="254" spans="1:6">
      <c r="A254" t="str">
        <f>"E1068-29"</f>
        <v>E1068-29</v>
      </c>
      <c r="B254" t="str">
        <f t="shared" si="29"/>
        <v>VIA TONALE  25-</v>
      </c>
      <c r="C254" t="str">
        <f t="shared" si="30"/>
        <v>COR</v>
      </c>
      <c r="D254">
        <v>79</v>
      </c>
      <c r="E254" t="str">
        <f t="shared" si="28"/>
        <v>50</v>
      </c>
      <c r="F254" t="str">
        <f>"26"</f>
        <v>26</v>
      </c>
    </row>
    <row r="255" spans="1:6">
      <c r="A255" t="str">
        <f>"E1068-30"</f>
        <v>E1068-30</v>
      </c>
      <c r="B255" t="str">
        <f t="shared" si="29"/>
        <v>VIA TONALE  25-</v>
      </c>
      <c r="C255" t="str">
        <f t="shared" si="30"/>
        <v>COR</v>
      </c>
      <c r="D255">
        <v>79</v>
      </c>
      <c r="E255" t="str">
        <f t="shared" si="28"/>
        <v>50</v>
      </c>
      <c r="F255" t="str">
        <f>"27"</f>
        <v>27</v>
      </c>
    </row>
    <row r="256" spans="1:6">
      <c r="A256" t="str">
        <f>"E1068-31"</f>
        <v>E1068-31</v>
      </c>
      <c r="B256" t="str">
        <f t="shared" si="29"/>
        <v>VIA TONALE  25-</v>
      </c>
      <c r="C256" t="str">
        <f t="shared" si="30"/>
        <v>COR</v>
      </c>
      <c r="D256">
        <v>79</v>
      </c>
      <c r="E256" t="str">
        <f t="shared" si="28"/>
        <v>50</v>
      </c>
      <c r="F256" t="str">
        <f>"28"</f>
        <v>28</v>
      </c>
    </row>
    <row r="257" spans="1:6">
      <c r="A257" t="str">
        <f>"E1068-32"</f>
        <v>E1068-32</v>
      </c>
      <c r="B257" t="str">
        <f t="shared" si="29"/>
        <v>VIA TONALE  25-</v>
      </c>
      <c r="C257" t="str">
        <f t="shared" si="30"/>
        <v>COR</v>
      </c>
      <c r="D257">
        <v>79</v>
      </c>
      <c r="E257" t="str">
        <f t="shared" si="28"/>
        <v>50</v>
      </c>
      <c r="F257" t="str">
        <f>"29"</f>
        <v>29</v>
      </c>
    </row>
    <row r="258" spans="1:6">
      <c r="A258" t="str">
        <f>"E1068-33"</f>
        <v>E1068-33</v>
      </c>
      <c r="B258" t="str">
        <f t="shared" si="29"/>
        <v>VIA TONALE  25-</v>
      </c>
      <c r="C258" t="str">
        <f t="shared" si="30"/>
        <v>COR</v>
      </c>
      <c r="D258">
        <v>79</v>
      </c>
      <c r="E258" t="str">
        <f t="shared" si="28"/>
        <v>50</v>
      </c>
      <c r="F258" t="str">
        <f>"30"</f>
        <v>30</v>
      </c>
    </row>
    <row r="259" spans="1:6">
      <c r="A259" t="str">
        <f>"E1068-34"</f>
        <v>E1068-34</v>
      </c>
      <c r="B259" t="str">
        <f t="shared" si="29"/>
        <v>VIA TONALE  25-</v>
      </c>
      <c r="C259" t="str">
        <f t="shared" si="30"/>
        <v>COR</v>
      </c>
      <c r="D259">
        <v>79</v>
      </c>
      <c r="E259" t="str">
        <f t="shared" si="28"/>
        <v>50</v>
      </c>
      <c r="F259" t="str">
        <f>"31"</f>
        <v>31</v>
      </c>
    </row>
    <row r="260" spans="1:6">
      <c r="A260" t="str">
        <f>"E1068-35"</f>
        <v>E1068-35</v>
      </c>
      <c r="B260" t="str">
        <f t="shared" si="29"/>
        <v>VIA TONALE  25-</v>
      </c>
      <c r="C260" t="str">
        <f t="shared" si="30"/>
        <v>COR</v>
      </c>
      <c r="D260">
        <v>79</v>
      </c>
      <c r="E260" t="str">
        <f t="shared" si="28"/>
        <v>50</v>
      </c>
      <c r="F260" t="str">
        <f>"32"</f>
        <v>32</v>
      </c>
    </row>
    <row r="261" spans="1:6">
      <c r="A261" t="str">
        <f>"E1068-36"</f>
        <v>E1068-36</v>
      </c>
      <c r="B261" t="str">
        <f t="shared" si="29"/>
        <v>VIA TONALE  25-</v>
      </c>
      <c r="C261" t="str">
        <f t="shared" si="30"/>
        <v>COR</v>
      </c>
      <c r="D261">
        <v>79</v>
      </c>
      <c r="E261" t="str">
        <f t="shared" si="28"/>
        <v>50</v>
      </c>
      <c r="F261" t="str">
        <f>"33"</f>
        <v>33</v>
      </c>
    </row>
    <row r="262" spans="1:6">
      <c r="A262" t="str">
        <f>"E1068-37"</f>
        <v>E1068-37</v>
      </c>
      <c r="B262" t="str">
        <f t="shared" si="29"/>
        <v>VIA TONALE  25-</v>
      </c>
      <c r="C262" t="str">
        <f t="shared" si="30"/>
        <v>COR</v>
      </c>
      <c r="D262">
        <v>79</v>
      </c>
      <c r="E262" t="str">
        <f t="shared" si="28"/>
        <v>50</v>
      </c>
      <c r="F262" t="str">
        <f>"34"</f>
        <v>34</v>
      </c>
    </row>
    <row r="263" spans="1:6">
      <c r="A263" t="str">
        <f>"E1068-38"</f>
        <v>E1068-38</v>
      </c>
      <c r="B263" t="str">
        <f t="shared" si="29"/>
        <v>VIA TONALE  25-</v>
      </c>
      <c r="C263" t="str">
        <f t="shared" si="30"/>
        <v>COR</v>
      </c>
      <c r="D263">
        <v>79</v>
      </c>
      <c r="E263" t="str">
        <f t="shared" si="28"/>
        <v>50</v>
      </c>
      <c r="F263" t="str">
        <f>"35"</f>
        <v>35</v>
      </c>
    </row>
    <row r="264" spans="1:6">
      <c r="A264" t="str">
        <f>"E1068-39"</f>
        <v>E1068-39</v>
      </c>
      <c r="B264" t="str">
        <f t="shared" si="29"/>
        <v>VIA TONALE  25-</v>
      </c>
      <c r="C264" t="str">
        <f t="shared" si="30"/>
        <v>COR</v>
      </c>
      <c r="D264">
        <v>79</v>
      </c>
      <c r="E264" t="str">
        <f t="shared" si="28"/>
        <v>50</v>
      </c>
      <c r="F264" t="str">
        <f>"36"</f>
        <v>36</v>
      </c>
    </row>
    <row r="265" spans="1:6">
      <c r="A265" t="str">
        <f>"E1068-40"</f>
        <v>E1068-40</v>
      </c>
      <c r="B265" t="str">
        <f t="shared" si="29"/>
        <v>VIA TONALE  25-</v>
      </c>
      <c r="C265" t="str">
        <f t="shared" si="30"/>
        <v>COR</v>
      </c>
      <c r="D265">
        <v>79</v>
      </c>
      <c r="E265" t="str">
        <f t="shared" si="28"/>
        <v>50</v>
      </c>
      <c r="F265" t="str">
        <f>"37"</f>
        <v>37</v>
      </c>
    </row>
    <row r="266" spans="1:6">
      <c r="A266" t="str">
        <f>"E1068-41"</f>
        <v>E1068-41</v>
      </c>
      <c r="B266" t="str">
        <f t="shared" si="29"/>
        <v>VIA TONALE  25-</v>
      </c>
      <c r="C266" t="str">
        <f t="shared" si="30"/>
        <v>COR</v>
      </c>
      <c r="D266">
        <v>79</v>
      </c>
      <c r="E266" t="str">
        <f t="shared" si="28"/>
        <v>50</v>
      </c>
      <c r="F266" t="str">
        <f>"48"</f>
        <v>48</v>
      </c>
    </row>
    <row r="267" spans="1:6">
      <c r="A267" t="str">
        <f>"E1068-42"</f>
        <v>E1068-42</v>
      </c>
      <c r="B267" t="str">
        <f t="shared" si="29"/>
        <v>VIA TONALE  25-</v>
      </c>
      <c r="C267" t="str">
        <f t="shared" si="30"/>
        <v>COR</v>
      </c>
      <c r="D267">
        <v>79</v>
      </c>
      <c r="E267" t="str">
        <f t="shared" si="28"/>
        <v>50</v>
      </c>
      <c r="F267" t="str">
        <f>"49"</f>
        <v>49</v>
      </c>
    </row>
    <row r="268" spans="1:6">
      <c r="A268" t="str">
        <f>"E1068-43"</f>
        <v>E1068-43</v>
      </c>
      <c r="B268" t="str">
        <f t="shared" si="29"/>
        <v>VIA TONALE  25-</v>
      </c>
      <c r="C268" t="str">
        <f t="shared" si="30"/>
        <v>COR</v>
      </c>
      <c r="D268">
        <v>50</v>
      </c>
      <c r="E268" t="str">
        <f t="shared" si="28"/>
        <v>50</v>
      </c>
      <c r="F268" t="str">
        <f>"0000"</f>
        <v>0000</v>
      </c>
    </row>
    <row r="269" spans="1:6">
      <c r="A269" t="str">
        <f>"E1068-44"</f>
        <v>E1068-44</v>
      </c>
      <c r="B269" t="str">
        <f t="shared" si="29"/>
        <v>VIA TONALE  25-</v>
      </c>
      <c r="C269" t="str">
        <f t="shared" si="30"/>
        <v>COR</v>
      </c>
      <c r="D269">
        <v>79</v>
      </c>
      <c r="E269" t="str">
        <f t="shared" si="28"/>
        <v>50</v>
      </c>
      <c r="F269" t="str">
        <f>"51"</f>
        <v>51</v>
      </c>
    </row>
    <row r="270" spans="1:6">
      <c r="A270" t="str">
        <f>"E1068-45"</f>
        <v>E1068-45</v>
      </c>
      <c r="B270" t="str">
        <f t="shared" si="29"/>
        <v>VIA TONALE  25-</v>
      </c>
      <c r="C270" t="str">
        <f t="shared" si="30"/>
        <v>COR</v>
      </c>
      <c r="D270">
        <v>79</v>
      </c>
      <c r="E270" t="str">
        <f t="shared" si="28"/>
        <v>50</v>
      </c>
      <c r="F270" t="str">
        <f>"52"</f>
        <v>52</v>
      </c>
    </row>
    <row r="271" spans="1:6">
      <c r="A271" t="str">
        <f>"E1068-46"</f>
        <v>E1068-46</v>
      </c>
      <c r="B271" t="str">
        <f t="shared" si="29"/>
        <v>VIA TONALE  25-</v>
      </c>
      <c r="C271" t="str">
        <f t="shared" si="30"/>
        <v>COR</v>
      </c>
      <c r="D271">
        <v>79</v>
      </c>
      <c r="E271" t="str">
        <f t="shared" si="28"/>
        <v>50</v>
      </c>
      <c r="F271" t="str">
        <f>"53"</f>
        <v>53</v>
      </c>
    </row>
    <row r="272" spans="1:6">
      <c r="A272" t="str">
        <f>"E1068-47"</f>
        <v>E1068-47</v>
      </c>
      <c r="B272" t="str">
        <f t="shared" si="29"/>
        <v>VIA TONALE  25-</v>
      </c>
      <c r="C272" t="str">
        <f t="shared" si="30"/>
        <v>COR</v>
      </c>
      <c r="D272">
        <v>79</v>
      </c>
      <c r="E272" t="str">
        <f t="shared" si="28"/>
        <v>50</v>
      </c>
      <c r="F272" t="str">
        <f>"54"</f>
        <v>54</v>
      </c>
    </row>
    <row r="273" spans="1:6">
      <c r="A273" t="str">
        <f>"E1068-48"</f>
        <v>E1068-48</v>
      </c>
      <c r="B273" t="str">
        <f t="shared" si="29"/>
        <v>VIA TONALE  25-</v>
      </c>
      <c r="C273" t="str">
        <f t="shared" si="30"/>
        <v>COR</v>
      </c>
      <c r="D273">
        <v>79</v>
      </c>
      <c r="E273" t="str">
        <f t="shared" si="28"/>
        <v>50</v>
      </c>
      <c r="F273" t="str">
        <f>"55"</f>
        <v>55</v>
      </c>
    </row>
    <row r="274" spans="1:6">
      <c r="A274" t="str">
        <f>"E1068-50"</f>
        <v>E1068-50</v>
      </c>
      <c r="B274" t="str">
        <f t="shared" si="29"/>
        <v>VIA TONALE  25-</v>
      </c>
      <c r="C274" t="str">
        <f t="shared" si="30"/>
        <v>COR</v>
      </c>
      <c r="D274">
        <v>79</v>
      </c>
      <c r="E274" t="str">
        <f t="shared" si="28"/>
        <v>50</v>
      </c>
      <c r="F274" t="str">
        <f>"39"</f>
        <v>39</v>
      </c>
    </row>
    <row r="275" spans="1:6">
      <c r="A275" t="str">
        <f>"E1068-51"</f>
        <v>E1068-51</v>
      </c>
      <c r="B275" t="str">
        <f t="shared" si="29"/>
        <v>VIA TONALE  25-</v>
      </c>
      <c r="C275" t="str">
        <f t="shared" si="30"/>
        <v>COR</v>
      </c>
      <c r="D275">
        <v>79</v>
      </c>
      <c r="E275" t="str">
        <f t="shared" si="28"/>
        <v>50</v>
      </c>
      <c r="F275" t="str">
        <f>"40"</f>
        <v>40</v>
      </c>
    </row>
    <row r="276" spans="1:6">
      <c r="A276" t="str">
        <f>"E1068-53"</f>
        <v>E1068-53</v>
      </c>
      <c r="B276" t="str">
        <f t="shared" si="29"/>
        <v>VIA TONALE  25-</v>
      </c>
      <c r="C276" t="str">
        <f t="shared" si="30"/>
        <v>COR</v>
      </c>
      <c r="D276">
        <v>79</v>
      </c>
      <c r="E276" t="str">
        <f t="shared" si="28"/>
        <v>50</v>
      </c>
      <c r="F276" t="str">
        <f>"42"</f>
        <v>42</v>
      </c>
    </row>
    <row r="277" spans="1:6">
      <c r="A277" t="str">
        <f>"E1068-54"</f>
        <v>E1068-54</v>
      </c>
      <c r="B277" t="str">
        <f t="shared" si="29"/>
        <v>VIA TONALE  25-</v>
      </c>
      <c r="C277" t="str">
        <f t="shared" si="30"/>
        <v>COR</v>
      </c>
      <c r="D277">
        <v>79</v>
      </c>
      <c r="E277" t="str">
        <f t="shared" si="28"/>
        <v>50</v>
      </c>
      <c r="F277" t="str">
        <f>"43"</f>
        <v>43</v>
      </c>
    </row>
    <row r="278" spans="1:6">
      <c r="A278" t="str">
        <f>"E1068-55"</f>
        <v>E1068-55</v>
      </c>
      <c r="B278" t="str">
        <f t="shared" si="29"/>
        <v>VIA TONALE  25-</v>
      </c>
      <c r="C278" t="str">
        <f t="shared" si="30"/>
        <v>COR</v>
      </c>
      <c r="D278">
        <v>79</v>
      </c>
      <c r="E278" t="str">
        <f t="shared" si="28"/>
        <v>50</v>
      </c>
      <c r="F278" t="str">
        <f>"44"</f>
        <v>44</v>
      </c>
    </row>
    <row r="279" spans="1:6">
      <c r="A279" t="str">
        <f>"E1068-56"</f>
        <v>E1068-56</v>
      </c>
      <c r="B279" t="str">
        <f t="shared" si="29"/>
        <v>VIA TONALE  25-</v>
      </c>
      <c r="C279" t="str">
        <f t="shared" si="30"/>
        <v>COR</v>
      </c>
      <c r="D279">
        <v>79</v>
      </c>
      <c r="E279" t="str">
        <f t="shared" si="28"/>
        <v>50</v>
      </c>
      <c r="F279" t="str">
        <f>"45"</f>
        <v>45</v>
      </c>
    </row>
    <row r="280" spans="1:6">
      <c r="A280" t="str">
        <f>"E1068-57"</f>
        <v>E1068-57</v>
      </c>
      <c r="B280" t="str">
        <f t="shared" si="29"/>
        <v>VIA TONALE  25-</v>
      </c>
      <c r="C280" t="str">
        <f t="shared" si="30"/>
        <v>COR</v>
      </c>
      <c r="D280">
        <v>79</v>
      </c>
      <c r="E280" t="str">
        <f t="shared" si="28"/>
        <v>50</v>
      </c>
      <c r="F280" t="str">
        <f>"46"</f>
        <v>46</v>
      </c>
    </row>
    <row r="281" spans="1:6">
      <c r="A281" t="str">
        <f>"E1068-58"</f>
        <v>E1068-58</v>
      </c>
      <c r="B281" t="str">
        <f t="shared" si="29"/>
        <v>VIA TONALE  25-</v>
      </c>
      <c r="C281" t="str">
        <f t="shared" si="30"/>
        <v>COR</v>
      </c>
      <c r="D281">
        <v>79</v>
      </c>
      <c r="E281" t="str">
        <f t="shared" si="28"/>
        <v>50</v>
      </c>
      <c r="F281" t="str">
        <f>"56"</f>
        <v>56</v>
      </c>
    </row>
    <row r="282" spans="1:6">
      <c r="A282" t="str">
        <f>"E1068-60"</f>
        <v>E1068-60</v>
      </c>
      <c r="B282" t="str">
        <f t="shared" si="29"/>
        <v>VIA TONALE  25-</v>
      </c>
      <c r="C282" t="str">
        <f t="shared" si="30"/>
        <v>COR</v>
      </c>
      <c r="D282">
        <v>79</v>
      </c>
      <c r="E282" t="str">
        <f t="shared" si="28"/>
        <v>50</v>
      </c>
      <c r="F282" t="str">
        <f>"47"</f>
        <v>47</v>
      </c>
    </row>
    <row r="283" spans="1:6">
      <c r="A283" t="str">
        <f>"E1068-61"</f>
        <v>E1068-61</v>
      </c>
      <c r="B283" t="str">
        <f t="shared" si="29"/>
        <v>VIA TONALE  25-</v>
      </c>
      <c r="C283" t="str">
        <f t="shared" si="30"/>
        <v>COR</v>
      </c>
      <c r="D283">
        <v>79</v>
      </c>
      <c r="E283" t="str">
        <f t="shared" si="28"/>
        <v>50</v>
      </c>
      <c r="F283" t="str">
        <f>"58"</f>
        <v>58</v>
      </c>
    </row>
    <row r="284" spans="1:6">
      <c r="A284" t="str">
        <f>"E1068-62"</f>
        <v>E1068-62</v>
      </c>
      <c r="B284" t="str">
        <f t="shared" si="29"/>
        <v>VIA TONALE  25-</v>
      </c>
      <c r="C284" t="str">
        <f t="shared" ref="C284:C293" si="31">"COR"</f>
        <v>COR</v>
      </c>
      <c r="D284">
        <v>79</v>
      </c>
      <c r="E284" t="str">
        <f t="shared" si="28"/>
        <v>50</v>
      </c>
      <c r="F284" t="str">
        <f>"59"</f>
        <v>59</v>
      </c>
    </row>
    <row r="285" spans="1:6">
      <c r="A285" t="str">
        <f>"E1068-63"</f>
        <v>E1068-63</v>
      </c>
      <c r="B285" t="str">
        <f>"VIA TONALE  27-"</f>
        <v>VIA TONALE  27-</v>
      </c>
      <c r="C285" t="str">
        <f t="shared" si="31"/>
        <v>COR</v>
      </c>
      <c r="D285">
        <v>79</v>
      </c>
      <c r="E285" t="str">
        <f>"57"</f>
        <v>57</v>
      </c>
      <c r="F285" t="str">
        <f>"1"</f>
        <v>1</v>
      </c>
    </row>
    <row r="286" spans="1:6">
      <c r="A286" t="str">
        <f>"E1068-64"</f>
        <v>E1068-64</v>
      </c>
      <c r="B286" t="str">
        <f>"VIA CORNIGLIANO  51B-"</f>
        <v>VIA CORNIGLIANO  51B-</v>
      </c>
      <c r="C286" t="str">
        <f t="shared" si="31"/>
        <v>COR</v>
      </c>
      <c r="D286">
        <v>79</v>
      </c>
      <c r="E286" t="str">
        <f>"50"</f>
        <v>50</v>
      </c>
      <c r="F286" t="str">
        <f>"5"</f>
        <v>5</v>
      </c>
    </row>
    <row r="287" spans="1:6">
      <c r="A287" t="str">
        <f>"E1068-65"</f>
        <v>E1068-65</v>
      </c>
      <c r="B287" t="str">
        <f>"VIA CORNIGLIANO  51D-"</f>
        <v>VIA CORNIGLIANO  51D-</v>
      </c>
      <c r="C287" t="str">
        <f t="shared" si="31"/>
        <v>COR</v>
      </c>
      <c r="D287">
        <v>79</v>
      </c>
      <c r="E287" t="str">
        <f>"50"</f>
        <v>50</v>
      </c>
      <c r="F287" t="str">
        <f>"6"</f>
        <v>6</v>
      </c>
    </row>
    <row r="288" spans="1:6">
      <c r="A288" t="str">
        <f>"E1069-1"</f>
        <v>E1069-1</v>
      </c>
      <c r="B288" t="str">
        <f>"VIA FRANCESCO ROLLA  14R-"</f>
        <v>VIA FRANCESCO ROLLA  14R-</v>
      </c>
      <c r="C288" t="str">
        <f t="shared" si="31"/>
        <v>COR</v>
      </c>
      <c r="D288">
        <v>78</v>
      </c>
      <c r="E288" t="str">
        <f>"290"</f>
        <v>290</v>
      </c>
      <c r="F288" t="str">
        <f>"1"</f>
        <v>1</v>
      </c>
    </row>
    <row r="289" spans="1:6">
      <c r="C289" t="str">
        <f t="shared" si="31"/>
        <v>COR</v>
      </c>
      <c r="D289">
        <v>78</v>
      </c>
      <c r="E289" t="str">
        <f>"316"</f>
        <v>316</v>
      </c>
      <c r="F289" t="str">
        <f>"0000"</f>
        <v>0000</v>
      </c>
    </row>
    <row r="290" spans="1:6">
      <c r="A290" t="str">
        <f>"E1069-2"</f>
        <v>E1069-2</v>
      </c>
      <c r="B290" t="str">
        <f>"VIA FRANCESCO ROLLA  14R-"</f>
        <v>VIA FRANCESCO ROLLA  14R-</v>
      </c>
      <c r="C290" t="str">
        <f t="shared" si="31"/>
        <v>COR</v>
      </c>
      <c r="D290">
        <v>78</v>
      </c>
      <c r="E290" t="str">
        <f>"273"</f>
        <v>273</v>
      </c>
      <c r="F290" t="str">
        <f>"1"</f>
        <v>1</v>
      </c>
    </row>
    <row r="291" spans="1:6">
      <c r="C291" t="str">
        <f t="shared" si="31"/>
        <v>COR</v>
      </c>
      <c r="D291">
        <v>78</v>
      </c>
      <c r="E291" t="str">
        <f>"277"</f>
        <v>277</v>
      </c>
      <c r="F291" t="str">
        <f t="shared" ref="F291:F299" si="32">"0000"</f>
        <v>0000</v>
      </c>
    </row>
    <row r="292" spans="1:6">
      <c r="C292" t="str">
        <f t="shared" si="31"/>
        <v>COR</v>
      </c>
      <c r="D292">
        <v>78</v>
      </c>
      <c r="E292" t="str">
        <f>"512"</f>
        <v>512</v>
      </c>
      <c r="F292" t="str">
        <f t="shared" si="32"/>
        <v>0000</v>
      </c>
    </row>
    <row r="293" spans="1:6">
      <c r="C293" t="str">
        <f t="shared" si="31"/>
        <v>COR</v>
      </c>
      <c r="D293">
        <v>78</v>
      </c>
      <c r="E293" t="str">
        <f>"511"</f>
        <v>511</v>
      </c>
      <c r="F293" t="str">
        <f t="shared" si="32"/>
        <v>0000</v>
      </c>
    </row>
    <row r="294" spans="1:6">
      <c r="A294" t="str">
        <f>"E1071-1"</f>
        <v>E1071-1</v>
      </c>
      <c r="B294" t="str">
        <f>"VIA GIUSEPPE GALLIANO  12-"</f>
        <v>VIA GIUSEPPE GALLIANO  12-</v>
      </c>
      <c r="C294" t="str">
        <f t="shared" ref="C294:C299" si="33">"3"</f>
        <v>3</v>
      </c>
      <c r="D294">
        <v>53</v>
      </c>
      <c r="E294" t="str">
        <f>"240"</f>
        <v>240</v>
      </c>
      <c r="F294" t="str">
        <f t="shared" si="32"/>
        <v>0000</v>
      </c>
    </row>
    <row r="295" spans="1:6">
      <c r="C295" t="str">
        <f t="shared" si="33"/>
        <v>3</v>
      </c>
      <c r="D295">
        <v>53</v>
      </c>
      <c r="E295" t="str">
        <f>"96"</f>
        <v>96</v>
      </c>
      <c r="F295" t="str">
        <f t="shared" si="32"/>
        <v>0000</v>
      </c>
    </row>
    <row r="296" spans="1:6">
      <c r="C296" t="str">
        <f t="shared" si="33"/>
        <v>3</v>
      </c>
      <c r="D296">
        <v>53</v>
      </c>
      <c r="E296" t="str">
        <f>"98"</f>
        <v>98</v>
      </c>
      <c r="F296" t="str">
        <f t="shared" si="32"/>
        <v>0000</v>
      </c>
    </row>
    <row r="297" spans="1:6">
      <c r="C297" t="str">
        <f t="shared" si="33"/>
        <v>3</v>
      </c>
      <c r="D297">
        <v>53</v>
      </c>
      <c r="E297" t="str">
        <f>"99"</f>
        <v>99</v>
      </c>
      <c r="F297" t="str">
        <f t="shared" si="32"/>
        <v>0000</v>
      </c>
    </row>
    <row r="298" spans="1:6">
      <c r="C298" t="str">
        <f t="shared" si="33"/>
        <v>3</v>
      </c>
      <c r="D298">
        <v>53</v>
      </c>
      <c r="E298" t="str">
        <f>"95"</f>
        <v>95</v>
      </c>
      <c r="F298" t="str">
        <f t="shared" si="32"/>
        <v>0000</v>
      </c>
    </row>
    <row r="299" spans="1:6">
      <c r="C299" t="str">
        <f t="shared" si="33"/>
        <v>3</v>
      </c>
      <c r="D299">
        <v>53</v>
      </c>
      <c r="E299" t="str">
        <f>"91"</f>
        <v>91</v>
      </c>
      <c r="F299" t="str">
        <f t="shared" si="32"/>
        <v>0000</v>
      </c>
    </row>
    <row r="300" spans="1:6">
      <c r="A300" t="str">
        <f>"E1079-6"</f>
        <v>E1079-6</v>
      </c>
      <c r="B300" t="str">
        <f>"VIA NINO CERVETTO  33-"</f>
        <v>VIA NINO CERVETTO  33-</v>
      </c>
      <c r="C300" t="str">
        <f>"COR"</f>
        <v>COR</v>
      </c>
      <c r="D300">
        <v>79</v>
      </c>
      <c r="E300" t="str">
        <f>"172"</f>
        <v>172</v>
      </c>
      <c r="F300" t="str">
        <f>"6"</f>
        <v>6</v>
      </c>
    </row>
    <row r="301" spans="1:6">
      <c r="A301" t="str">
        <f>"E1096-1"</f>
        <v>E1096-1</v>
      </c>
      <c r="B301" t="str">
        <f>"SALITA INFERIORE CATALDI  5-"</f>
        <v>SALITA INFERIORE CATALDI  5-</v>
      </c>
      <c r="C301" t="str">
        <f>"SEP"</f>
        <v>SEP</v>
      </c>
      <c r="D301">
        <v>55</v>
      </c>
      <c r="E301" t="str">
        <f>"1229"</f>
        <v>1229</v>
      </c>
      <c r="F301" t="str">
        <f>"1"</f>
        <v>1</v>
      </c>
    </row>
    <row r="302" spans="1:6">
      <c r="A302" t="str">
        <f>"E1096-2"</f>
        <v>E1096-2</v>
      </c>
      <c r="B302" t="str">
        <f>"SALITA INFERIORE CATALDI  5-"</f>
        <v>SALITA INFERIORE CATALDI  5-</v>
      </c>
      <c r="C302" t="str">
        <f>"SEP"</f>
        <v>SEP</v>
      </c>
      <c r="D302">
        <v>55</v>
      </c>
      <c r="E302" t="str">
        <f>"1229"</f>
        <v>1229</v>
      </c>
      <c r="F302" t="str">
        <f>"2"</f>
        <v>2</v>
      </c>
    </row>
    <row r="303" spans="1:6">
      <c r="A303" t="str">
        <f>"E1097-4"</f>
        <v>E1097-4</v>
      </c>
      <c r="B303" t="str">
        <f t="shared" ref="B303:B308" si="34">"PIAZZA BERNARDO POCH  4-"</f>
        <v>PIAZZA BERNARDO POCH  4-</v>
      </c>
      <c r="C303" t="str">
        <f>"SEP"</f>
        <v>SEP</v>
      </c>
      <c r="D303">
        <v>55</v>
      </c>
      <c r="E303" t="str">
        <f>"174"</f>
        <v>174</v>
      </c>
      <c r="F303" t="str">
        <f>"4"</f>
        <v>4</v>
      </c>
    </row>
    <row r="304" spans="1:6">
      <c r="A304" t="str">
        <f>"E1098-2"</f>
        <v>E1098-2</v>
      </c>
      <c r="B304" t="str">
        <f t="shared" si="34"/>
        <v>PIAZZA BERNARDO POCH  4-</v>
      </c>
      <c r="C304" t="str">
        <f t="shared" ref="C304:C309" si="35">"3"</f>
        <v>3</v>
      </c>
      <c r="D304">
        <v>55</v>
      </c>
      <c r="E304" t="str">
        <f>"170"</f>
        <v>170</v>
      </c>
      <c r="F304" t="str">
        <f t="shared" ref="F304:F309" si="36">"0000"</f>
        <v>0000</v>
      </c>
    </row>
    <row r="305" spans="1:6">
      <c r="C305" t="str">
        <f t="shared" si="35"/>
        <v>3</v>
      </c>
      <c r="D305">
        <v>55</v>
      </c>
      <c r="E305" t="str">
        <f>"171"</f>
        <v>171</v>
      </c>
      <c r="F305" t="str">
        <f t="shared" si="36"/>
        <v>0000</v>
      </c>
    </row>
    <row r="306" spans="1:6">
      <c r="A306" t="str">
        <f>"E1098-3"</f>
        <v>E1098-3</v>
      </c>
      <c r="B306" t="str">
        <f t="shared" si="34"/>
        <v>PIAZZA BERNARDO POCH  4-</v>
      </c>
      <c r="C306" t="str">
        <f t="shared" si="35"/>
        <v>3</v>
      </c>
      <c r="D306">
        <v>55</v>
      </c>
      <c r="E306" t="str">
        <f>"170"</f>
        <v>170</v>
      </c>
      <c r="F306" t="str">
        <f t="shared" si="36"/>
        <v>0000</v>
      </c>
    </row>
    <row r="307" spans="1:6">
      <c r="C307" t="str">
        <f t="shared" si="35"/>
        <v>3</v>
      </c>
      <c r="D307">
        <v>55</v>
      </c>
      <c r="E307" t="str">
        <f>"171"</f>
        <v>171</v>
      </c>
      <c r="F307" t="str">
        <f t="shared" si="36"/>
        <v>0000</v>
      </c>
    </row>
    <row r="308" spans="1:6">
      <c r="A308" t="str">
        <f>"E1098-4"</f>
        <v>E1098-4</v>
      </c>
      <c r="B308" t="str">
        <f t="shared" si="34"/>
        <v>PIAZZA BERNARDO POCH  4-</v>
      </c>
      <c r="C308" t="str">
        <f t="shared" si="35"/>
        <v>3</v>
      </c>
      <c r="D308">
        <v>55</v>
      </c>
      <c r="E308" t="str">
        <f>"170"</f>
        <v>170</v>
      </c>
      <c r="F308" t="str">
        <f t="shared" si="36"/>
        <v>0000</v>
      </c>
    </row>
    <row r="309" spans="1:6">
      <c r="C309" t="str">
        <f t="shared" si="35"/>
        <v>3</v>
      </c>
      <c r="D309">
        <v>55</v>
      </c>
      <c r="E309" t="str">
        <f>"171"</f>
        <v>171</v>
      </c>
      <c r="F309" t="str">
        <f t="shared" si="36"/>
        <v>0000</v>
      </c>
    </row>
    <row r="310" spans="1:6">
      <c r="A310" t="str">
        <f>"E1099-1"</f>
        <v>E1099-1</v>
      </c>
      <c r="B310" t="str">
        <f>"VIA VADO  35R-"</f>
        <v>VIA VADO  35R-</v>
      </c>
      <c r="C310" t="str">
        <f t="shared" ref="C310:C330" si="37">"SEP"</f>
        <v>SEP</v>
      </c>
      <c r="D310">
        <v>55</v>
      </c>
      <c r="E310" t="str">
        <f>"175"</f>
        <v>175</v>
      </c>
      <c r="F310" t="str">
        <f>"1"</f>
        <v>1</v>
      </c>
    </row>
    <row r="311" spans="1:6">
      <c r="A311" t="str">
        <f>"E1099-2"</f>
        <v>E1099-2</v>
      </c>
      <c r="B311" t="str">
        <f>"VIA VADO  17-"</f>
        <v>VIA VADO  17-</v>
      </c>
      <c r="C311" t="str">
        <f t="shared" si="37"/>
        <v>SEP</v>
      </c>
      <c r="D311">
        <v>55</v>
      </c>
      <c r="E311" t="str">
        <f>"175"</f>
        <v>175</v>
      </c>
      <c r="F311" t="str">
        <f>"2"</f>
        <v>2</v>
      </c>
    </row>
    <row r="312" spans="1:6">
      <c r="A312" t="str">
        <f>"E1099-3"</f>
        <v>E1099-3</v>
      </c>
      <c r="B312" t="str">
        <f>"PIAZZA BERNARDO POCH  4-"</f>
        <v>PIAZZA BERNARDO POCH  4-</v>
      </c>
      <c r="C312" t="str">
        <f t="shared" si="37"/>
        <v>SEP</v>
      </c>
      <c r="D312">
        <v>55</v>
      </c>
      <c r="E312" t="str">
        <f>"175"</f>
        <v>175</v>
      </c>
      <c r="F312" t="str">
        <f>"3"</f>
        <v>3</v>
      </c>
    </row>
    <row r="313" spans="1:6">
      <c r="A313" t="str">
        <f>"E1099-4"</f>
        <v>E1099-4</v>
      </c>
      <c r="B313" t="str">
        <f>"VIA VADO  35R-"</f>
        <v>VIA VADO  35R-</v>
      </c>
      <c r="C313" t="str">
        <f t="shared" si="37"/>
        <v>SEP</v>
      </c>
      <c r="D313">
        <v>55</v>
      </c>
      <c r="E313" t="str">
        <f t="shared" ref="E313:E318" si="38">"176"</f>
        <v>176</v>
      </c>
      <c r="F313" t="str">
        <f>"1"</f>
        <v>1</v>
      </c>
    </row>
    <row r="314" spans="1:6">
      <c r="A314" t="str">
        <f>"E1099-5"</f>
        <v>E1099-5</v>
      </c>
      <c r="B314" t="str">
        <f>"VIA VADO  37R-"</f>
        <v>VIA VADO  37R-</v>
      </c>
      <c r="C314" t="str">
        <f t="shared" si="37"/>
        <v>SEP</v>
      </c>
      <c r="D314">
        <v>55</v>
      </c>
      <c r="E314" t="str">
        <f t="shared" si="38"/>
        <v>176</v>
      </c>
      <c r="F314" t="str">
        <f>"2"</f>
        <v>2</v>
      </c>
    </row>
    <row r="315" spans="1:6">
      <c r="A315" t="str">
        <f>"E1099-6"</f>
        <v>E1099-6</v>
      </c>
      <c r="B315" t="str">
        <f>"VIA VADO  41R-"</f>
        <v>VIA VADO  41R-</v>
      </c>
      <c r="C315" t="str">
        <f t="shared" si="37"/>
        <v>SEP</v>
      </c>
      <c r="D315">
        <v>55</v>
      </c>
      <c r="E315" t="str">
        <f t="shared" si="38"/>
        <v>176</v>
      </c>
      <c r="F315" t="str">
        <f>"3"</f>
        <v>3</v>
      </c>
    </row>
    <row r="316" spans="1:6">
      <c r="A316" t="str">
        <f>"E1099-7"</f>
        <v>E1099-7</v>
      </c>
      <c r="B316" t="str">
        <f>"PIAZZA BERNARDO POCH  4-"</f>
        <v>PIAZZA BERNARDO POCH  4-</v>
      </c>
      <c r="C316" t="str">
        <f t="shared" si="37"/>
        <v>SEP</v>
      </c>
      <c r="D316">
        <v>55</v>
      </c>
      <c r="E316" t="str">
        <f t="shared" si="38"/>
        <v>176</v>
      </c>
      <c r="F316" t="str">
        <f>"4"</f>
        <v>4</v>
      </c>
    </row>
    <row r="317" spans="1:6">
      <c r="A317" t="str">
        <f>"E1099-8"</f>
        <v>E1099-8</v>
      </c>
      <c r="B317" t="str">
        <f>"VIA VADO  19-"</f>
        <v>VIA VADO  19-</v>
      </c>
      <c r="C317" t="str">
        <f t="shared" si="37"/>
        <v>SEP</v>
      </c>
      <c r="D317">
        <v>55</v>
      </c>
      <c r="E317" t="str">
        <f t="shared" si="38"/>
        <v>176</v>
      </c>
      <c r="F317" t="str">
        <f>"5"</f>
        <v>5</v>
      </c>
    </row>
    <row r="318" spans="1:6">
      <c r="A318" t="str">
        <f>"E1099-9"</f>
        <v>E1099-9</v>
      </c>
      <c r="B318" t="str">
        <f>"VIA VADO  19-"</f>
        <v>VIA VADO  19-</v>
      </c>
      <c r="C318" t="str">
        <f t="shared" si="37"/>
        <v>SEP</v>
      </c>
      <c r="D318">
        <v>55</v>
      </c>
      <c r="E318" t="str">
        <f t="shared" si="38"/>
        <v>176</v>
      </c>
      <c r="F318" t="str">
        <f>"6"</f>
        <v>6</v>
      </c>
    </row>
    <row r="319" spans="1:6">
      <c r="C319" t="str">
        <f t="shared" si="37"/>
        <v>SEP</v>
      </c>
      <c r="D319">
        <v>55</v>
      </c>
      <c r="E319" t="str">
        <f t="shared" ref="E319:E329" si="39">"177"</f>
        <v>177</v>
      </c>
      <c r="F319" t="str">
        <f>"8"</f>
        <v>8</v>
      </c>
    </row>
    <row r="320" spans="1:6">
      <c r="A320" t="str">
        <f>"E1099-10"</f>
        <v>E1099-10</v>
      </c>
      <c r="B320" t="str">
        <f>"VIA VADO  43R-"</f>
        <v>VIA VADO  43R-</v>
      </c>
      <c r="C320" t="str">
        <f t="shared" si="37"/>
        <v>SEP</v>
      </c>
      <c r="D320">
        <v>55</v>
      </c>
      <c r="E320" t="str">
        <f t="shared" si="39"/>
        <v>177</v>
      </c>
      <c r="F320" t="str">
        <f>"1"</f>
        <v>1</v>
      </c>
    </row>
    <row r="321" spans="1:6">
      <c r="A321" t="str">
        <f>"E1099-11"</f>
        <v>E1099-11</v>
      </c>
      <c r="B321" t="str">
        <f>"VIA VADO  45R-"</f>
        <v>VIA VADO  45R-</v>
      </c>
      <c r="C321" t="str">
        <f t="shared" si="37"/>
        <v>SEP</v>
      </c>
      <c r="D321">
        <v>55</v>
      </c>
      <c r="E321" t="str">
        <f t="shared" si="39"/>
        <v>177</v>
      </c>
      <c r="F321" t="str">
        <f>"2"</f>
        <v>2</v>
      </c>
    </row>
    <row r="322" spans="1:6">
      <c r="A322" t="str">
        <f>"E1099-12"</f>
        <v>E1099-12</v>
      </c>
      <c r="B322" t="str">
        <f>"VIA VADO  49R-"</f>
        <v>VIA VADO  49R-</v>
      </c>
      <c r="C322" t="str">
        <f t="shared" si="37"/>
        <v>SEP</v>
      </c>
      <c r="D322">
        <v>55</v>
      </c>
      <c r="E322" t="str">
        <f t="shared" si="39"/>
        <v>177</v>
      </c>
      <c r="F322" t="str">
        <f>"3"</f>
        <v>3</v>
      </c>
    </row>
    <row r="323" spans="1:6">
      <c r="A323" t="str">
        <f>"E1099-13"</f>
        <v>E1099-13</v>
      </c>
      <c r="B323" t="str">
        <f>"VIA VADO  53R-"</f>
        <v>VIA VADO  53R-</v>
      </c>
      <c r="C323" t="str">
        <f t="shared" si="37"/>
        <v>SEP</v>
      </c>
      <c r="D323">
        <v>55</v>
      </c>
      <c r="E323" t="str">
        <f t="shared" si="39"/>
        <v>177</v>
      </c>
      <c r="F323" t="str">
        <f>"4"</f>
        <v>4</v>
      </c>
    </row>
    <row r="324" spans="1:6">
      <c r="A324" t="str">
        <f>"E1099-14"</f>
        <v>E1099-14</v>
      </c>
      <c r="B324" t="str">
        <f>"VIA VADO  19-"</f>
        <v>VIA VADO  19-</v>
      </c>
      <c r="C324" t="str">
        <f t="shared" si="37"/>
        <v>SEP</v>
      </c>
      <c r="D324">
        <v>55</v>
      </c>
      <c r="E324" t="str">
        <f t="shared" si="39"/>
        <v>177</v>
      </c>
      <c r="F324" t="str">
        <f>"5"</f>
        <v>5</v>
      </c>
    </row>
    <row r="325" spans="1:6">
      <c r="A325" t="str">
        <f>"E1099-15"</f>
        <v>E1099-15</v>
      </c>
      <c r="B325" t="str">
        <f>"VIA VADO  21-"</f>
        <v>VIA VADO  21-</v>
      </c>
      <c r="C325" t="str">
        <f t="shared" si="37"/>
        <v>SEP</v>
      </c>
      <c r="D325">
        <v>55</v>
      </c>
      <c r="E325" t="str">
        <f t="shared" si="39"/>
        <v>177</v>
      </c>
      <c r="F325" t="str">
        <f>"6"</f>
        <v>6</v>
      </c>
    </row>
    <row r="326" spans="1:6">
      <c r="A326" t="str">
        <f>"E1099-16"</f>
        <v>E1099-16</v>
      </c>
      <c r="B326" t="str">
        <f>"VIA VADO  21-"</f>
        <v>VIA VADO  21-</v>
      </c>
      <c r="C326" t="str">
        <f t="shared" si="37"/>
        <v>SEP</v>
      </c>
      <c r="D326">
        <v>55</v>
      </c>
      <c r="E326" t="str">
        <f t="shared" si="39"/>
        <v>177</v>
      </c>
      <c r="F326" t="str">
        <f>"7"</f>
        <v>7</v>
      </c>
    </row>
    <row r="327" spans="1:6">
      <c r="A327" t="str">
        <f>"E1099-17"</f>
        <v>E1099-17</v>
      </c>
      <c r="B327" t="str">
        <f>"VIA VADO  21-"</f>
        <v>VIA VADO  21-</v>
      </c>
      <c r="C327" t="str">
        <f t="shared" si="37"/>
        <v>SEP</v>
      </c>
      <c r="D327">
        <v>55</v>
      </c>
      <c r="E327" t="str">
        <f t="shared" si="39"/>
        <v>177</v>
      </c>
      <c r="F327" t="str">
        <f>"9"</f>
        <v>9</v>
      </c>
    </row>
    <row r="328" spans="1:6">
      <c r="A328" t="str">
        <f>"E1099-18"</f>
        <v>E1099-18</v>
      </c>
      <c r="B328" t="str">
        <f>"VIA VADO  21-"</f>
        <v>VIA VADO  21-</v>
      </c>
      <c r="C328" t="str">
        <f t="shared" si="37"/>
        <v>SEP</v>
      </c>
      <c r="D328">
        <v>55</v>
      </c>
      <c r="E328" t="str">
        <f t="shared" si="39"/>
        <v>177</v>
      </c>
      <c r="F328" t="str">
        <f>"10"</f>
        <v>10</v>
      </c>
    </row>
    <row r="329" spans="1:6">
      <c r="A329" t="str">
        <f>"E1099-19"</f>
        <v>E1099-19</v>
      </c>
      <c r="B329" t="str">
        <f>"VIA VADO  17-"</f>
        <v>VIA VADO  17-</v>
      </c>
      <c r="C329" t="str">
        <f t="shared" si="37"/>
        <v>SEP</v>
      </c>
      <c r="D329">
        <v>55</v>
      </c>
      <c r="E329" t="str">
        <f t="shared" si="39"/>
        <v>177</v>
      </c>
      <c r="F329" t="str">
        <f>"11"</f>
        <v>11</v>
      </c>
    </row>
    <row r="330" spans="1:6">
      <c r="A330" t="str">
        <f>"E1100-2"</f>
        <v>E1100-2</v>
      </c>
      <c r="B330" t="str">
        <f>"PIAZZA ALBERTINA  13R-"</f>
        <v>PIAZZA ALBERTINA  13R-</v>
      </c>
      <c r="C330" t="str">
        <f t="shared" si="37"/>
        <v>SEP</v>
      </c>
      <c r="D330">
        <v>55</v>
      </c>
      <c r="E330" t="str">
        <f>"247"</f>
        <v>247</v>
      </c>
      <c r="F330" t="str">
        <f t="shared" ref="F330:F340" si="40">"0000"</f>
        <v>0000</v>
      </c>
    </row>
    <row r="331" spans="1:6">
      <c r="A331" t="str">
        <f>"E1101-1"</f>
        <v>E1101-1</v>
      </c>
      <c r="B331" t="str">
        <f>"PIAZZA ALBERTINA  5A-"</f>
        <v>PIAZZA ALBERTINA  5A-</v>
      </c>
      <c r="C331" t="str">
        <f t="shared" ref="C331:C338" si="41">"3"</f>
        <v>3</v>
      </c>
      <c r="D331">
        <v>55</v>
      </c>
      <c r="E331" t="str">
        <f>"169"</f>
        <v>169</v>
      </c>
      <c r="F331" t="str">
        <f t="shared" si="40"/>
        <v>0000</v>
      </c>
    </row>
    <row r="332" spans="1:6">
      <c r="C332" t="str">
        <f t="shared" si="41"/>
        <v>3</v>
      </c>
      <c r="D332">
        <v>55</v>
      </c>
      <c r="E332" t="str">
        <f>"771"</f>
        <v>771</v>
      </c>
      <c r="F332" t="str">
        <f t="shared" si="40"/>
        <v>0000</v>
      </c>
    </row>
    <row r="333" spans="1:6">
      <c r="A333" t="str">
        <f>"E1103-1"</f>
        <v>E1103-1</v>
      </c>
      <c r="B333" t="str">
        <f t="shared" ref="B333:B337" si="42">"VIA SIGISMONDO MUSCOLA  23-"</f>
        <v>VIA SIGISMONDO MUSCOLA  23-</v>
      </c>
      <c r="C333" t="str">
        <f t="shared" si="41"/>
        <v>3</v>
      </c>
      <c r="D333">
        <v>70</v>
      </c>
      <c r="E333" t="str">
        <f>"193"</f>
        <v>193</v>
      </c>
      <c r="F333" t="str">
        <f t="shared" si="40"/>
        <v>0000</v>
      </c>
    </row>
    <row r="334" spans="1:6">
      <c r="C334" t="str">
        <f t="shared" si="41"/>
        <v>3</v>
      </c>
      <c r="D334">
        <v>70</v>
      </c>
      <c r="E334" t="str">
        <f>"25"</f>
        <v>25</v>
      </c>
      <c r="F334" t="str">
        <f t="shared" si="40"/>
        <v>0000</v>
      </c>
    </row>
    <row r="335" spans="1:6">
      <c r="A335" t="str">
        <f>"E1103-2"</f>
        <v>E1103-2</v>
      </c>
      <c r="B335" t="str">
        <f t="shared" si="42"/>
        <v>VIA SIGISMONDO MUSCOLA  23-</v>
      </c>
      <c r="C335" t="str">
        <f t="shared" si="41"/>
        <v>3</v>
      </c>
      <c r="D335">
        <v>70</v>
      </c>
      <c r="E335" t="str">
        <f>"193"</f>
        <v>193</v>
      </c>
      <c r="F335" t="str">
        <f t="shared" si="40"/>
        <v>0000</v>
      </c>
    </row>
    <row r="336" spans="1:6">
      <c r="C336" t="str">
        <f t="shared" si="41"/>
        <v>3</v>
      </c>
      <c r="D336">
        <v>70</v>
      </c>
      <c r="E336" t="str">
        <f>"25"</f>
        <v>25</v>
      </c>
      <c r="F336" t="str">
        <f t="shared" si="40"/>
        <v>0000</v>
      </c>
    </row>
    <row r="337" spans="1:6">
      <c r="A337" t="str">
        <f>"E1103-3"</f>
        <v>E1103-3</v>
      </c>
      <c r="B337" t="str">
        <f t="shared" si="42"/>
        <v>VIA SIGISMONDO MUSCOLA  23-</v>
      </c>
      <c r="C337" t="str">
        <f t="shared" si="41"/>
        <v>3</v>
      </c>
      <c r="D337">
        <v>70</v>
      </c>
      <c r="E337" t="str">
        <f>"193"</f>
        <v>193</v>
      </c>
      <c r="F337" t="str">
        <f t="shared" si="40"/>
        <v>0000</v>
      </c>
    </row>
    <row r="338" spans="1:6">
      <c r="C338" t="str">
        <f t="shared" si="41"/>
        <v>3</v>
      </c>
      <c r="D338">
        <v>70</v>
      </c>
      <c r="E338" t="str">
        <f>"25"</f>
        <v>25</v>
      </c>
      <c r="F338" t="str">
        <f t="shared" si="40"/>
        <v>0000</v>
      </c>
    </row>
    <row r="339" spans="1:6">
      <c r="A339" t="str">
        <f>"E1105-1"</f>
        <v>E1105-1</v>
      </c>
      <c r="B339" t="str">
        <f>"VIA RENATA BIANCHI  1D-"</f>
        <v>VIA RENATA BIANCHI  1D-</v>
      </c>
      <c r="C339" t="str">
        <f>"COR"</f>
        <v>COR</v>
      </c>
      <c r="D339">
        <v>78</v>
      </c>
      <c r="E339" t="str">
        <f>"777"</f>
        <v>777</v>
      </c>
      <c r="F339" t="str">
        <f t="shared" si="40"/>
        <v>0000</v>
      </c>
    </row>
    <row r="340" spans="1:6">
      <c r="C340" t="str">
        <f>"COR"</f>
        <v>COR</v>
      </c>
      <c r="D340">
        <v>78</v>
      </c>
      <c r="E340" t="str">
        <f>"800"</f>
        <v>800</v>
      </c>
      <c r="F340" t="str">
        <f t="shared" si="40"/>
        <v>0000</v>
      </c>
    </row>
    <row r="341" spans="1:6">
      <c r="A341" t="str">
        <f>"E1107-1"</f>
        <v>E1107-1</v>
      </c>
      <c r="B341" t="str">
        <f>"VIA BORZOLI  21B-"</f>
        <v>VIA BORZOLI  21B-</v>
      </c>
      <c r="C341" t="str">
        <f>"BOR"</f>
        <v>BOR</v>
      </c>
      <c r="D341">
        <v>70</v>
      </c>
      <c r="E341" t="str">
        <f>"590"</f>
        <v>590</v>
      </c>
      <c r="F341" t="str">
        <f>"3"</f>
        <v>3</v>
      </c>
    </row>
    <row r="342" spans="1:6">
      <c r="A342" t="str">
        <f>"E1107-2"</f>
        <v>E1107-2</v>
      </c>
      <c r="B342" t="str">
        <f>"VIA BORZOLI  21-"</f>
        <v>VIA BORZOLI  21-</v>
      </c>
      <c r="C342" t="str">
        <f>"3"</f>
        <v>3</v>
      </c>
      <c r="D342">
        <v>70</v>
      </c>
      <c r="E342" t="str">
        <f>"590"</f>
        <v>590</v>
      </c>
      <c r="F342" t="str">
        <f t="shared" ref="F342:F375" si="43">"0000"</f>
        <v>0000</v>
      </c>
    </row>
    <row r="343" spans="1:6">
      <c r="C343" t="str">
        <f>"3"</f>
        <v>3</v>
      </c>
      <c r="D343">
        <v>70</v>
      </c>
      <c r="E343" t="str">
        <f>"96"</f>
        <v>96</v>
      </c>
      <c r="F343" t="str">
        <f t="shared" si="43"/>
        <v>0000</v>
      </c>
    </row>
    <row r="344" spans="1:6">
      <c r="A344" t="str">
        <f>"E1107-3"</f>
        <v>E1107-3</v>
      </c>
      <c r="B344" t="str">
        <f>"VIA BORZOLI  21-"</f>
        <v>VIA BORZOLI  21-</v>
      </c>
      <c r="C344" t="str">
        <f>"3"</f>
        <v>3</v>
      </c>
      <c r="D344">
        <v>70</v>
      </c>
      <c r="E344" t="str">
        <f>"590"</f>
        <v>590</v>
      </c>
      <c r="F344" t="str">
        <f t="shared" si="43"/>
        <v>0000</v>
      </c>
    </row>
    <row r="345" spans="1:6">
      <c r="A345" t="str">
        <f>"E1107-3"</f>
        <v>E1107-3</v>
      </c>
      <c r="B345" t="str">
        <f>"VIA BORZOLI  21-"</f>
        <v>VIA BORZOLI  21-</v>
      </c>
      <c r="C345" t="str">
        <f>"3"</f>
        <v>3</v>
      </c>
      <c r="D345">
        <v>70</v>
      </c>
      <c r="E345" t="str">
        <f>"96"</f>
        <v>96</v>
      </c>
      <c r="F345" t="str">
        <f t="shared" si="43"/>
        <v>0000</v>
      </c>
    </row>
    <row r="346" spans="1:6">
      <c r="A346" t="str">
        <f>"E1108-1"</f>
        <v>E1108-1</v>
      </c>
      <c r="B346" t="str">
        <f>"VIA SANT ALBERTO  44-"</f>
        <v>VIA SANT ALBERTO  44-</v>
      </c>
      <c r="C346" t="str">
        <f>"SEP"</f>
        <v>SEP</v>
      </c>
      <c r="D346">
        <v>51</v>
      </c>
      <c r="E346" t="str">
        <f>"160"</f>
        <v>160</v>
      </c>
      <c r="F346" t="str">
        <f t="shared" si="43"/>
        <v>0000</v>
      </c>
    </row>
    <row r="347" spans="1:6">
      <c r="A347" t="str">
        <f>"E1116-1"</f>
        <v>E1116-1</v>
      </c>
      <c r="B347" t="str">
        <f>"VIA DELL ACCIAIO VICINO AL 80-"</f>
        <v>VIA DELL ACCIAIO VICINO AL 80-</v>
      </c>
      <c r="C347" t="str">
        <f t="shared" ref="C347:C375" si="44">"3"</f>
        <v>3</v>
      </c>
      <c r="D347">
        <v>76</v>
      </c>
      <c r="E347" t="str">
        <f>"1062"</f>
        <v>1062</v>
      </c>
      <c r="F347" t="str">
        <f t="shared" si="43"/>
        <v>0000</v>
      </c>
    </row>
    <row r="348" spans="1:6">
      <c r="C348" t="str">
        <f t="shared" si="44"/>
        <v>3</v>
      </c>
      <c r="D348">
        <v>76</v>
      </c>
      <c r="E348" t="str">
        <f>"316"</f>
        <v>316</v>
      </c>
      <c r="F348" t="str">
        <f t="shared" si="43"/>
        <v>0000</v>
      </c>
    </row>
    <row r="349" spans="1:6">
      <c r="C349" t="str">
        <f t="shared" si="44"/>
        <v>3</v>
      </c>
      <c r="D349">
        <v>76</v>
      </c>
      <c r="E349" t="str">
        <f>"446"</f>
        <v>446</v>
      </c>
      <c r="F349" t="str">
        <f t="shared" si="43"/>
        <v>0000</v>
      </c>
    </row>
    <row r="350" spans="1:6">
      <c r="C350" t="str">
        <f t="shared" si="44"/>
        <v>3</v>
      </c>
      <c r="D350">
        <v>76</v>
      </c>
      <c r="E350" t="str">
        <f>"196"</f>
        <v>196</v>
      </c>
      <c r="F350" t="str">
        <f t="shared" si="43"/>
        <v>0000</v>
      </c>
    </row>
    <row r="351" spans="1:6">
      <c r="A351" t="str">
        <f>"E1117-1"</f>
        <v>E1117-1</v>
      </c>
      <c r="B351" t="str">
        <f>"VIA SANT ALBERTO VICINO AL 44-"</f>
        <v>VIA SANT ALBERTO VICINO AL 44-</v>
      </c>
      <c r="C351" t="str">
        <f t="shared" si="44"/>
        <v>3</v>
      </c>
      <c r="D351">
        <v>51</v>
      </c>
      <c r="E351" t="str">
        <f>"1000"</f>
        <v>1000</v>
      </c>
      <c r="F351" t="str">
        <f t="shared" si="43"/>
        <v>0000</v>
      </c>
    </row>
    <row r="352" spans="1:6">
      <c r="A352" t="str">
        <f>"E1118-1"</f>
        <v>E1118-1</v>
      </c>
      <c r="B352" t="str">
        <f>"PASSO RUSCAROLO  60-"</f>
        <v>PASSO RUSCAROLO  60-</v>
      </c>
      <c r="C352" t="str">
        <f t="shared" si="44"/>
        <v>3</v>
      </c>
      <c r="D352">
        <v>70</v>
      </c>
      <c r="E352" t="str">
        <f>"152"</f>
        <v>152</v>
      </c>
      <c r="F352" t="str">
        <f t="shared" si="43"/>
        <v>0000</v>
      </c>
    </row>
    <row r="353" spans="1:6">
      <c r="C353" t="str">
        <f t="shared" si="44"/>
        <v>3</v>
      </c>
      <c r="D353">
        <v>70</v>
      </c>
      <c r="E353" t="str">
        <f>"352"</f>
        <v>352</v>
      </c>
      <c r="F353" t="str">
        <f t="shared" si="43"/>
        <v>0000</v>
      </c>
    </row>
    <row r="354" spans="1:6">
      <c r="C354" t="str">
        <f t="shared" si="44"/>
        <v>3</v>
      </c>
      <c r="D354">
        <v>70</v>
      </c>
      <c r="E354" t="str">
        <f>"368"</f>
        <v>368</v>
      </c>
      <c r="F354" t="str">
        <f t="shared" si="43"/>
        <v>0000</v>
      </c>
    </row>
    <row r="355" spans="1:6">
      <c r="C355" t="str">
        <f t="shared" si="44"/>
        <v>3</v>
      </c>
      <c r="D355">
        <v>70</v>
      </c>
      <c r="E355" t="str">
        <f>"369"</f>
        <v>369</v>
      </c>
      <c r="F355" t="str">
        <f t="shared" si="43"/>
        <v>0000</v>
      </c>
    </row>
    <row r="356" spans="1:6">
      <c r="C356" t="str">
        <f t="shared" si="44"/>
        <v>3</v>
      </c>
      <c r="D356">
        <v>70</v>
      </c>
      <c r="E356" t="str">
        <f>"353"</f>
        <v>353</v>
      </c>
      <c r="F356" t="str">
        <f t="shared" si="43"/>
        <v>0000</v>
      </c>
    </row>
    <row r="357" spans="1:6">
      <c r="C357" t="str">
        <f t="shared" si="44"/>
        <v>3</v>
      </c>
      <c r="D357">
        <v>70</v>
      </c>
      <c r="E357" t="str">
        <f>"161"</f>
        <v>161</v>
      </c>
      <c r="F357" t="str">
        <f t="shared" si="43"/>
        <v>0000</v>
      </c>
    </row>
    <row r="358" spans="1:6">
      <c r="C358" t="str">
        <f t="shared" si="44"/>
        <v>3</v>
      </c>
      <c r="D358">
        <v>70</v>
      </c>
      <c r="E358" t="str">
        <f>"351"</f>
        <v>351</v>
      </c>
      <c r="F358" t="str">
        <f t="shared" si="43"/>
        <v>0000</v>
      </c>
    </row>
    <row r="359" spans="1:6">
      <c r="A359" t="str">
        <f>"E1119-1"</f>
        <v>E1119-1</v>
      </c>
      <c r="B359" t="str">
        <f>"VIA GIOTTO  2-"</f>
        <v>VIA GIOTTO  2-</v>
      </c>
      <c r="C359" t="str">
        <f t="shared" si="44"/>
        <v>3</v>
      </c>
      <c r="D359">
        <v>72</v>
      </c>
      <c r="E359" t="str">
        <f>"140"</f>
        <v>140</v>
      </c>
      <c r="F359" t="str">
        <f t="shared" si="43"/>
        <v>0000</v>
      </c>
    </row>
    <row r="360" spans="1:6">
      <c r="C360" t="str">
        <f t="shared" si="44"/>
        <v>3</v>
      </c>
      <c r="D360">
        <v>72</v>
      </c>
      <c r="E360" t="str">
        <f>"49"</f>
        <v>49</v>
      </c>
      <c r="F360" t="str">
        <f t="shared" si="43"/>
        <v>0000</v>
      </c>
    </row>
    <row r="361" spans="1:6">
      <c r="C361" t="str">
        <f t="shared" si="44"/>
        <v>3</v>
      </c>
      <c r="D361">
        <v>72</v>
      </c>
      <c r="E361" t="str">
        <f>"50"</f>
        <v>50</v>
      </c>
      <c r="F361" t="str">
        <f t="shared" si="43"/>
        <v>0000</v>
      </c>
    </row>
    <row r="362" spans="1:6">
      <c r="C362" t="str">
        <f t="shared" si="44"/>
        <v>3</v>
      </c>
      <c r="D362">
        <v>72</v>
      </c>
      <c r="E362" t="str">
        <f>"46"</f>
        <v>46</v>
      </c>
      <c r="F362" t="str">
        <f t="shared" si="43"/>
        <v>0000</v>
      </c>
    </row>
    <row r="363" spans="1:6">
      <c r="C363" t="str">
        <f t="shared" si="44"/>
        <v>3</v>
      </c>
      <c r="D363">
        <v>72</v>
      </c>
      <c r="E363" t="str">
        <f>"48"</f>
        <v>48</v>
      </c>
      <c r="F363" t="str">
        <f t="shared" si="43"/>
        <v>0000</v>
      </c>
    </row>
    <row r="364" spans="1:6">
      <c r="A364" t="str">
        <f>"E1150-1"</f>
        <v>E1150-1</v>
      </c>
      <c r="B364" t="str">
        <f>"VIA MARIO BOEDDU  8-"</f>
        <v>VIA MARIO BOEDDU  8-</v>
      </c>
      <c r="C364" t="str">
        <f t="shared" si="44"/>
        <v>3</v>
      </c>
      <c r="D364">
        <v>76</v>
      </c>
      <c r="E364" t="str">
        <f>"56"</f>
        <v>56</v>
      </c>
      <c r="F364" t="str">
        <f t="shared" si="43"/>
        <v>0000</v>
      </c>
    </row>
    <row r="365" spans="1:6">
      <c r="C365" t="str">
        <f t="shared" si="44"/>
        <v>3</v>
      </c>
      <c r="D365">
        <v>76</v>
      </c>
      <c r="E365" t="str">
        <f>"933"</f>
        <v>933</v>
      </c>
      <c r="F365" t="str">
        <f t="shared" si="43"/>
        <v>0000</v>
      </c>
    </row>
    <row r="366" spans="1:6">
      <c r="C366" t="str">
        <f t="shared" si="44"/>
        <v>3</v>
      </c>
      <c r="D366">
        <v>76</v>
      </c>
      <c r="E366" t="str">
        <f>"934"</f>
        <v>934</v>
      </c>
      <c r="F366" t="str">
        <f t="shared" si="43"/>
        <v>0000</v>
      </c>
    </row>
    <row r="367" spans="1:6">
      <c r="C367" t="str">
        <f t="shared" si="44"/>
        <v>3</v>
      </c>
      <c r="D367">
        <v>76</v>
      </c>
      <c r="E367" t="str">
        <f>"935"</f>
        <v>935</v>
      </c>
      <c r="F367" t="str">
        <f t="shared" si="43"/>
        <v>0000</v>
      </c>
    </row>
    <row r="368" spans="1:6">
      <c r="C368" t="str">
        <f t="shared" si="44"/>
        <v>3</v>
      </c>
      <c r="D368">
        <v>76</v>
      </c>
      <c r="E368" t="str">
        <f>"57"</f>
        <v>57</v>
      </c>
      <c r="F368" t="str">
        <f t="shared" si="43"/>
        <v>0000</v>
      </c>
    </row>
    <row r="369" spans="1:6">
      <c r="A369" t="str">
        <f>"E1150-2"</f>
        <v>E1150-2</v>
      </c>
      <c r="B369" t="str">
        <f>"VIA MARIO BOEDDU  10-"</f>
        <v>VIA MARIO BOEDDU  10-</v>
      </c>
      <c r="C369" t="str">
        <f t="shared" si="44"/>
        <v>3</v>
      </c>
      <c r="D369">
        <v>76</v>
      </c>
      <c r="E369" t="str">
        <f>"56"</f>
        <v>56</v>
      </c>
      <c r="F369" t="str">
        <f t="shared" si="43"/>
        <v>0000</v>
      </c>
    </row>
    <row r="370" spans="1:6">
      <c r="C370" t="str">
        <f t="shared" si="44"/>
        <v>3</v>
      </c>
      <c r="D370">
        <v>76</v>
      </c>
      <c r="E370" t="str">
        <f>"935"</f>
        <v>935</v>
      </c>
      <c r="F370" t="str">
        <f t="shared" si="43"/>
        <v>0000</v>
      </c>
    </row>
    <row r="371" spans="1:6">
      <c r="C371" t="str">
        <f t="shared" si="44"/>
        <v>3</v>
      </c>
      <c r="D371">
        <v>76</v>
      </c>
      <c r="E371" t="str">
        <f>"934"</f>
        <v>934</v>
      </c>
      <c r="F371" t="str">
        <f t="shared" si="43"/>
        <v>0000</v>
      </c>
    </row>
    <row r="372" spans="1:6">
      <c r="C372" t="str">
        <f t="shared" si="44"/>
        <v>3</v>
      </c>
      <c r="D372">
        <v>76</v>
      </c>
      <c r="E372" t="str">
        <f>"57"</f>
        <v>57</v>
      </c>
      <c r="F372" t="str">
        <f t="shared" si="43"/>
        <v>0000</v>
      </c>
    </row>
    <row r="373" spans="1:6">
      <c r="C373" t="str">
        <f t="shared" si="44"/>
        <v>3</v>
      </c>
      <c r="D373">
        <v>76</v>
      </c>
      <c r="E373" t="str">
        <f>"933"</f>
        <v>933</v>
      </c>
      <c r="F373" t="str">
        <f t="shared" si="43"/>
        <v>0000</v>
      </c>
    </row>
    <row r="374" spans="1:6">
      <c r="A374" t="str">
        <f>"E1205-1"</f>
        <v>E1205-1</v>
      </c>
      <c r="B374" t="str">
        <f>"VIA BORZOLI VICINO AL 61B-"</f>
        <v>VIA BORZOLI VICINO AL 61B-</v>
      </c>
      <c r="C374" t="str">
        <f t="shared" si="44"/>
        <v>3</v>
      </c>
      <c r="D374">
        <v>66</v>
      </c>
      <c r="E374" t="str">
        <f>"275"</f>
        <v>275</v>
      </c>
      <c r="F374" t="str">
        <f t="shared" si="43"/>
        <v>0000</v>
      </c>
    </row>
    <row r="375" spans="1:6">
      <c r="A375" t="str">
        <f>"E1205-1"</f>
        <v>E1205-1</v>
      </c>
      <c r="B375" t="str">
        <f>"VIA BORZOLI VICINO AL 61B-"</f>
        <v>VIA BORZOLI VICINO AL 61B-</v>
      </c>
      <c r="C375" t="str">
        <f t="shared" si="44"/>
        <v>3</v>
      </c>
      <c r="D375">
        <v>66</v>
      </c>
      <c r="E375" t="str">
        <f>"C"</f>
        <v>C</v>
      </c>
      <c r="F375" t="str">
        <f t="shared" si="43"/>
        <v>0000</v>
      </c>
    </row>
    <row r="376" spans="1:6">
      <c r="A376" t="str">
        <f>"E1815-1"</f>
        <v>E1815-1</v>
      </c>
      <c r="B376" t="str">
        <f>"VIA FRANCESCO ROLLA  51R-"</f>
        <v>VIA FRANCESCO ROLLA  51R-</v>
      </c>
      <c r="C376" t="str">
        <f>"COR"</f>
        <v>COR</v>
      </c>
      <c r="D376">
        <v>78</v>
      </c>
      <c r="E376" t="str">
        <f>"226"</f>
        <v>226</v>
      </c>
      <c r="F376" t="str">
        <f>"1"</f>
        <v>1</v>
      </c>
    </row>
    <row r="377" spans="1:6">
      <c r="C377" t="str">
        <f>"COR"</f>
        <v>COR</v>
      </c>
      <c r="D377">
        <v>78</v>
      </c>
      <c r="E377" t="str">
        <f>"227"</f>
        <v>227</v>
      </c>
      <c r="F377" t="str">
        <f>"0000"</f>
        <v>0000</v>
      </c>
    </row>
    <row r="378" spans="1:6">
      <c r="A378" t="str">
        <f>"E1815-2"</f>
        <v>E1815-2</v>
      </c>
      <c r="B378" t="str">
        <f>"VIA FRANCESCO ROLLA  51R-"</f>
        <v>VIA FRANCESCO ROLLA  51R-</v>
      </c>
      <c r="C378" t="str">
        <f>"COR"</f>
        <v>COR</v>
      </c>
      <c r="D378">
        <v>78</v>
      </c>
      <c r="E378" t="str">
        <f>"226"</f>
        <v>226</v>
      </c>
      <c r="F378" t="str">
        <f>"45"</f>
        <v>45</v>
      </c>
    </row>
    <row r="379" spans="1:6">
      <c r="A379" t="str">
        <f>"E1836-1"</f>
        <v>E1836-1</v>
      </c>
      <c r="B379" t="str">
        <f>"VIA CASIMIRO CORRADI A CATASTO 8-"</f>
        <v>VIA CASIMIRO CORRADI A CATASTO 8-</v>
      </c>
      <c r="C379" t="str">
        <f>"SEP"</f>
        <v>SEP</v>
      </c>
      <c r="D379">
        <v>55</v>
      </c>
      <c r="E379" t="str">
        <f>"326"</f>
        <v>326</v>
      </c>
      <c r="F379" t="str">
        <f>"14"</f>
        <v>14</v>
      </c>
    </row>
    <row r="380" spans="1:6">
      <c r="A380" t="str">
        <f>"E1886-1"</f>
        <v>E1886-1</v>
      </c>
      <c r="B380" t="str">
        <f>"VIA SAN GIOVANNI BATTISTA  40-"</f>
        <v>VIA SAN GIOVANNI BATTISTA  40-</v>
      </c>
      <c r="C380" t="str">
        <f>"SEP"</f>
        <v>SEP</v>
      </c>
      <c r="D380">
        <v>55</v>
      </c>
      <c r="E380" t="str">
        <f>"721"</f>
        <v>721</v>
      </c>
      <c r="F380" t="str">
        <f>"9"</f>
        <v>9</v>
      </c>
    </row>
    <row r="381" spans="1:6">
      <c r="A381" t="str">
        <f>"E1910-1"</f>
        <v>E1910-1</v>
      </c>
      <c r="B381" t="str">
        <f>"VIA ROLLINO  92-"</f>
        <v>VIA ROLLINO  92-</v>
      </c>
      <c r="C381" t="str">
        <f>"SEP"</f>
        <v>SEP</v>
      </c>
      <c r="D381">
        <v>49</v>
      </c>
      <c r="E381" t="str">
        <f>"803"</f>
        <v>803</v>
      </c>
      <c r="F381" t="str">
        <f>"1"</f>
        <v>1</v>
      </c>
    </row>
    <row r="382" spans="1:6">
      <c r="A382" t="str">
        <f>"E1910-2"</f>
        <v>E1910-2</v>
      </c>
      <c r="B382" t="str">
        <f>"VIA ROLLINO  92-"</f>
        <v>VIA ROLLINO  92-</v>
      </c>
      <c r="C382" t="str">
        <f>"SEP"</f>
        <v>SEP</v>
      </c>
      <c r="D382">
        <v>49</v>
      </c>
      <c r="E382" t="str">
        <f>"803"</f>
        <v>803</v>
      </c>
      <c r="F382" t="str">
        <f>"2"</f>
        <v>2</v>
      </c>
    </row>
    <row r="383" spans="1:6">
      <c r="A383" t="str">
        <f>"E1928-1"</f>
        <v>E1928-1</v>
      </c>
      <c r="B383" t="str">
        <f>"CORSO FERDINANDO PERRONE  15-"</f>
        <v>CORSO FERDINANDO PERRONE  15-</v>
      </c>
      <c r="C383" t="str">
        <f>"COR"</f>
        <v>COR</v>
      </c>
      <c r="D383">
        <v>78</v>
      </c>
      <c r="E383" t="str">
        <f>"1067"</f>
        <v>1067</v>
      </c>
      <c r="F383" t="str">
        <f>"0000"</f>
        <v>0000</v>
      </c>
    </row>
    <row r="384" spans="1:6">
      <c r="A384" t="str">
        <f>"E1968-1"</f>
        <v>E1968-1</v>
      </c>
      <c r="B384" t="str">
        <f>"VIA NEGROPONTE  79A-"</f>
        <v>VIA NEGROPONTE  79A-</v>
      </c>
      <c r="C384" t="str">
        <f>"SEP"</f>
        <v>SEP</v>
      </c>
      <c r="D384">
        <v>51</v>
      </c>
      <c r="E384" t="str">
        <f>"958"</f>
        <v>958</v>
      </c>
      <c r="F384" t="str">
        <f>"36"</f>
        <v>36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682"/>
  <sheetViews>
    <sheetView workbookViewId="0"/>
  </sheetViews>
  <sheetFormatPr defaultRowHeight="12.75"/>
  <cols>
    <col min="1" max="1" width="19.5703125" bestFit="1" customWidth="1"/>
    <col min="2" max="2" width="40.710937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"E764-2"</f>
        <v>E764-2</v>
      </c>
      <c r="B2" t="str">
        <f>"VIA LEMERLE  17-"</f>
        <v>VIA LEMERLE  17-</v>
      </c>
      <c r="C2" t="str">
        <f>"VOL"</f>
        <v>VOL</v>
      </c>
      <c r="D2">
        <v>32</v>
      </c>
      <c r="E2" t="str">
        <f>"7"</f>
        <v>7</v>
      </c>
      <c r="F2" t="str">
        <f>"2"</f>
        <v>2</v>
      </c>
    </row>
    <row r="3" spans="1:6">
      <c r="A3" t="str">
        <f>"E764-3"</f>
        <v>E764-3</v>
      </c>
      <c r="B3" t="str">
        <f>"VIA LEMERLE  17-"</f>
        <v>VIA LEMERLE  17-</v>
      </c>
      <c r="C3" t="str">
        <f>"VOL"</f>
        <v>VOL</v>
      </c>
      <c r="D3">
        <v>32</v>
      </c>
      <c r="E3" t="str">
        <f>"7"</f>
        <v>7</v>
      </c>
      <c r="F3" t="str">
        <f>"3"</f>
        <v>3</v>
      </c>
    </row>
    <row r="4" spans="1:6">
      <c r="A4" t="str">
        <f>"E764-4"</f>
        <v>E764-4</v>
      </c>
      <c r="B4" t="str">
        <f>"VIA LEMERLE  17-"</f>
        <v>VIA LEMERLE  17-</v>
      </c>
      <c r="C4" t="str">
        <f>"VOL"</f>
        <v>VOL</v>
      </c>
      <c r="D4">
        <v>32</v>
      </c>
      <c r="E4" t="str">
        <f>"7"</f>
        <v>7</v>
      </c>
      <c r="F4" t="str">
        <f>"4"</f>
        <v>4</v>
      </c>
    </row>
    <row r="5" spans="1:6">
      <c r="A5" t="str">
        <f>"E764-5"</f>
        <v>E764-5</v>
      </c>
      <c r="B5" t="str">
        <f>"VIA LEMERLE  17-"</f>
        <v>VIA LEMERLE  17-</v>
      </c>
      <c r="C5" t="str">
        <f>"VOL"</f>
        <v>VOL</v>
      </c>
      <c r="D5">
        <v>32</v>
      </c>
      <c r="E5" t="str">
        <f>"7"</f>
        <v>7</v>
      </c>
      <c r="F5" t="str">
        <f>"5"</f>
        <v>5</v>
      </c>
    </row>
    <row r="6" spans="1:6">
      <c r="A6" t="str">
        <f>"E765-1"</f>
        <v>E765-1</v>
      </c>
      <c r="B6" t="str">
        <f>"VIA GASPARE BUFFA  1R-"</f>
        <v>VIA GASPARE BUFFA  1R-</v>
      </c>
      <c r="C6" t="str">
        <f>"2"</f>
        <v>2</v>
      </c>
      <c r="D6">
        <v>32</v>
      </c>
      <c r="E6" t="str">
        <f>"1"</f>
        <v>1</v>
      </c>
      <c r="F6" t="str">
        <f>"0000"</f>
        <v>0000</v>
      </c>
    </row>
    <row r="7" spans="1:6">
      <c r="C7" t="str">
        <f>"2"</f>
        <v>2</v>
      </c>
      <c r="D7">
        <v>32</v>
      </c>
      <c r="E7" t="str">
        <f>"2"</f>
        <v>2</v>
      </c>
      <c r="F7" t="str">
        <f>"0000"</f>
        <v>0000</v>
      </c>
    </row>
    <row r="8" spans="1:6">
      <c r="C8" t="str">
        <f>"2"</f>
        <v>2</v>
      </c>
      <c r="D8">
        <v>32</v>
      </c>
      <c r="E8" t="str">
        <f>"6"</f>
        <v>6</v>
      </c>
      <c r="F8" t="str">
        <f>"0000"</f>
        <v>0000</v>
      </c>
    </row>
    <row r="9" spans="1:6">
      <c r="C9" t="str">
        <f>"2"</f>
        <v>2</v>
      </c>
      <c r="D9">
        <v>32</v>
      </c>
      <c r="E9" t="str">
        <f>"5"</f>
        <v>5</v>
      </c>
      <c r="F9" t="str">
        <f>"0000"</f>
        <v>0000</v>
      </c>
    </row>
    <row r="10" spans="1:6">
      <c r="A10" t="str">
        <f>"E767-1"</f>
        <v>E767-1</v>
      </c>
      <c r="B10" t="str">
        <f>"VIA GASPARE BUFFA  2-"</f>
        <v>VIA GASPARE BUFFA  2-</v>
      </c>
      <c r="C10" t="str">
        <f>"VOL"</f>
        <v>VOL</v>
      </c>
      <c r="D10">
        <v>30</v>
      </c>
      <c r="E10" t="str">
        <f>"324"</f>
        <v>324</v>
      </c>
      <c r="F10" t="str">
        <f>"0000"</f>
        <v>0000</v>
      </c>
    </row>
    <row r="11" spans="1:6">
      <c r="A11" t="str">
        <f>"E769-1"</f>
        <v>E769-1</v>
      </c>
      <c r="B11" t="str">
        <f>"SALITA EGEO  16-"</f>
        <v>SALITA EGEO  16-</v>
      </c>
      <c r="C11" t="str">
        <f>"VOL"</f>
        <v>VOL</v>
      </c>
      <c r="D11">
        <v>31</v>
      </c>
      <c r="E11" t="str">
        <f>"77"</f>
        <v>77</v>
      </c>
      <c r="F11" t="str">
        <f>"1"</f>
        <v>1</v>
      </c>
    </row>
    <row r="12" spans="1:6">
      <c r="A12" t="str">
        <f>"E769-2"</f>
        <v>E769-2</v>
      </c>
      <c r="B12" t="str">
        <f>"SALITA EGEO  16-"</f>
        <v>SALITA EGEO  16-</v>
      </c>
      <c r="C12" t="str">
        <f>"VOL"</f>
        <v>VOL</v>
      </c>
      <c r="D12">
        <v>31</v>
      </c>
      <c r="E12" t="str">
        <f>"77"</f>
        <v>77</v>
      </c>
      <c r="F12" t="str">
        <f>"3"</f>
        <v>3</v>
      </c>
    </row>
    <row r="13" spans="1:6">
      <c r="A13" t="str">
        <f>"E769-3"</f>
        <v>E769-3</v>
      </c>
      <c r="B13" t="str">
        <f>"SALITA EGEO  16-"</f>
        <v>SALITA EGEO  16-</v>
      </c>
      <c r="C13" t="str">
        <f>"VOL"</f>
        <v>VOL</v>
      </c>
      <c r="D13">
        <v>31</v>
      </c>
      <c r="E13" t="str">
        <f>"77"</f>
        <v>77</v>
      </c>
      <c r="F13" t="str">
        <f>"4"</f>
        <v>4</v>
      </c>
    </row>
    <row r="14" spans="1:6">
      <c r="A14" t="str">
        <f>"E771-1"</f>
        <v>E771-1</v>
      </c>
      <c r="B14" t="str">
        <f>"PIAZZA VILLA GIUSTI  8R-"</f>
        <v>PIAZZA VILLA GIUSTI  8R-</v>
      </c>
      <c r="C14" t="str">
        <f>"2"</f>
        <v>2</v>
      </c>
      <c r="D14">
        <v>31</v>
      </c>
      <c r="E14" t="str">
        <f>"3"</f>
        <v>3</v>
      </c>
      <c r="F14" t="str">
        <f>"0000"</f>
        <v>0000</v>
      </c>
    </row>
    <row r="15" spans="1:6">
      <c r="C15" t="str">
        <f>"2"</f>
        <v>2</v>
      </c>
      <c r="D15">
        <v>31</v>
      </c>
      <c r="E15" t="str">
        <f>"841"</f>
        <v>841</v>
      </c>
      <c r="F15" t="str">
        <f>"0000"</f>
        <v>0000</v>
      </c>
    </row>
    <row r="16" spans="1:6">
      <c r="A16" t="str">
        <f>"E772-4"</f>
        <v>E772-4</v>
      </c>
      <c r="B16" t="str">
        <f>"VIA PISSAPAOLA  48-"</f>
        <v>VIA PISSAPAOLA  48-</v>
      </c>
      <c r="C16" t="str">
        <f>"VOL"</f>
        <v>VOL</v>
      </c>
      <c r="D16">
        <v>37</v>
      </c>
      <c r="E16" t="str">
        <f>"377"</f>
        <v>377</v>
      </c>
      <c r="F16" t="str">
        <f>"4"</f>
        <v>4</v>
      </c>
    </row>
    <row r="17" spans="1:6">
      <c r="C17" t="str">
        <f>"VOL"</f>
        <v>VOL</v>
      </c>
      <c r="D17">
        <v>37</v>
      </c>
      <c r="E17" t="str">
        <f>"378"</f>
        <v>378</v>
      </c>
      <c r="F17" t="str">
        <f t="shared" ref="F17:F32" si="0">"0000"</f>
        <v>0000</v>
      </c>
    </row>
    <row r="18" spans="1:6">
      <c r="A18" t="str">
        <f>"E773-1"</f>
        <v>E773-1</v>
      </c>
      <c r="B18" t="str">
        <f>"VIA GASPARE BUFFA  36-"</f>
        <v>VIA GASPARE BUFFA  36-</v>
      </c>
      <c r="C18" t="str">
        <f t="shared" ref="C18:C32" si="1">"2"</f>
        <v>2</v>
      </c>
      <c r="D18">
        <v>32</v>
      </c>
      <c r="E18" t="str">
        <f>"339"</f>
        <v>339</v>
      </c>
      <c r="F18" t="str">
        <f t="shared" si="0"/>
        <v>0000</v>
      </c>
    </row>
    <row r="19" spans="1:6">
      <c r="A19" t="str">
        <f>"E774-1"</f>
        <v>E774-1</v>
      </c>
      <c r="B19" t="str">
        <f>"VIA MOLINETTO DI VOLTRI  24B-"</f>
        <v>VIA MOLINETTO DI VOLTRI  24B-</v>
      </c>
      <c r="C19" t="str">
        <f t="shared" si="1"/>
        <v>2</v>
      </c>
      <c r="D19">
        <v>22</v>
      </c>
      <c r="E19" t="str">
        <f>"342"</f>
        <v>342</v>
      </c>
      <c r="F19" t="str">
        <f t="shared" si="0"/>
        <v>0000</v>
      </c>
    </row>
    <row r="20" spans="1:6">
      <c r="A20" t="str">
        <f>"E775-1"</f>
        <v>E775-1</v>
      </c>
      <c r="B20" t="str">
        <f>"VIA DELLE FABBRICHE  95A-"</f>
        <v>VIA DELLE FABBRICHE  95A-</v>
      </c>
      <c r="C20" t="str">
        <f t="shared" si="1"/>
        <v>2</v>
      </c>
      <c r="D20">
        <v>21</v>
      </c>
      <c r="E20" t="str">
        <f>"395"</f>
        <v>395</v>
      </c>
      <c r="F20" t="str">
        <f t="shared" si="0"/>
        <v>0000</v>
      </c>
    </row>
    <row r="21" spans="1:6">
      <c r="C21" t="str">
        <f t="shared" si="1"/>
        <v>2</v>
      </c>
      <c r="D21">
        <v>21</v>
      </c>
      <c r="E21" t="str">
        <f>"978"</f>
        <v>978</v>
      </c>
      <c r="F21" t="str">
        <f t="shared" si="0"/>
        <v>0000</v>
      </c>
    </row>
    <row r="22" spans="1:6">
      <c r="A22" t="str">
        <f>"E776-8"</f>
        <v>E776-8</v>
      </c>
      <c r="B22" t="str">
        <f>"VIA CARLO CAMOZZINI  63R-"</f>
        <v>VIA CARLO CAMOZZINI  63R-</v>
      </c>
      <c r="C22" t="str">
        <f t="shared" si="1"/>
        <v>2</v>
      </c>
      <c r="D22">
        <v>31</v>
      </c>
      <c r="E22" t="str">
        <f>"373"</f>
        <v>373</v>
      </c>
      <c r="F22" t="str">
        <f t="shared" si="0"/>
        <v>0000</v>
      </c>
    </row>
    <row r="23" spans="1:6">
      <c r="C23" t="str">
        <f t="shared" si="1"/>
        <v>2</v>
      </c>
      <c r="D23">
        <v>31</v>
      </c>
      <c r="E23" t="str">
        <f>"374"</f>
        <v>374</v>
      </c>
      <c r="F23" t="str">
        <f t="shared" si="0"/>
        <v>0000</v>
      </c>
    </row>
    <row r="24" spans="1:6">
      <c r="A24" t="str">
        <f>"E776-9"</f>
        <v>E776-9</v>
      </c>
      <c r="B24" t="str">
        <f t="shared" ref="B24:B30" si="2">"VIA ERNESTO GUALA  8-"</f>
        <v>VIA ERNESTO GUALA  8-</v>
      </c>
      <c r="C24" t="str">
        <f t="shared" si="1"/>
        <v>2</v>
      </c>
      <c r="D24">
        <v>31</v>
      </c>
      <c r="E24" t="str">
        <f>"373"</f>
        <v>373</v>
      </c>
      <c r="F24" t="str">
        <f t="shared" si="0"/>
        <v>0000</v>
      </c>
    </row>
    <row r="25" spans="1:6">
      <c r="C25" t="str">
        <f t="shared" si="1"/>
        <v>2</v>
      </c>
      <c r="D25">
        <v>31</v>
      </c>
      <c r="E25" t="str">
        <f>"374"</f>
        <v>374</v>
      </c>
      <c r="F25" t="str">
        <f t="shared" si="0"/>
        <v>0000</v>
      </c>
    </row>
    <row r="26" spans="1:6">
      <c r="A26" t="str">
        <f>"E776-11"</f>
        <v>E776-11</v>
      </c>
      <c r="B26" t="str">
        <f t="shared" si="2"/>
        <v>VIA ERNESTO GUALA  8-</v>
      </c>
      <c r="C26" t="str">
        <f t="shared" si="1"/>
        <v>2</v>
      </c>
      <c r="D26">
        <v>31</v>
      </c>
      <c r="E26" t="str">
        <f>"373"</f>
        <v>373</v>
      </c>
      <c r="F26" t="str">
        <f t="shared" si="0"/>
        <v>0000</v>
      </c>
    </row>
    <row r="27" spans="1:6">
      <c r="C27" t="str">
        <f t="shared" si="1"/>
        <v>2</v>
      </c>
      <c r="D27">
        <v>31</v>
      </c>
      <c r="E27" t="str">
        <f>"374"</f>
        <v>374</v>
      </c>
      <c r="F27" t="str">
        <f t="shared" si="0"/>
        <v>0000</v>
      </c>
    </row>
    <row r="28" spans="1:6">
      <c r="A28" t="str">
        <f>"E776-12"</f>
        <v>E776-12</v>
      </c>
      <c r="B28" t="str">
        <f t="shared" si="2"/>
        <v>VIA ERNESTO GUALA  8-</v>
      </c>
      <c r="C28" t="str">
        <f t="shared" si="1"/>
        <v>2</v>
      </c>
      <c r="D28">
        <v>31</v>
      </c>
      <c r="E28" t="str">
        <f>"373"</f>
        <v>373</v>
      </c>
      <c r="F28" t="str">
        <f t="shared" si="0"/>
        <v>0000</v>
      </c>
    </row>
    <row r="29" spans="1:6">
      <c r="C29" t="str">
        <f t="shared" si="1"/>
        <v>2</v>
      </c>
      <c r="D29">
        <v>31</v>
      </c>
      <c r="E29" t="str">
        <f>"374"</f>
        <v>374</v>
      </c>
      <c r="F29" t="str">
        <f t="shared" si="0"/>
        <v>0000</v>
      </c>
    </row>
    <row r="30" spans="1:6">
      <c r="A30" t="str">
        <f>"E776-13"</f>
        <v>E776-13</v>
      </c>
      <c r="B30" t="str">
        <f t="shared" si="2"/>
        <v>VIA ERNESTO GUALA  8-</v>
      </c>
      <c r="C30" t="str">
        <f t="shared" si="1"/>
        <v>2</v>
      </c>
      <c r="D30">
        <v>31</v>
      </c>
      <c r="E30" t="str">
        <f>"373"</f>
        <v>373</v>
      </c>
      <c r="F30" t="str">
        <f t="shared" si="0"/>
        <v>0000</v>
      </c>
    </row>
    <row r="31" spans="1:6">
      <c r="C31" t="str">
        <f t="shared" si="1"/>
        <v>2</v>
      </c>
      <c r="D31">
        <v>31</v>
      </c>
      <c r="E31" t="str">
        <f>"374"</f>
        <v>374</v>
      </c>
      <c r="F31" t="str">
        <f t="shared" si="0"/>
        <v>0000</v>
      </c>
    </row>
    <row r="32" spans="1:6">
      <c r="A32" t="str">
        <f>"E783-1"</f>
        <v>E783-1</v>
      </c>
      <c r="B32" t="str">
        <f>"PIAZZA VILLA GIUSTI VICINO AL 7R-"</f>
        <v>PIAZZA VILLA GIUSTI VICINO AL 7R-</v>
      </c>
      <c r="C32" t="str">
        <f t="shared" si="1"/>
        <v>2</v>
      </c>
      <c r="D32">
        <v>31</v>
      </c>
      <c r="E32" t="str">
        <f>"99999"</f>
        <v>99999</v>
      </c>
      <c r="F32" t="str">
        <f t="shared" si="0"/>
        <v>0000</v>
      </c>
    </row>
    <row r="33" spans="1:6">
      <c r="A33" t="str">
        <f>"E784-1"</f>
        <v>E784-1</v>
      </c>
      <c r="B33" t="str">
        <f>"VIA CARLO CAMOZZINI  146R-"</f>
        <v>VIA CARLO CAMOZZINI  146R-</v>
      </c>
      <c r="C33" t="str">
        <f t="shared" ref="C33:C63" si="3">"VOL"</f>
        <v>VOL</v>
      </c>
      <c r="D33">
        <v>31</v>
      </c>
      <c r="E33" t="str">
        <f>"433"</f>
        <v>433</v>
      </c>
      <c r="F33" t="str">
        <f>"1"</f>
        <v>1</v>
      </c>
    </row>
    <row r="34" spans="1:6">
      <c r="A34" t="str">
        <f>"E786-5"</f>
        <v>E786-5</v>
      </c>
      <c r="B34" t="str">
        <f>"VIA VOLTRI  21-"</f>
        <v>VIA VOLTRI  21-</v>
      </c>
      <c r="C34" t="str">
        <f t="shared" si="3"/>
        <v>VOL</v>
      </c>
      <c r="D34">
        <v>32</v>
      </c>
      <c r="E34" t="str">
        <f t="shared" ref="E34:E46" si="4">"382"</f>
        <v>382</v>
      </c>
      <c r="F34" t="str">
        <f>"5"</f>
        <v>5</v>
      </c>
    </row>
    <row r="35" spans="1:6">
      <c r="A35" t="str">
        <f>"E786-15"</f>
        <v>E786-15</v>
      </c>
      <c r="B35" t="str">
        <f>"VIA VOLTRI  21-"</f>
        <v>VIA VOLTRI  21-</v>
      </c>
      <c r="C35" t="str">
        <f t="shared" si="3"/>
        <v>VOL</v>
      </c>
      <c r="D35">
        <v>32</v>
      </c>
      <c r="E35" t="str">
        <f t="shared" si="4"/>
        <v>382</v>
      </c>
      <c r="F35" t="str">
        <f>"15"</f>
        <v>15</v>
      </c>
    </row>
    <row r="36" spans="1:6">
      <c r="A36" t="str">
        <f>"E786-19"</f>
        <v>E786-19</v>
      </c>
      <c r="B36" t="str">
        <f t="shared" ref="B36:B46" si="5">"VIA VOLTRI  23-"</f>
        <v>VIA VOLTRI  23-</v>
      </c>
      <c r="C36" t="str">
        <f t="shared" si="3"/>
        <v>VOL</v>
      </c>
      <c r="D36">
        <v>32</v>
      </c>
      <c r="E36" t="str">
        <f t="shared" si="4"/>
        <v>382</v>
      </c>
      <c r="F36" t="str">
        <f>"19"</f>
        <v>19</v>
      </c>
    </row>
    <row r="37" spans="1:6">
      <c r="A37" t="str">
        <f>"E786-22"</f>
        <v>E786-22</v>
      </c>
      <c r="B37" t="str">
        <f t="shared" si="5"/>
        <v>VIA VOLTRI  23-</v>
      </c>
      <c r="C37" t="str">
        <f t="shared" si="3"/>
        <v>VOL</v>
      </c>
      <c r="D37">
        <v>32</v>
      </c>
      <c r="E37" t="str">
        <f t="shared" si="4"/>
        <v>382</v>
      </c>
      <c r="F37" t="str">
        <f>"22"</f>
        <v>22</v>
      </c>
    </row>
    <row r="38" spans="1:6">
      <c r="A38" t="str">
        <f>"E786-23"</f>
        <v>E786-23</v>
      </c>
      <c r="B38" t="str">
        <f t="shared" si="5"/>
        <v>VIA VOLTRI  23-</v>
      </c>
      <c r="C38" t="str">
        <f t="shared" si="3"/>
        <v>VOL</v>
      </c>
      <c r="D38">
        <v>32</v>
      </c>
      <c r="E38" t="str">
        <f t="shared" si="4"/>
        <v>382</v>
      </c>
      <c r="F38" t="str">
        <f>"23"</f>
        <v>23</v>
      </c>
    </row>
    <row r="39" spans="1:6">
      <c r="A39" t="str">
        <f>"E786-26"</f>
        <v>E786-26</v>
      </c>
      <c r="B39" t="str">
        <f t="shared" si="5"/>
        <v>VIA VOLTRI  23-</v>
      </c>
      <c r="C39" t="str">
        <f t="shared" si="3"/>
        <v>VOL</v>
      </c>
      <c r="D39">
        <v>32</v>
      </c>
      <c r="E39" t="str">
        <f t="shared" si="4"/>
        <v>382</v>
      </c>
      <c r="F39" t="str">
        <f>"26"</f>
        <v>26</v>
      </c>
    </row>
    <row r="40" spans="1:6">
      <c r="A40" t="str">
        <f>"E786-27"</f>
        <v>E786-27</v>
      </c>
      <c r="B40" t="str">
        <f t="shared" si="5"/>
        <v>VIA VOLTRI  23-</v>
      </c>
      <c r="C40" t="str">
        <f t="shared" si="3"/>
        <v>VOL</v>
      </c>
      <c r="D40">
        <v>32</v>
      </c>
      <c r="E40" t="str">
        <f t="shared" si="4"/>
        <v>382</v>
      </c>
      <c r="F40" t="str">
        <f>"27"</f>
        <v>27</v>
      </c>
    </row>
    <row r="41" spans="1:6">
      <c r="A41" t="str">
        <f>"E786-28"</f>
        <v>E786-28</v>
      </c>
      <c r="B41" t="str">
        <f t="shared" si="5"/>
        <v>VIA VOLTRI  23-</v>
      </c>
      <c r="C41" t="str">
        <f t="shared" si="3"/>
        <v>VOL</v>
      </c>
      <c r="D41">
        <v>32</v>
      </c>
      <c r="E41" t="str">
        <f t="shared" si="4"/>
        <v>382</v>
      </c>
      <c r="F41" t="str">
        <f>"28"</f>
        <v>28</v>
      </c>
    </row>
    <row r="42" spans="1:6">
      <c r="A42" t="str">
        <f>"E786-29"</f>
        <v>E786-29</v>
      </c>
      <c r="B42" t="str">
        <f t="shared" si="5"/>
        <v>VIA VOLTRI  23-</v>
      </c>
      <c r="C42" t="str">
        <f t="shared" si="3"/>
        <v>VOL</v>
      </c>
      <c r="D42">
        <v>32</v>
      </c>
      <c r="E42" t="str">
        <f t="shared" si="4"/>
        <v>382</v>
      </c>
      <c r="F42" t="str">
        <f>"29"</f>
        <v>29</v>
      </c>
    </row>
    <row r="43" spans="1:6">
      <c r="A43" t="str">
        <f>"E786-32"</f>
        <v>E786-32</v>
      </c>
      <c r="B43" t="str">
        <f t="shared" si="5"/>
        <v>VIA VOLTRI  23-</v>
      </c>
      <c r="C43" t="str">
        <f t="shared" si="3"/>
        <v>VOL</v>
      </c>
      <c r="D43">
        <v>32</v>
      </c>
      <c r="E43" t="str">
        <f t="shared" si="4"/>
        <v>382</v>
      </c>
      <c r="F43" t="str">
        <f>"32"</f>
        <v>32</v>
      </c>
    </row>
    <row r="44" spans="1:6">
      <c r="A44" t="str">
        <f>"E786-34"</f>
        <v>E786-34</v>
      </c>
      <c r="B44" t="str">
        <f t="shared" si="5"/>
        <v>VIA VOLTRI  23-</v>
      </c>
      <c r="C44" t="str">
        <f t="shared" si="3"/>
        <v>VOL</v>
      </c>
      <c r="D44">
        <v>32</v>
      </c>
      <c r="E44" t="str">
        <f t="shared" si="4"/>
        <v>382</v>
      </c>
      <c r="F44" t="str">
        <f>"34"</f>
        <v>34</v>
      </c>
    </row>
    <row r="45" spans="1:6">
      <c r="A45" t="str">
        <f>"E786-36"</f>
        <v>E786-36</v>
      </c>
      <c r="B45" t="str">
        <f t="shared" si="5"/>
        <v>VIA VOLTRI  23-</v>
      </c>
      <c r="C45" t="str">
        <f t="shared" si="3"/>
        <v>VOL</v>
      </c>
      <c r="D45">
        <v>32</v>
      </c>
      <c r="E45" t="str">
        <f t="shared" si="4"/>
        <v>382</v>
      </c>
      <c r="F45" t="str">
        <f>"36"</f>
        <v>36</v>
      </c>
    </row>
    <row r="46" spans="1:6">
      <c r="A46" t="str">
        <f>"E786-44"</f>
        <v>E786-44</v>
      </c>
      <c r="B46" t="str">
        <f t="shared" si="5"/>
        <v>VIA VOLTRI  23-</v>
      </c>
      <c r="C46" t="str">
        <f t="shared" si="3"/>
        <v>VOL</v>
      </c>
      <c r="D46">
        <v>32</v>
      </c>
      <c r="E46" t="str">
        <f t="shared" si="4"/>
        <v>382</v>
      </c>
      <c r="F46" t="str">
        <f>"44"</f>
        <v>44</v>
      </c>
    </row>
    <row r="47" spans="1:6">
      <c r="A47" t="str">
        <f>"E787-1"</f>
        <v>E787-1</v>
      </c>
      <c r="B47" t="str">
        <f>"VIA PISSAPAOLA VICINO AL 5-"</f>
        <v>VIA PISSAPAOLA VICINO AL 5-</v>
      </c>
      <c r="C47" t="str">
        <f t="shared" si="3"/>
        <v>VOL</v>
      </c>
      <c r="D47">
        <v>37</v>
      </c>
      <c r="E47" t="str">
        <f>"167"</f>
        <v>167</v>
      </c>
      <c r="F47" t="str">
        <f t="shared" ref="F47:F53" si="6">"0000"</f>
        <v>0000</v>
      </c>
    </row>
    <row r="48" spans="1:6">
      <c r="A48" t="str">
        <f>"E788-1"</f>
        <v>E788-1</v>
      </c>
      <c r="B48" t="str">
        <f>"VIA CAMPENAVE VICINO AL 36-"</f>
        <v>VIA CAMPENAVE VICINO AL 36-</v>
      </c>
      <c r="C48" t="str">
        <f t="shared" si="3"/>
        <v>VOL</v>
      </c>
      <c r="D48">
        <v>37</v>
      </c>
      <c r="E48" t="str">
        <f>"56"</f>
        <v>56</v>
      </c>
      <c r="F48" t="str">
        <f t="shared" si="6"/>
        <v>0000</v>
      </c>
    </row>
    <row r="49" spans="1:6">
      <c r="A49" t="str">
        <f>"E789-1"</f>
        <v>E789-1</v>
      </c>
      <c r="B49" t="str">
        <f>"VIA ACQUASANTA VICINO AL 254-"</f>
        <v>VIA ACQUASANTA VICINO AL 254-</v>
      </c>
      <c r="C49" t="str">
        <f t="shared" si="3"/>
        <v>VOL</v>
      </c>
      <c r="D49">
        <v>24</v>
      </c>
      <c r="E49" t="str">
        <f>"6"</f>
        <v>6</v>
      </c>
      <c r="F49" t="str">
        <f t="shared" si="6"/>
        <v>0000</v>
      </c>
    </row>
    <row r="50" spans="1:6">
      <c r="A50" t="str">
        <f>"E790-1"</f>
        <v>E790-1</v>
      </c>
      <c r="B50" t="str">
        <f>"VIA DELLE FABBRICHE VICINO AL 183-"</f>
        <v>VIA DELLE FABBRICHE VICINO AL 183-</v>
      </c>
      <c r="C50" t="str">
        <f t="shared" si="3"/>
        <v>VOL</v>
      </c>
      <c r="D50">
        <v>19</v>
      </c>
      <c r="E50" t="str">
        <f>"436"</f>
        <v>436</v>
      </c>
      <c r="F50" t="str">
        <f t="shared" si="6"/>
        <v>0000</v>
      </c>
    </row>
    <row r="51" spans="1:6">
      <c r="A51" t="str">
        <f>"E790-2"</f>
        <v>E790-2</v>
      </c>
      <c r="B51" t="str">
        <f>"VIA DELLE FABBRICHE VICINO AL 183-"</f>
        <v>VIA DELLE FABBRICHE VICINO AL 183-</v>
      </c>
      <c r="C51" t="str">
        <f t="shared" si="3"/>
        <v>VOL</v>
      </c>
      <c r="D51">
        <v>19</v>
      </c>
      <c r="E51" t="str">
        <f>"437"</f>
        <v>437</v>
      </c>
      <c r="F51" t="str">
        <f t="shared" si="6"/>
        <v>0000</v>
      </c>
    </row>
    <row r="52" spans="1:6">
      <c r="A52" t="str">
        <f>"E792-1"</f>
        <v>E792-1</v>
      </c>
      <c r="B52" t="str">
        <f>"VIA GIACOMO CANEPA VICINO AL 110-"</f>
        <v>VIA GIACOMO CANEPA VICINO AL 110-</v>
      </c>
      <c r="C52" t="str">
        <f t="shared" si="3"/>
        <v>VOL</v>
      </c>
      <c r="D52">
        <v>36</v>
      </c>
      <c r="E52" t="str">
        <f>"25"</f>
        <v>25</v>
      </c>
      <c r="F52" t="str">
        <f t="shared" si="6"/>
        <v>0000</v>
      </c>
    </row>
    <row r="53" spans="1:6">
      <c r="A53" t="str">
        <f>"E805-1"</f>
        <v>E805-1</v>
      </c>
      <c r="B53" t="str">
        <f>"VIA GIACOMO CANEPA VICINO AL 6-"</f>
        <v>VIA GIACOMO CANEPA VICINO AL 6-</v>
      </c>
      <c r="C53" t="str">
        <f t="shared" si="3"/>
        <v>VOL</v>
      </c>
      <c r="D53">
        <v>37</v>
      </c>
      <c r="E53" t="str">
        <f>"280"</f>
        <v>280</v>
      </c>
      <c r="F53" t="str">
        <f t="shared" si="6"/>
        <v>0000</v>
      </c>
    </row>
    <row r="54" spans="1:6">
      <c r="A54" t="str">
        <f>"E806-1"</f>
        <v>E806-1</v>
      </c>
      <c r="B54" t="str">
        <f>"VIA DELLE FABBRICHE  189A-"</f>
        <v>VIA DELLE FABBRICHE  189A-</v>
      </c>
      <c r="C54" t="str">
        <f t="shared" si="3"/>
        <v>VOL</v>
      </c>
      <c r="D54">
        <v>19</v>
      </c>
      <c r="E54" t="str">
        <f>"798"</f>
        <v>798</v>
      </c>
      <c r="F54" t="str">
        <f>"3"</f>
        <v>3</v>
      </c>
    </row>
    <row r="55" spans="1:6">
      <c r="A55" t="str">
        <f>"E806-2"</f>
        <v>E806-2</v>
      </c>
      <c r="B55" t="str">
        <f>"VIA DELLE FABBRICHE  197A-"</f>
        <v>VIA DELLE FABBRICHE  197A-</v>
      </c>
      <c r="C55" t="str">
        <f t="shared" si="3"/>
        <v>VOL</v>
      </c>
      <c r="D55">
        <v>19</v>
      </c>
      <c r="E55" t="str">
        <f>"798"</f>
        <v>798</v>
      </c>
      <c r="F55" t="str">
        <f>"1"</f>
        <v>1</v>
      </c>
    </row>
    <row r="56" spans="1:6">
      <c r="A56" t="str">
        <f>"E806-3"</f>
        <v>E806-3</v>
      </c>
      <c r="B56" t="str">
        <f>"VIA DELLE FABBRICHE  197A-"</f>
        <v>VIA DELLE FABBRICHE  197A-</v>
      </c>
      <c r="C56" t="str">
        <f t="shared" si="3"/>
        <v>VOL</v>
      </c>
      <c r="D56">
        <v>19</v>
      </c>
      <c r="E56" t="str">
        <f>"798"</f>
        <v>798</v>
      </c>
      <c r="F56" t="str">
        <f>"2"</f>
        <v>2</v>
      </c>
    </row>
    <row r="57" spans="1:6">
      <c r="C57" t="str">
        <f t="shared" si="3"/>
        <v>VOL</v>
      </c>
      <c r="D57">
        <v>19</v>
      </c>
      <c r="E57" t="str">
        <f>"267"</f>
        <v>267</v>
      </c>
      <c r="F57" t="str">
        <f>"8"</f>
        <v>8</v>
      </c>
    </row>
    <row r="58" spans="1:6">
      <c r="C58" t="str">
        <f t="shared" si="3"/>
        <v>VOL</v>
      </c>
      <c r="D58">
        <v>19</v>
      </c>
      <c r="E58" t="str">
        <f>"268"</f>
        <v>268</v>
      </c>
      <c r="F58" t="str">
        <f>"6"</f>
        <v>6</v>
      </c>
    </row>
    <row r="59" spans="1:6">
      <c r="C59" t="str">
        <f t="shared" si="3"/>
        <v>VOL</v>
      </c>
      <c r="D59">
        <v>19</v>
      </c>
      <c r="E59" t="str">
        <f>"297"</f>
        <v>297</v>
      </c>
      <c r="F59" t="str">
        <f>"1"</f>
        <v>1</v>
      </c>
    </row>
    <row r="60" spans="1:6">
      <c r="C60" t="str">
        <f t="shared" si="3"/>
        <v>VOL</v>
      </c>
      <c r="D60">
        <v>19</v>
      </c>
      <c r="E60" t="str">
        <f>"297"</f>
        <v>297</v>
      </c>
      <c r="F60" t="str">
        <f>"0000"</f>
        <v>0000</v>
      </c>
    </row>
    <row r="61" spans="1:6">
      <c r="C61" t="str">
        <f t="shared" si="3"/>
        <v>VOL</v>
      </c>
      <c r="D61">
        <v>19</v>
      </c>
      <c r="E61" t="str">
        <f>"268"</f>
        <v>268</v>
      </c>
      <c r="F61" t="str">
        <f>"7"</f>
        <v>7</v>
      </c>
    </row>
    <row r="62" spans="1:6">
      <c r="A62" t="str">
        <f>"E809-1"</f>
        <v>E809-1</v>
      </c>
      <c r="B62" t="str">
        <f>"VIA DELLE FABBRICHE VICINO AL 120-"</f>
        <v>VIA DELLE FABBRICHE VICINO AL 120-</v>
      </c>
      <c r="C62" t="str">
        <f t="shared" si="3"/>
        <v>VOL</v>
      </c>
      <c r="D62">
        <v>19</v>
      </c>
      <c r="E62" t="str">
        <f>"271"</f>
        <v>271</v>
      </c>
      <c r="F62" t="str">
        <f>"0000"</f>
        <v>0000</v>
      </c>
    </row>
    <row r="63" spans="1:6">
      <c r="A63" t="str">
        <f>"E810-1"</f>
        <v>E810-1</v>
      </c>
      <c r="B63" t="str">
        <f>"PIAZZA GIOVANNI PRATI  2R-"</f>
        <v>PIAZZA GIOVANNI PRATI  2R-</v>
      </c>
      <c r="C63" t="str">
        <f t="shared" si="3"/>
        <v>VOL</v>
      </c>
      <c r="D63">
        <v>31</v>
      </c>
      <c r="E63" t="str">
        <f>"376"</f>
        <v>376</v>
      </c>
      <c r="F63" t="str">
        <f>"0000"</f>
        <v>0000</v>
      </c>
    </row>
    <row r="64" spans="1:6">
      <c r="A64" t="str">
        <f>"E811-1"</f>
        <v>E811-1</v>
      </c>
      <c r="B64" t="str">
        <f>"VIA VESIMA  17A-"</f>
        <v>VIA VESIMA  17A-</v>
      </c>
      <c r="C64" t="str">
        <f>"2"</f>
        <v>2</v>
      </c>
      <c r="D64">
        <v>35</v>
      </c>
      <c r="E64" t="str">
        <f>"322"</f>
        <v>322</v>
      </c>
      <c r="F64" t="str">
        <f>"0000"</f>
        <v>0000</v>
      </c>
    </row>
    <row r="65" spans="1:6">
      <c r="A65" t="str">
        <f>"E812-1"</f>
        <v>E812-1</v>
      </c>
      <c r="B65" t="str">
        <f>"VIA CARLO CAMOZZINI VICINO AL 17-"</f>
        <v>VIA CARLO CAMOZZINI VICINO AL 17-</v>
      </c>
      <c r="C65" t="str">
        <f>"2"</f>
        <v>2</v>
      </c>
      <c r="D65">
        <v>31</v>
      </c>
      <c r="E65" t="str">
        <f>"99999"</f>
        <v>99999</v>
      </c>
      <c r="F65" t="str">
        <f>"0000"</f>
        <v>0000</v>
      </c>
    </row>
    <row r="66" spans="1:6">
      <c r="A66" t="str">
        <f>"E812-2"</f>
        <v>E812-2</v>
      </c>
      <c r="B66" t="str">
        <f>"VIA CARLO CAMOZZINI VICINO AL 17-"</f>
        <v>VIA CARLO CAMOZZINI VICINO AL 17-</v>
      </c>
      <c r="C66" t="str">
        <f>"2"</f>
        <v>2</v>
      </c>
      <c r="D66">
        <v>31</v>
      </c>
      <c r="E66" t="str">
        <f>"99999"</f>
        <v>99999</v>
      </c>
      <c r="F66" t="str">
        <f>"0000"</f>
        <v>0000</v>
      </c>
    </row>
    <row r="67" spans="1:6">
      <c r="A67" t="str">
        <f>"E813-1"</f>
        <v>E813-1</v>
      </c>
      <c r="B67" t="str">
        <f>"VIA VOLTRI  27-"</f>
        <v>VIA VOLTRI  27-</v>
      </c>
      <c r="C67" t="str">
        <f>"VOL"</f>
        <v>VOL</v>
      </c>
      <c r="D67">
        <v>32</v>
      </c>
      <c r="E67" t="str">
        <f>"336"</f>
        <v>336</v>
      </c>
      <c r="F67" t="str">
        <f>"2"</f>
        <v>2</v>
      </c>
    </row>
    <row r="68" spans="1:6">
      <c r="C68" t="str">
        <f>"VOL"</f>
        <v>VOL</v>
      </c>
      <c r="D68">
        <v>32</v>
      </c>
      <c r="E68" t="str">
        <f>"338"</f>
        <v>338</v>
      </c>
      <c r="F68" t="str">
        <f>"0000"</f>
        <v>0000</v>
      </c>
    </row>
    <row r="69" spans="1:6">
      <c r="C69" t="str">
        <f>"VOL"</f>
        <v>VOL</v>
      </c>
      <c r="D69">
        <v>32</v>
      </c>
      <c r="E69" t="str">
        <f>"339"</f>
        <v>339</v>
      </c>
      <c r="F69" t="str">
        <f>"0000"</f>
        <v>0000</v>
      </c>
    </row>
    <row r="70" spans="1:6">
      <c r="A70" t="str">
        <f>"E813-2"</f>
        <v>E813-2</v>
      </c>
      <c r="B70" t="str">
        <f>"VIA VOLTRI  47R-"</f>
        <v>VIA VOLTRI  47R-</v>
      </c>
      <c r="C70" t="str">
        <f>"VOL"</f>
        <v>VOL</v>
      </c>
      <c r="D70">
        <v>32</v>
      </c>
      <c r="E70" t="str">
        <f>"336"</f>
        <v>336</v>
      </c>
      <c r="F70" t="str">
        <f>"3"</f>
        <v>3</v>
      </c>
    </row>
    <row r="71" spans="1:6">
      <c r="A71" t="str">
        <f>"E813-3"</f>
        <v>E813-3</v>
      </c>
      <c r="B71" t="str">
        <f>"VIA VOLTRI  47R-"</f>
        <v>VIA VOLTRI  47R-</v>
      </c>
      <c r="C71" t="str">
        <f>"VOL"</f>
        <v>VOL</v>
      </c>
      <c r="D71">
        <v>32</v>
      </c>
      <c r="E71" t="str">
        <f>"336"</f>
        <v>336</v>
      </c>
      <c r="F71" t="str">
        <f>"4"</f>
        <v>4</v>
      </c>
    </row>
    <row r="72" spans="1:6">
      <c r="A72" t="str">
        <f>"E820-1"</f>
        <v>E820-1</v>
      </c>
      <c r="B72" t="str">
        <f>"VIA CARNOLI VICINO AL 17B-"</f>
        <v>VIA CARNOLI VICINO AL 17B-</v>
      </c>
      <c r="C72" t="str">
        <f>"2"</f>
        <v>2</v>
      </c>
      <c r="D72">
        <v>20</v>
      </c>
      <c r="E72" t="str">
        <f>"156"</f>
        <v>156</v>
      </c>
      <c r="F72" t="str">
        <f t="shared" ref="F72:F78" si="7">"0000"</f>
        <v>0000</v>
      </c>
    </row>
    <row r="73" spans="1:6">
      <c r="A73" t="str">
        <f>"E821-1"</f>
        <v>E821-1</v>
      </c>
      <c r="B73" t="str">
        <f>"VIA DELLE FABBRICHE VICINO AL 91-"</f>
        <v>VIA DELLE FABBRICHE VICINO AL 91-</v>
      </c>
      <c r="C73" t="str">
        <f>"2"</f>
        <v>2</v>
      </c>
      <c r="D73">
        <v>21</v>
      </c>
      <c r="E73" t="str">
        <f>"99999"</f>
        <v>99999</v>
      </c>
      <c r="F73" t="str">
        <f t="shared" si="7"/>
        <v>0000</v>
      </c>
    </row>
    <row r="74" spans="1:6">
      <c r="A74" t="str">
        <f>"E822-1"</f>
        <v>E822-1</v>
      </c>
      <c r="B74" t="str">
        <f>"VIA GIACOMO CANEPA VICINO AL 1-"</f>
        <v>VIA GIACOMO CANEPA VICINO AL 1-</v>
      </c>
      <c r="C74" t="str">
        <f>"VOL"</f>
        <v>VOL</v>
      </c>
      <c r="D74">
        <v>37</v>
      </c>
      <c r="E74" t="str">
        <f>"D"</f>
        <v>D</v>
      </c>
      <c r="F74" t="str">
        <f t="shared" si="7"/>
        <v>0000</v>
      </c>
    </row>
    <row r="75" spans="1:6">
      <c r="A75" t="str">
        <f>"E822-2"</f>
        <v>E822-2</v>
      </c>
      <c r="B75" t="str">
        <f>"VIA GIACOMO CANEPA VICINO AL 1-"</f>
        <v>VIA GIACOMO CANEPA VICINO AL 1-</v>
      </c>
      <c r="C75" t="str">
        <f>"VOL"</f>
        <v>VOL</v>
      </c>
      <c r="D75">
        <v>37</v>
      </c>
      <c r="E75" t="str">
        <f>"E"</f>
        <v>E</v>
      </c>
      <c r="F75" t="str">
        <f t="shared" si="7"/>
        <v>0000</v>
      </c>
    </row>
    <row r="76" spans="1:6">
      <c r="A76" t="str">
        <f>"E824-1"</f>
        <v>E824-1</v>
      </c>
      <c r="B76" t="str">
        <f>"VIA DEI GIOVI SUPERIORE VICINO AL 27-"</f>
        <v>VIA DEI GIOVI SUPERIORE VICINO AL 27-</v>
      </c>
      <c r="C76" t="str">
        <f>"2"</f>
        <v>2</v>
      </c>
      <c r="D76">
        <v>8</v>
      </c>
      <c r="E76" t="str">
        <f>"27"</f>
        <v>27</v>
      </c>
      <c r="F76" t="str">
        <f t="shared" si="7"/>
        <v>0000</v>
      </c>
    </row>
    <row r="77" spans="1:6">
      <c r="A77" t="str">
        <f>"E826-1"</f>
        <v>E826-1</v>
      </c>
      <c r="B77" t="str">
        <f>"VICO NICOLO DA CORTE  6-"</f>
        <v>VICO NICOLO DA CORTE  6-</v>
      </c>
      <c r="C77" t="str">
        <f t="shared" ref="C77:C85" si="8">"VOL"</f>
        <v>VOL</v>
      </c>
      <c r="D77">
        <v>30</v>
      </c>
      <c r="E77" t="str">
        <f>"290"</f>
        <v>290</v>
      </c>
      <c r="F77" t="str">
        <f t="shared" si="7"/>
        <v>0000</v>
      </c>
    </row>
    <row r="78" spans="1:6">
      <c r="C78" t="str">
        <f t="shared" si="8"/>
        <v>VOL</v>
      </c>
      <c r="D78">
        <v>30</v>
      </c>
      <c r="E78" t="str">
        <f>"291"</f>
        <v>291</v>
      </c>
      <c r="F78" t="str">
        <f t="shared" si="7"/>
        <v>0000</v>
      </c>
    </row>
    <row r="79" spans="1:6">
      <c r="A79" t="str">
        <f>"E830-1"</f>
        <v>E830-1</v>
      </c>
      <c r="B79" t="str">
        <f>"VIA PIERO CALAMANDREI  61-"</f>
        <v>VIA PIERO CALAMANDREI  61-</v>
      </c>
      <c r="C79" t="str">
        <f t="shared" si="8"/>
        <v>VOL</v>
      </c>
      <c r="D79">
        <v>30</v>
      </c>
      <c r="E79" t="str">
        <f>"508"</f>
        <v>508</v>
      </c>
      <c r="F79" t="str">
        <f>"22"</f>
        <v>22</v>
      </c>
    </row>
    <row r="80" spans="1:6">
      <c r="C80" t="str">
        <f t="shared" si="8"/>
        <v>VOL</v>
      </c>
      <c r="D80">
        <v>30</v>
      </c>
      <c r="E80" t="str">
        <f>"508"</f>
        <v>508</v>
      </c>
      <c r="F80" t="str">
        <f>"3"</f>
        <v>3</v>
      </c>
    </row>
    <row r="81" spans="1:6">
      <c r="A81" t="str">
        <f>"E830-2"</f>
        <v>E830-2</v>
      </c>
      <c r="B81" t="str">
        <f>"VIA PIERO CALAMANDREI  61-"</f>
        <v>VIA PIERO CALAMANDREI  61-</v>
      </c>
      <c r="C81" t="str">
        <f t="shared" si="8"/>
        <v>VOL</v>
      </c>
      <c r="D81">
        <v>30</v>
      </c>
      <c r="E81" t="str">
        <f>"508"</f>
        <v>508</v>
      </c>
      <c r="F81" t="str">
        <f>"23"</f>
        <v>23</v>
      </c>
    </row>
    <row r="82" spans="1:6">
      <c r="C82" t="str">
        <f t="shared" si="8"/>
        <v>VOL</v>
      </c>
      <c r="D82">
        <v>30</v>
      </c>
      <c r="E82" t="str">
        <f>"508"</f>
        <v>508</v>
      </c>
      <c r="F82" t="str">
        <f>"4"</f>
        <v>4</v>
      </c>
    </row>
    <row r="83" spans="1:6">
      <c r="A83" t="str">
        <f>"E830-4"</f>
        <v>E830-4</v>
      </c>
      <c r="B83" t="str">
        <f>"VIA PIERO CALAMANDREI  61-"</f>
        <v>VIA PIERO CALAMANDREI  61-</v>
      </c>
      <c r="C83" t="str">
        <f t="shared" si="8"/>
        <v>VOL</v>
      </c>
      <c r="D83">
        <v>30</v>
      </c>
      <c r="E83" t="str">
        <f>"508"</f>
        <v>508</v>
      </c>
      <c r="F83" t="str">
        <f>"9"</f>
        <v>9</v>
      </c>
    </row>
    <row r="84" spans="1:6">
      <c r="A84" t="str">
        <f>"E831-1"</f>
        <v>E831-1</v>
      </c>
      <c r="B84" t="str">
        <f>"VIA PIERO CALAMANDREI  57B-"</f>
        <v>VIA PIERO CALAMANDREI  57B-</v>
      </c>
      <c r="C84" t="str">
        <f t="shared" si="8"/>
        <v>VOL</v>
      </c>
      <c r="D84">
        <v>30</v>
      </c>
      <c r="E84" t="str">
        <f>"1505"</f>
        <v>1505</v>
      </c>
      <c r="F84" t="str">
        <f t="shared" ref="F84:F94" si="9">"0000"</f>
        <v>0000</v>
      </c>
    </row>
    <row r="85" spans="1:6">
      <c r="A85" t="str">
        <f>"E832-1"</f>
        <v>E832-1</v>
      </c>
      <c r="B85" t="str">
        <f>"VIA PIERO CALAMANDREI  57-"</f>
        <v>VIA PIERO CALAMANDREI  57-</v>
      </c>
      <c r="C85" t="str">
        <f t="shared" si="8"/>
        <v>VOL</v>
      </c>
      <c r="D85">
        <v>30</v>
      </c>
      <c r="E85" t="str">
        <f>"1507"</f>
        <v>1507</v>
      </c>
      <c r="F85" t="str">
        <f t="shared" si="9"/>
        <v>0000</v>
      </c>
    </row>
    <row r="86" spans="1:6">
      <c r="A86" t="str">
        <f>"E833-1"</f>
        <v>E833-1</v>
      </c>
      <c r="B86" t="str">
        <f>"VIA OVADA  17-"</f>
        <v>VIA OVADA  17-</v>
      </c>
      <c r="C86" t="str">
        <f>"2"</f>
        <v>2</v>
      </c>
      <c r="D86">
        <v>30</v>
      </c>
      <c r="E86" t="str">
        <f>"A"</f>
        <v>A</v>
      </c>
      <c r="F86" t="str">
        <f t="shared" si="9"/>
        <v>0000</v>
      </c>
    </row>
    <row r="87" spans="1:6">
      <c r="A87" t="str">
        <f>"E834-1"</f>
        <v>E834-1</v>
      </c>
      <c r="B87" t="str">
        <f>"VIA MARTIRI DEL TURCHINO  127-"</f>
        <v>VIA MARTIRI DEL TURCHINO  127-</v>
      </c>
      <c r="C87" t="str">
        <f>"PRA"</f>
        <v>PRA</v>
      </c>
      <c r="D87">
        <v>10</v>
      </c>
      <c r="E87" t="str">
        <f>"632"</f>
        <v>632</v>
      </c>
      <c r="F87" t="str">
        <f t="shared" si="9"/>
        <v>0000</v>
      </c>
    </row>
    <row r="88" spans="1:6">
      <c r="A88" t="str">
        <f>"E835-1"</f>
        <v>E835-1</v>
      </c>
      <c r="B88" t="str">
        <f>"VIA PRA  24-"</f>
        <v>VIA PRA  24-</v>
      </c>
      <c r="C88" t="str">
        <f>"PRA"</f>
        <v>PRA</v>
      </c>
      <c r="D88">
        <v>14</v>
      </c>
      <c r="E88" t="str">
        <f>"217"</f>
        <v>217</v>
      </c>
      <c r="F88" t="str">
        <f t="shared" si="9"/>
        <v>0000</v>
      </c>
    </row>
    <row r="89" spans="1:6">
      <c r="C89" t="str">
        <f>"PRA"</f>
        <v>PRA</v>
      </c>
      <c r="D89">
        <v>14</v>
      </c>
      <c r="E89" t="str">
        <f>"218"</f>
        <v>218</v>
      </c>
      <c r="F89" t="str">
        <f t="shared" si="9"/>
        <v>0000</v>
      </c>
    </row>
    <row r="90" spans="1:6">
      <c r="A90" t="str">
        <f>"E837-1"</f>
        <v>E837-1</v>
      </c>
      <c r="B90" t="str">
        <f>"VIA MARTIRI DEL TURCHINO  46-"</f>
        <v>VIA MARTIRI DEL TURCHINO  46-</v>
      </c>
      <c r="C90" t="str">
        <f>"3"</f>
        <v>3</v>
      </c>
      <c r="D90">
        <v>10</v>
      </c>
      <c r="E90" t="str">
        <f>"114"</f>
        <v>114</v>
      </c>
      <c r="F90" t="str">
        <f t="shared" si="9"/>
        <v>0000</v>
      </c>
    </row>
    <row r="91" spans="1:6">
      <c r="C91" t="str">
        <f>"3"</f>
        <v>3</v>
      </c>
      <c r="D91">
        <v>10</v>
      </c>
      <c r="E91" t="str">
        <f>"127"</f>
        <v>127</v>
      </c>
      <c r="F91" t="str">
        <f t="shared" si="9"/>
        <v>0000</v>
      </c>
    </row>
    <row r="92" spans="1:6">
      <c r="C92" t="str">
        <f>"3"</f>
        <v>3</v>
      </c>
      <c r="D92">
        <v>10</v>
      </c>
      <c r="E92" t="str">
        <f>"126"</f>
        <v>126</v>
      </c>
      <c r="F92" t="str">
        <f t="shared" si="9"/>
        <v>0000</v>
      </c>
    </row>
    <row r="93" spans="1:6">
      <c r="C93" t="str">
        <f>"3"</f>
        <v>3</v>
      </c>
      <c r="D93">
        <v>10</v>
      </c>
      <c r="E93" t="str">
        <f>"117"</f>
        <v>117</v>
      </c>
      <c r="F93" t="str">
        <f t="shared" si="9"/>
        <v>0000</v>
      </c>
    </row>
    <row r="94" spans="1:6">
      <c r="C94" t="str">
        <f>"3"</f>
        <v>3</v>
      </c>
      <c r="D94">
        <v>10</v>
      </c>
      <c r="E94" t="str">
        <f>"116"</f>
        <v>116</v>
      </c>
      <c r="F94" t="str">
        <f t="shared" si="9"/>
        <v>0000</v>
      </c>
    </row>
    <row r="95" spans="1:6">
      <c r="A95" t="str">
        <f>"E838-3"</f>
        <v>E838-3</v>
      </c>
      <c r="B95" t="str">
        <f>"V VILLINI AMBROGIO NEGRON VICINO AL 1-"</f>
        <v>V VILLINI AMBROGIO NEGRON VICINO AL 1-</v>
      </c>
      <c r="C95" t="str">
        <f>"PRA"</f>
        <v>PRA</v>
      </c>
      <c r="D95">
        <v>13</v>
      </c>
      <c r="E95" t="str">
        <f>"912"</f>
        <v>912</v>
      </c>
      <c r="F95" t="str">
        <f>"4"</f>
        <v>4</v>
      </c>
    </row>
    <row r="96" spans="1:6">
      <c r="A96" t="str">
        <f>"E838-4"</f>
        <v>E838-4</v>
      </c>
      <c r="B96" t="str">
        <f>"VIA CESARE AIRAGHI  35R-"</f>
        <v>VIA CESARE AIRAGHI  35R-</v>
      </c>
      <c r="C96" t="str">
        <f>"PRA"</f>
        <v>PRA</v>
      </c>
      <c r="D96">
        <v>13</v>
      </c>
      <c r="E96" t="str">
        <f>"912"</f>
        <v>912</v>
      </c>
      <c r="F96" t="str">
        <f>"2"</f>
        <v>2</v>
      </c>
    </row>
    <row r="97" spans="1:6">
      <c r="A97" t="str">
        <f>"E838-5"</f>
        <v>E838-5</v>
      </c>
      <c r="B97" t="str">
        <f>"VIA CESARE AIRAGHI  33R-"</f>
        <v>VIA CESARE AIRAGHI  33R-</v>
      </c>
      <c r="C97" t="str">
        <f>"PRA"</f>
        <v>PRA</v>
      </c>
      <c r="D97">
        <v>13</v>
      </c>
      <c r="E97" t="str">
        <f>"912"</f>
        <v>912</v>
      </c>
      <c r="F97" t="str">
        <f>"3"</f>
        <v>3</v>
      </c>
    </row>
    <row r="98" spans="1:6">
      <c r="A98" t="str">
        <f>"E841-1"</f>
        <v>E841-1</v>
      </c>
      <c r="B98" t="str">
        <f>"VIA CESARE AIRAGHI  9-"</f>
        <v>VIA CESARE AIRAGHI  9-</v>
      </c>
      <c r="C98" t="str">
        <f>"PRA"</f>
        <v>PRA</v>
      </c>
      <c r="D98">
        <v>13</v>
      </c>
      <c r="E98" t="str">
        <f>"121"</f>
        <v>121</v>
      </c>
      <c r="F98" t="str">
        <f t="shared" ref="F98:F111" si="10">"0000"</f>
        <v>0000</v>
      </c>
    </row>
    <row r="99" spans="1:6">
      <c r="C99" t="str">
        <f>"PRA"</f>
        <v>PRA</v>
      </c>
      <c r="D99">
        <v>13</v>
      </c>
      <c r="E99" t="str">
        <f>"125"</f>
        <v>125</v>
      </c>
      <c r="F99" t="str">
        <f t="shared" si="10"/>
        <v>0000</v>
      </c>
    </row>
    <row r="100" spans="1:6">
      <c r="A100" t="str">
        <f>"E843-1"</f>
        <v>E843-1</v>
      </c>
      <c r="B100" t="str">
        <f>"VIA ANDREA PODESTA  2-"</f>
        <v>VIA ANDREA PODESTA  2-</v>
      </c>
      <c r="C100" t="str">
        <f t="shared" ref="C100:C107" si="11">"3"</f>
        <v>3</v>
      </c>
      <c r="D100">
        <v>10</v>
      </c>
      <c r="E100" t="str">
        <f>"100"</f>
        <v>100</v>
      </c>
      <c r="F100" t="str">
        <f t="shared" si="10"/>
        <v>0000</v>
      </c>
    </row>
    <row r="101" spans="1:6">
      <c r="C101" t="str">
        <f t="shared" si="11"/>
        <v>3</v>
      </c>
      <c r="D101">
        <v>10</v>
      </c>
      <c r="E101" t="str">
        <f>"123"</f>
        <v>123</v>
      </c>
      <c r="F101" t="str">
        <f t="shared" si="10"/>
        <v>0000</v>
      </c>
    </row>
    <row r="102" spans="1:6">
      <c r="C102" t="str">
        <f t="shared" si="11"/>
        <v>3</v>
      </c>
      <c r="D102">
        <v>10</v>
      </c>
      <c r="E102" t="str">
        <f>"99"</f>
        <v>99</v>
      </c>
      <c r="F102" t="str">
        <f t="shared" si="10"/>
        <v>0000</v>
      </c>
    </row>
    <row r="103" spans="1:6">
      <c r="C103" t="str">
        <f t="shared" si="11"/>
        <v>3</v>
      </c>
      <c r="D103">
        <v>10</v>
      </c>
      <c r="E103" t="str">
        <f>"98"</f>
        <v>98</v>
      </c>
      <c r="F103" t="str">
        <f t="shared" si="10"/>
        <v>0000</v>
      </c>
    </row>
    <row r="104" spans="1:6">
      <c r="C104" t="str">
        <f t="shared" si="11"/>
        <v>3</v>
      </c>
      <c r="D104">
        <v>10</v>
      </c>
      <c r="E104" t="str">
        <f>"97"</f>
        <v>97</v>
      </c>
      <c r="F104" t="str">
        <f t="shared" si="10"/>
        <v>0000</v>
      </c>
    </row>
    <row r="105" spans="1:6">
      <c r="C105" t="str">
        <f t="shared" si="11"/>
        <v>3</v>
      </c>
      <c r="D105">
        <v>10</v>
      </c>
      <c r="E105" t="str">
        <f>"101"</f>
        <v>101</v>
      </c>
      <c r="F105" t="str">
        <f t="shared" si="10"/>
        <v>0000</v>
      </c>
    </row>
    <row r="106" spans="1:6">
      <c r="A106" t="str">
        <f>"E844-1"</f>
        <v>E844-1</v>
      </c>
      <c r="B106" t="str">
        <f>"VIA CRAVASCO  45-"</f>
        <v>VIA CRAVASCO  45-</v>
      </c>
      <c r="C106" t="str">
        <f t="shared" si="11"/>
        <v>3</v>
      </c>
      <c r="D106">
        <v>10</v>
      </c>
      <c r="E106" t="str">
        <f>"126"</f>
        <v>126</v>
      </c>
      <c r="F106" t="str">
        <f t="shared" si="10"/>
        <v>0000</v>
      </c>
    </row>
    <row r="107" spans="1:6">
      <c r="A107" t="str">
        <f>"E844-2"</f>
        <v>E844-2</v>
      </c>
      <c r="B107" t="str">
        <f>"VIA CRAVASCO  49-"</f>
        <v>VIA CRAVASCO  49-</v>
      </c>
      <c r="C107" t="str">
        <f t="shared" si="11"/>
        <v>3</v>
      </c>
      <c r="D107">
        <v>10</v>
      </c>
      <c r="E107" t="str">
        <f>"126"</f>
        <v>126</v>
      </c>
      <c r="F107" t="str">
        <f t="shared" si="10"/>
        <v>0000</v>
      </c>
    </row>
    <row r="108" spans="1:6">
      <c r="A108" t="str">
        <f>"E845-1"</f>
        <v>E845-1</v>
      </c>
      <c r="B108" t="str">
        <f>"VIA SAPELLO  3-"</f>
        <v>VIA SAPELLO  3-</v>
      </c>
      <c r="C108" t="str">
        <f>"PRA"</f>
        <v>PRA</v>
      </c>
      <c r="D108">
        <v>13</v>
      </c>
      <c r="E108" t="str">
        <f>"116"</f>
        <v>116</v>
      </c>
      <c r="F108" t="str">
        <f t="shared" si="10"/>
        <v>0000</v>
      </c>
    </row>
    <row r="109" spans="1:6">
      <c r="A109" t="str">
        <f>"E846-1"</f>
        <v>E846-1</v>
      </c>
      <c r="B109" t="str">
        <f>"VIA MARTIRI DEL TURCHINO  40-"</f>
        <v>VIA MARTIRI DEL TURCHINO  40-</v>
      </c>
      <c r="C109" t="str">
        <f>"3"</f>
        <v>3</v>
      </c>
      <c r="D109">
        <v>10</v>
      </c>
      <c r="E109" t="str">
        <f>"118"</f>
        <v>118</v>
      </c>
      <c r="F109" t="str">
        <f t="shared" si="10"/>
        <v>0000</v>
      </c>
    </row>
    <row r="110" spans="1:6">
      <c r="C110" t="str">
        <f>"3"</f>
        <v>3</v>
      </c>
      <c r="D110">
        <v>10</v>
      </c>
      <c r="E110" t="str">
        <f>"126"</f>
        <v>126</v>
      </c>
      <c r="F110" t="str">
        <f t="shared" si="10"/>
        <v>0000</v>
      </c>
    </row>
    <row r="111" spans="1:6">
      <c r="C111" t="str">
        <f>"3"</f>
        <v>3</v>
      </c>
      <c r="D111">
        <v>10</v>
      </c>
      <c r="E111" t="str">
        <f>"121"</f>
        <v>121</v>
      </c>
      <c r="F111" t="str">
        <f t="shared" si="10"/>
        <v>0000</v>
      </c>
    </row>
    <row r="112" spans="1:6">
      <c r="A112" t="str">
        <f>"E847-6"</f>
        <v>E847-6</v>
      </c>
      <c r="B112" t="str">
        <f>"V VILLINI AMBROGIO NEGRON  16A-"</f>
        <v>V VILLINI AMBROGIO NEGRON  16A-</v>
      </c>
      <c r="C112" t="str">
        <f>"PRA"</f>
        <v>PRA</v>
      </c>
      <c r="D112">
        <v>11</v>
      </c>
      <c r="E112" t="str">
        <f>"245"</f>
        <v>245</v>
      </c>
      <c r="F112" t="str">
        <f>"12"</f>
        <v>12</v>
      </c>
    </row>
    <row r="113" spans="1:6">
      <c r="A113" t="str">
        <f>"E848-1"</f>
        <v>E848-1</v>
      </c>
      <c r="B113" t="str">
        <f>"VIA BRANEGA  10C-"</f>
        <v>VIA BRANEGA  10C-</v>
      </c>
      <c r="C113" t="str">
        <f>"3"</f>
        <v>3</v>
      </c>
      <c r="D113">
        <v>11</v>
      </c>
      <c r="E113" t="str">
        <f>"120"</f>
        <v>120</v>
      </c>
      <c r="F113" t="str">
        <f>"0000"</f>
        <v>0000</v>
      </c>
    </row>
    <row r="114" spans="1:6">
      <c r="C114" t="str">
        <f>"3"</f>
        <v>3</v>
      </c>
      <c r="D114">
        <v>11</v>
      </c>
      <c r="E114" t="str">
        <f>"230"</f>
        <v>230</v>
      </c>
      <c r="F114" t="str">
        <f>"0000"</f>
        <v>0000</v>
      </c>
    </row>
    <row r="115" spans="1:6">
      <c r="A115" t="str">
        <f>"E852-1"</f>
        <v>E852-1</v>
      </c>
      <c r="B115" t="str">
        <f>"VIA BRANEGA  10O-"</f>
        <v>VIA BRANEGA  10O-</v>
      </c>
      <c r="C115" t="str">
        <f>"PRA"</f>
        <v>PRA</v>
      </c>
      <c r="D115">
        <v>11</v>
      </c>
      <c r="E115" t="str">
        <f>"118"</f>
        <v>118</v>
      </c>
      <c r="F115" t="str">
        <f>"9"</f>
        <v>9</v>
      </c>
    </row>
    <row r="116" spans="1:6">
      <c r="A116" t="str">
        <f>"E852-2"</f>
        <v>E852-2</v>
      </c>
      <c r="B116" t="str">
        <f>"VIA BRANEGA  10L-"</f>
        <v>VIA BRANEGA  10L-</v>
      </c>
      <c r="C116" t="str">
        <f>"PRA"</f>
        <v>PRA</v>
      </c>
      <c r="D116">
        <v>11</v>
      </c>
      <c r="E116" t="str">
        <f>"118"</f>
        <v>118</v>
      </c>
      <c r="F116" t="str">
        <f>"10"</f>
        <v>10</v>
      </c>
    </row>
    <row r="117" spans="1:6">
      <c r="A117" t="str">
        <f>"E856-1"</f>
        <v>E856-1</v>
      </c>
      <c r="B117" t="str">
        <f>"VIA BRANEGA  10D-"</f>
        <v>VIA BRANEGA  10D-</v>
      </c>
      <c r="C117" t="str">
        <f>"3"</f>
        <v>3</v>
      </c>
      <c r="D117">
        <v>11</v>
      </c>
      <c r="E117" t="str">
        <f>"205"</f>
        <v>205</v>
      </c>
      <c r="F117" t="str">
        <f>"0000"</f>
        <v>0000</v>
      </c>
    </row>
    <row r="118" spans="1:6">
      <c r="C118" t="str">
        <f>"3"</f>
        <v>3</v>
      </c>
      <c r="D118">
        <v>11</v>
      </c>
      <c r="E118" t="str">
        <f>"861"</f>
        <v>861</v>
      </c>
      <c r="F118" t="str">
        <f>"0000"</f>
        <v>0000</v>
      </c>
    </row>
    <row r="119" spans="1:6">
      <c r="A119" t="str">
        <f>"E863-3"</f>
        <v>E863-3</v>
      </c>
      <c r="B119" t="str">
        <f>"VIA PRA  56-"</f>
        <v>VIA PRA  56-</v>
      </c>
      <c r="C119" t="str">
        <f>"PRA"</f>
        <v>PRA</v>
      </c>
      <c r="D119">
        <v>12</v>
      </c>
      <c r="E119" t="str">
        <f>"232"</f>
        <v>232</v>
      </c>
      <c r="F119" t="str">
        <f>"3"</f>
        <v>3</v>
      </c>
    </row>
    <row r="120" spans="1:6">
      <c r="A120" t="str">
        <f>"E870-1"</f>
        <v>E870-1</v>
      </c>
      <c r="B120" t="str">
        <f>"PIAZZA PALMARO VICINO AL 1-"</f>
        <v>PIAZZA PALMARO VICINO AL 1-</v>
      </c>
      <c r="C120" t="str">
        <f>"PRA"</f>
        <v>PRA</v>
      </c>
      <c r="D120">
        <v>12</v>
      </c>
      <c r="E120" t="str">
        <f>"C"</f>
        <v>C</v>
      </c>
      <c r="F120" t="str">
        <f t="shared" ref="F120:F134" si="12">"0000"</f>
        <v>0000</v>
      </c>
    </row>
    <row r="121" spans="1:6">
      <c r="A121" t="str">
        <f>"E871-1"</f>
        <v>E871-1</v>
      </c>
      <c r="B121" t="str">
        <f>"VIA MARTIRI DEL TURCHINO  99-"</f>
        <v>VIA MARTIRI DEL TURCHINO  99-</v>
      </c>
      <c r="C121" t="str">
        <f t="shared" ref="C121:C132" si="13">"3"</f>
        <v>3</v>
      </c>
      <c r="D121">
        <v>10</v>
      </c>
      <c r="E121" t="str">
        <f>"69"</f>
        <v>69</v>
      </c>
      <c r="F121" t="str">
        <f t="shared" si="12"/>
        <v>0000</v>
      </c>
    </row>
    <row r="122" spans="1:6">
      <c r="C122" t="str">
        <f t="shared" si="13"/>
        <v>3</v>
      </c>
      <c r="D122">
        <v>10</v>
      </c>
      <c r="E122" t="str">
        <f>"72"</f>
        <v>72</v>
      </c>
      <c r="F122" t="str">
        <f t="shared" si="12"/>
        <v>0000</v>
      </c>
    </row>
    <row r="123" spans="1:6">
      <c r="C123" t="str">
        <f t="shared" si="13"/>
        <v>3</v>
      </c>
      <c r="D123">
        <v>10</v>
      </c>
      <c r="E123" t="str">
        <f>"91"</f>
        <v>91</v>
      </c>
      <c r="F123" t="str">
        <f t="shared" si="12"/>
        <v>0000</v>
      </c>
    </row>
    <row r="124" spans="1:6">
      <c r="C124" t="str">
        <f t="shared" si="13"/>
        <v>3</v>
      </c>
      <c r="D124">
        <v>10</v>
      </c>
      <c r="E124" t="str">
        <f>"90"</f>
        <v>90</v>
      </c>
      <c r="F124" t="str">
        <f t="shared" si="12"/>
        <v>0000</v>
      </c>
    </row>
    <row r="125" spans="1:6">
      <c r="C125" t="str">
        <f t="shared" si="13"/>
        <v>3</v>
      </c>
      <c r="D125">
        <v>10</v>
      </c>
      <c r="E125" t="str">
        <f>"89"</f>
        <v>89</v>
      </c>
      <c r="F125" t="str">
        <f t="shared" si="12"/>
        <v>0000</v>
      </c>
    </row>
    <row r="126" spans="1:6">
      <c r="C126" t="str">
        <f t="shared" si="13"/>
        <v>3</v>
      </c>
      <c r="D126">
        <v>10</v>
      </c>
      <c r="E126" t="str">
        <f>"88"</f>
        <v>88</v>
      </c>
      <c r="F126" t="str">
        <f t="shared" si="12"/>
        <v>0000</v>
      </c>
    </row>
    <row r="127" spans="1:6">
      <c r="A127" t="str">
        <f>"E871-2"</f>
        <v>E871-2</v>
      </c>
      <c r="B127" t="str">
        <f>"VIA MARTIRI DEL TURCHINO  99-"</f>
        <v>VIA MARTIRI DEL TURCHINO  99-</v>
      </c>
      <c r="C127" t="str">
        <f t="shared" si="13"/>
        <v>3</v>
      </c>
      <c r="D127">
        <v>10</v>
      </c>
      <c r="E127" t="str">
        <f>"69"</f>
        <v>69</v>
      </c>
      <c r="F127" t="str">
        <f t="shared" si="12"/>
        <v>0000</v>
      </c>
    </row>
    <row r="128" spans="1:6">
      <c r="C128" t="str">
        <f t="shared" si="13"/>
        <v>3</v>
      </c>
      <c r="D128">
        <v>10</v>
      </c>
      <c r="E128" t="str">
        <f>"88"</f>
        <v>88</v>
      </c>
      <c r="F128" t="str">
        <f t="shared" si="12"/>
        <v>0000</v>
      </c>
    </row>
    <row r="129" spans="1:6">
      <c r="C129" t="str">
        <f t="shared" si="13"/>
        <v>3</v>
      </c>
      <c r="D129">
        <v>10</v>
      </c>
      <c r="E129" t="str">
        <f>"72"</f>
        <v>72</v>
      </c>
      <c r="F129" t="str">
        <f t="shared" si="12"/>
        <v>0000</v>
      </c>
    </row>
    <row r="130" spans="1:6">
      <c r="C130" t="str">
        <f t="shared" si="13"/>
        <v>3</v>
      </c>
      <c r="D130">
        <v>10</v>
      </c>
      <c r="E130" t="str">
        <f>"89"</f>
        <v>89</v>
      </c>
      <c r="F130" t="str">
        <f t="shared" si="12"/>
        <v>0000</v>
      </c>
    </row>
    <row r="131" spans="1:6">
      <c r="C131" t="str">
        <f t="shared" si="13"/>
        <v>3</v>
      </c>
      <c r="D131">
        <v>10</v>
      </c>
      <c r="E131" t="str">
        <f>"91"</f>
        <v>91</v>
      </c>
      <c r="F131" t="str">
        <f t="shared" si="12"/>
        <v>0000</v>
      </c>
    </row>
    <row r="132" spans="1:6">
      <c r="C132" t="str">
        <f t="shared" si="13"/>
        <v>3</v>
      </c>
      <c r="D132">
        <v>10</v>
      </c>
      <c r="E132" t="str">
        <f>"90"</f>
        <v>90</v>
      </c>
      <c r="F132" t="str">
        <f t="shared" si="12"/>
        <v>0000</v>
      </c>
    </row>
    <row r="133" spans="1:6">
      <c r="A133" t="str">
        <f>"E872-1"</f>
        <v>E872-1</v>
      </c>
      <c r="B133" t="str">
        <f>"VIA PRA VICINO AL 17A-"</f>
        <v>VIA PRA VICINO AL 17A-</v>
      </c>
      <c r="C133" t="str">
        <f t="shared" ref="C133:C164" si="14">"PRA"</f>
        <v>PRA</v>
      </c>
      <c r="D133">
        <v>14</v>
      </c>
      <c r="E133" t="str">
        <f>"289"</f>
        <v>289</v>
      </c>
      <c r="F133" t="str">
        <f t="shared" si="12"/>
        <v>0000</v>
      </c>
    </row>
    <row r="134" spans="1:6">
      <c r="A134" t="str">
        <f>"E873-1"</f>
        <v>E873-1</v>
      </c>
      <c r="B134" t="str">
        <f>"VIA PRA  17A-"</f>
        <v>VIA PRA  17A-</v>
      </c>
      <c r="C134" t="str">
        <f t="shared" si="14"/>
        <v>PRA</v>
      </c>
      <c r="D134">
        <v>14</v>
      </c>
      <c r="E134" t="str">
        <f>"290"</f>
        <v>290</v>
      </c>
      <c r="F134" t="str">
        <f t="shared" si="12"/>
        <v>0000</v>
      </c>
    </row>
    <row r="135" spans="1:6">
      <c r="A135" t="str">
        <f>"E884-1"</f>
        <v>E884-1</v>
      </c>
      <c r="B135" t="str">
        <f t="shared" ref="B135:B154" si="15">"VIA DUE DICEMBRE 1944  91-"</f>
        <v>VIA DUE DICEMBRE 1944  91-</v>
      </c>
      <c r="C135" t="str">
        <f t="shared" si="14"/>
        <v>PRA</v>
      </c>
      <c r="D135">
        <v>10</v>
      </c>
      <c r="E135" t="str">
        <f t="shared" ref="E135:E172" si="16">"741"</f>
        <v>741</v>
      </c>
      <c r="F135" t="str">
        <f>"1"</f>
        <v>1</v>
      </c>
    </row>
    <row r="136" spans="1:6">
      <c r="A136" t="str">
        <f>"E884-2"</f>
        <v>E884-2</v>
      </c>
      <c r="B136" t="str">
        <f t="shared" si="15"/>
        <v>VIA DUE DICEMBRE 1944  91-</v>
      </c>
      <c r="C136" t="str">
        <f t="shared" si="14"/>
        <v>PRA</v>
      </c>
      <c r="D136">
        <v>10</v>
      </c>
      <c r="E136" t="str">
        <f t="shared" si="16"/>
        <v>741</v>
      </c>
      <c r="F136" t="str">
        <f>"2"</f>
        <v>2</v>
      </c>
    </row>
    <row r="137" spans="1:6">
      <c r="A137" t="str">
        <f>"E884-3"</f>
        <v>E884-3</v>
      </c>
      <c r="B137" t="str">
        <f t="shared" si="15"/>
        <v>VIA DUE DICEMBRE 1944  91-</v>
      </c>
      <c r="C137" t="str">
        <f t="shared" si="14"/>
        <v>PRA</v>
      </c>
      <c r="D137">
        <v>10</v>
      </c>
      <c r="E137" t="str">
        <f t="shared" si="16"/>
        <v>741</v>
      </c>
      <c r="F137" t="str">
        <f>"3"</f>
        <v>3</v>
      </c>
    </row>
    <row r="138" spans="1:6">
      <c r="A138" t="str">
        <f>"E884-4"</f>
        <v>E884-4</v>
      </c>
      <c r="B138" t="str">
        <f t="shared" si="15"/>
        <v>VIA DUE DICEMBRE 1944  91-</v>
      </c>
      <c r="C138" t="str">
        <f t="shared" si="14"/>
        <v>PRA</v>
      </c>
      <c r="D138">
        <v>10</v>
      </c>
      <c r="E138" t="str">
        <f t="shared" si="16"/>
        <v>741</v>
      </c>
      <c r="F138" t="str">
        <f>"4"</f>
        <v>4</v>
      </c>
    </row>
    <row r="139" spans="1:6">
      <c r="A139" t="str">
        <f>"E884-5"</f>
        <v>E884-5</v>
      </c>
      <c r="B139" t="str">
        <f t="shared" si="15"/>
        <v>VIA DUE DICEMBRE 1944  91-</v>
      </c>
      <c r="C139" t="str">
        <f t="shared" si="14"/>
        <v>PRA</v>
      </c>
      <c r="D139">
        <v>10</v>
      </c>
      <c r="E139" t="str">
        <f t="shared" si="16"/>
        <v>741</v>
      </c>
      <c r="F139" t="str">
        <f>"5"</f>
        <v>5</v>
      </c>
    </row>
    <row r="140" spans="1:6">
      <c r="A140" t="str">
        <f>"E884-6"</f>
        <v>E884-6</v>
      </c>
      <c r="B140" t="str">
        <f t="shared" si="15"/>
        <v>VIA DUE DICEMBRE 1944  91-</v>
      </c>
      <c r="C140" t="str">
        <f t="shared" si="14"/>
        <v>PRA</v>
      </c>
      <c r="D140">
        <v>10</v>
      </c>
      <c r="E140" t="str">
        <f t="shared" si="16"/>
        <v>741</v>
      </c>
      <c r="F140" t="str">
        <f>"6"</f>
        <v>6</v>
      </c>
    </row>
    <row r="141" spans="1:6">
      <c r="A141" t="str">
        <f>"E884-7"</f>
        <v>E884-7</v>
      </c>
      <c r="B141" t="str">
        <f t="shared" si="15"/>
        <v>VIA DUE DICEMBRE 1944  91-</v>
      </c>
      <c r="C141" t="str">
        <f t="shared" si="14"/>
        <v>PRA</v>
      </c>
      <c r="D141">
        <v>10</v>
      </c>
      <c r="E141" t="str">
        <f t="shared" si="16"/>
        <v>741</v>
      </c>
      <c r="F141" t="str">
        <f>"7"</f>
        <v>7</v>
      </c>
    </row>
    <row r="142" spans="1:6">
      <c r="A142" t="str">
        <f>"E884-8"</f>
        <v>E884-8</v>
      </c>
      <c r="B142" t="str">
        <f t="shared" si="15"/>
        <v>VIA DUE DICEMBRE 1944  91-</v>
      </c>
      <c r="C142" t="str">
        <f t="shared" si="14"/>
        <v>PRA</v>
      </c>
      <c r="D142">
        <v>10</v>
      </c>
      <c r="E142" t="str">
        <f t="shared" si="16"/>
        <v>741</v>
      </c>
      <c r="F142" t="str">
        <f>"8"</f>
        <v>8</v>
      </c>
    </row>
    <row r="143" spans="1:6">
      <c r="A143" t="str">
        <f>"E884-9"</f>
        <v>E884-9</v>
      </c>
      <c r="B143" t="str">
        <f t="shared" si="15"/>
        <v>VIA DUE DICEMBRE 1944  91-</v>
      </c>
      <c r="C143" t="str">
        <f t="shared" si="14"/>
        <v>PRA</v>
      </c>
      <c r="D143">
        <v>10</v>
      </c>
      <c r="E143" t="str">
        <f t="shared" si="16"/>
        <v>741</v>
      </c>
      <c r="F143" t="str">
        <f>"9"</f>
        <v>9</v>
      </c>
    </row>
    <row r="144" spans="1:6">
      <c r="A144" t="str">
        <f>"E884-10"</f>
        <v>E884-10</v>
      </c>
      <c r="B144" t="str">
        <f t="shared" si="15"/>
        <v>VIA DUE DICEMBRE 1944  91-</v>
      </c>
      <c r="C144" t="str">
        <f t="shared" si="14"/>
        <v>PRA</v>
      </c>
      <c r="D144">
        <v>10</v>
      </c>
      <c r="E144" t="str">
        <f t="shared" si="16"/>
        <v>741</v>
      </c>
      <c r="F144" t="str">
        <f>"10"</f>
        <v>10</v>
      </c>
    </row>
    <row r="145" spans="1:6">
      <c r="A145" t="str">
        <f>"E884-11"</f>
        <v>E884-11</v>
      </c>
      <c r="B145" t="str">
        <f t="shared" si="15"/>
        <v>VIA DUE DICEMBRE 1944  91-</v>
      </c>
      <c r="C145" t="str">
        <f t="shared" si="14"/>
        <v>PRA</v>
      </c>
      <c r="D145">
        <v>10</v>
      </c>
      <c r="E145" t="str">
        <f t="shared" si="16"/>
        <v>741</v>
      </c>
      <c r="F145" t="str">
        <f>"11"</f>
        <v>11</v>
      </c>
    </row>
    <row r="146" spans="1:6">
      <c r="A146" t="str">
        <f>"E884-12"</f>
        <v>E884-12</v>
      </c>
      <c r="B146" t="str">
        <f t="shared" si="15"/>
        <v>VIA DUE DICEMBRE 1944  91-</v>
      </c>
      <c r="C146" t="str">
        <f t="shared" si="14"/>
        <v>PRA</v>
      </c>
      <c r="D146">
        <v>10</v>
      </c>
      <c r="E146" t="str">
        <f t="shared" si="16"/>
        <v>741</v>
      </c>
      <c r="F146" t="str">
        <f>"12"</f>
        <v>12</v>
      </c>
    </row>
    <row r="147" spans="1:6">
      <c r="A147" t="str">
        <f>"E884-13"</f>
        <v>E884-13</v>
      </c>
      <c r="B147" t="str">
        <f t="shared" si="15"/>
        <v>VIA DUE DICEMBRE 1944  91-</v>
      </c>
      <c r="C147" t="str">
        <f t="shared" si="14"/>
        <v>PRA</v>
      </c>
      <c r="D147">
        <v>10</v>
      </c>
      <c r="E147" t="str">
        <f t="shared" si="16"/>
        <v>741</v>
      </c>
      <c r="F147" t="str">
        <f>"13"</f>
        <v>13</v>
      </c>
    </row>
    <row r="148" spans="1:6">
      <c r="A148" t="str">
        <f>"E884-14"</f>
        <v>E884-14</v>
      </c>
      <c r="B148" t="str">
        <f t="shared" si="15"/>
        <v>VIA DUE DICEMBRE 1944  91-</v>
      </c>
      <c r="C148" t="str">
        <f t="shared" si="14"/>
        <v>PRA</v>
      </c>
      <c r="D148">
        <v>10</v>
      </c>
      <c r="E148" t="str">
        <f t="shared" si="16"/>
        <v>741</v>
      </c>
      <c r="F148" t="str">
        <f>"14"</f>
        <v>14</v>
      </c>
    </row>
    <row r="149" spans="1:6">
      <c r="A149" t="str">
        <f>"E884-15"</f>
        <v>E884-15</v>
      </c>
      <c r="B149" t="str">
        <f t="shared" si="15"/>
        <v>VIA DUE DICEMBRE 1944  91-</v>
      </c>
      <c r="C149" t="str">
        <f t="shared" si="14"/>
        <v>PRA</v>
      </c>
      <c r="D149">
        <v>10</v>
      </c>
      <c r="E149" t="str">
        <f t="shared" si="16"/>
        <v>741</v>
      </c>
      <c r="F149" t="str">
        <f>"15"</f>
        <v>15</v>
      </c>
    </row>
    <row r="150" spans="1:6">
      <c r="A150" t="str">
        <f>"E884-16"</f>
        <v>E884-16</v>
      </c>
      <c r="B150" t="str">
        <f t="shared" si="15"/>
        <v>VIA DUE DICEMBRE 1944  91-</v>
      </c>
      <c r="C150" t="str">
        <f t="shared" si="14"/>
        <v>PRA</v>
      </c>
      <c r="D150">
        <v>10</v>
      </c>
      <c r="E150" t="str">
        <f t="shared" si="16"/>
        <v>741</v>
      </c>
      <c r="F150" t="str">
        <f>"16"</f>
        <v>16</v>
      </c>
    </row>
    <row r="151" spans="1:6">
      <c r="A151" t="str">
        <f>"E884-17"</f>
        <v>E884-17</v>
      </c>
      <c r="B151" t="str">
        <f t="shared" si="15"/>
        <v>VIA DUE DICEMBRE 1944  91-</v>
      </c>
      <c r="C151" t="str">
        <f t="shared" si="14"/>
        <v>PRA</v>
      </c>
      <c r="D151">
        <v>10</v>
      </c>
      <c r="E151" t="str">
        <f t="shared" si="16"/>
        <v>741</v>
      </c>
      <c r="F151" t="str">
        <f>"17"</f>
        <v>17</v>
      </c>
    </row>
    <row r="152" spans="1:6">
      <c r="A152" t="str">
        <f>"E884-18"</f>
        <v>E884-18</v>
      </c>
      <c r="B152" t="str">
        <f t="shared" si="15"/>
        <v>VIA DUE DICEMBRE 1944  91-</v>
      </c>
      <c r="C152" t="str">
        <f t="shared" si="14"/>
        <v>PRA</v>
      </c>
      <c r="D152">
        <v>10</v>
      </c>
      <c r="E152" t="str">
        <f t="shared" si="16"/>
        <v>741</v>
      </c>
      <c r="F152" t="str">
        <f>"18"</f>
        <v>18</v>
      </c>
    </row>
    <row r="153" spans="1:6">
      <c r="A153" t="str">
        <f>"E884-19"</f>
        <v>E884-19</v>
      </c>
      <c r="B153" t="str">
        <f t="shared" si="15"/>
        <v>VIA DUE DICEMBRE 1944  91-</v>
      </c>
      <c r="C153" t="str">
        <f t="shared" si="14"/>
        <v>PRA</v>
      </c>
      <c r="D153">
        <v>10</v>
      </c>
      <c r="E153" t="str">
        <f t="shared" si="16"/>
        <v>741</v>
      </c>
      <c r="F153" t="str">
        <f>"19"</f>
        <v>19</v>
      </c>
    </row>
    <row r="154" spans="1:6">
      <c r="A154" t="str">
        <f>"E884-20"</f>
        <v>E884-20</v>
      </c>
      <c r="B154" t="str">
        <f t="shared" si="15"/>
        <v>VIA DUE DICEMBRE 1944  91-</v>
      </c>
      <c r="C154" t="str">
        <f t="shared" si="14"/>
        <v>PRA</v>
      </c>
      <c r="D154">
        <v>10</v>
      </c>
      <c r="E154" t="str">
        <f t="shared" si="16"/>
        <v>741</v>
      </c>
      <c r="F154" t="str">
        <f>"20"</f>
        <v>20</v>
      </c>
    </row>
    <row r="155" spans="1:6">
      <c r="A155" t="str">
        <f>"E884-21"</f>
        <v>E884-21</v>
      </c>
      <c r="B155" t="str">
        <f t="shared" ref="B155:B172" si="17">"VIA DUE DICEMBRE 1944  93-"</f>
        <v>VIA DUE DICEMBRE 1944  93-</v>
      </c>
      <c r="C155" t="str">
        <f t="shared" si="14"/>
        <v>PRA</v>
      </c>
      <c r="D155">
        <v>10</v>
      </c>
      <c r="E155" t="str">
        <f t="shared" si="16"/>
        <v>741</v>
      </c>
      <c r="F155" t="str">
        <f>"21"</f>
        <v>21</v>
      </c>
    </row>
    <row r="156" spans="1:6">
      <c r="A156" t="str">
        <f>"E884-22"</f>
        <v>E884-22</v>
      </c>
      <c r="B156" t="str">
        <f t="shared" si="17"/>
        <v>VIA DUE DICEMBRE 1944  93-</v>
      </c>
      <c r="C156" t="str">
        <f t="shared" si="14"/>
        <v>PRA</v>
      </c>
      <c r="D156">
        <v>10</v>
      </c>
      <c r="E156" t="str">
        <f t="shared" si="16"/>
        <v>741</v>
      </c>
      <c r="F156" t="str">
        <f>"22"</f>
        <v>22</v>
      </c>
    </row>
    <row r="157" spans="1:6">
      <c r="A157" t="str">
        <f>"E884-23"</f>
        <v>E884-23</v>
      </c>
      <c r="B157" t="str">
        <f t="shared" si="17"/>
        <v>VIA DUE DICEMBRE 1944  93-</v>
      </c>
      <c r="C157" t="str">
        <f t="shared" si="14"/>
        <v>PRA</v>
      </c>
      <c r="D157">
        <v>10</v>
      </c>
      <c r="E157" t="str">
        <f t="shared" si="16"/>
        <v>741</v>
      </c>
      <c r="F157" t="str">
        <f>"23"</f>
        <v>23</v>
      </c>
    </row>
    <row r="158" spans="1:6">
      <c r="A158" t="str">
        <f>"E884-24"</f>
        <v>E884-24</v>
      </c>
      <c r="B158" t="str">
        <f t="shared" si="17"/>
        <v>VIA DUE DICEMBRE 1944  93-</v>
      </c>
      <c r="C158" t="str">
        <f t="shared" si="14"/>
        <v>PRA</v>
      </c>
      <c r="D158">
        <v>10</v>
      </c>
      <c r="E158" t="str">
        <f t="shared" si="16"/>
        <v>741</v>
      </c>
      <c r="F158" t="str">
        <f>"24"</f>
        <v>24</v>
      </c>
    </row>
    <row r="159" spans="1:6">
      <c r="A159" t="str">
        <f>"E884-25"</f>
        <v>E884-25</v>
      </c>
      <c r="B159" t="str">
        <f t="shared" si="17"/>
        <v>VIA DUE DICEMBRE 1944  93-</v>
      </c>
      <c r="C159" t="str">
        <f t="shared" si="14"/>
        <v>PRA</v>
      </c>
      <c r="D159">
        <v>10</v>
      </c>
      <c r="E159" t="str">
        <f t="shared" si="16"/>
        <v>741</v>
      </c>
      <c r="F159" t="str">
        <f>"25"</f>
        <v>25</v>
      </c>
    </row>
    <row r="160" spans="1:6">
      <c r="A160" t="str">
        <f>"E884-26"</f>
        <v>E884-26</v>
      </c>
      <c r="B160" t="str">
        <f t="shared" si="17"/>
        <v>VIA DUE DICEMBRE 1944  93-</v>
      </c>
      <c r="C160" t="str">
        <f t="shared" si="14"/>
        <v>PRA</v>
      </c>
      <c r="D160">
        <v>10</v>
      </c>
      <c r="E160" t="str">
        <f t="shared" si="16"/>
        <v>741</v>
      </c>
      <c r="F160" t="str">
        <f>"26"</f>
        <v>26</v>
      </c>
    </row>
    <row r="161" spans="1:6">
      <c r="A161" t="str">
        <f>"E884-27"</f>
        <v>E884-27</v>
      </c>
      <c r="B161" t="str">
        <f t="shared" si="17"/>
        <v>VIA DUE DICEMBRE 1944  93-</v>
      </c>
      <c r="C161" t="str">
        <f t="shared" si="14"/>
        <v>PRA</v>
      </c>
      <c r="D161">
        <v>10</v>
      </c>
      <c r="E161" t="str">
        <f t="shared" si="16"/>
        <v>741</v>
      </c>
      <c r="F161" t="str">
        <f>"27"</f>
        <v>27</v>
      </c>
    </row>
    <row r="162" spans="1:6">
      <c r="A162" t="str">
        <f>"E884-28"</f>
        <v>E884-28</v>
      </c>
      <c r="B162" t="str">
        <f t="shared" si="17"/>
        <v>VIA DUE DICEMBRE 1944  93-</v>
      </c>
      <c r="C162" t="str">
        <f t="shared" si="14"/>
        <v>PRA</v>
      </c>
      <c r="D162">
        <v>10</v>
      </c>
      <c r="E162" t="str">
        <f t="shared" si="16"/>
        <v>741</v>
      </c>
      <c r="F162" t="str">
        <f>"28"</f>
        <v>28</v>
      </c>
    </row>
    <row r="163" spans="1:6">
      <c r="A163" t="str">
        <f>"E884-29"</f>
        <v>E884-29</v>
      </c>
      <c r="B163" t="str">
        <f t="shared" si="17"/>
        <v>VIA DUE DICEMBRE 1944  93-</v>
      </c>
      <c r="C163" t="str">
        <f t="shared" si="14"/>
        <v>PRA</v>
      </c>
      <c r="D163">
        <v>10</v>
      </c>
      <c r="E163" t="str">
        <f t="shared" si="16"/>
        <v>741</v>
      </c>
      <c r="F163" t="str">
        <f>"29"</f>
        <v>29</v>
      </c>
    </row>
    <row r="164" spans="1:6">
      <c r="A164" t="str">
        <f>"E884-30"</f>
        <v>E884-30</v>
      </c>
      <c r="B164" t="str">
        <f t="shared" si="17"/>
        <v>VIA DUE DICEMBRE 1944  93-</v>
      </c>
      <c r="C164" t="str">
        <f t="shared" si="14"/>
        <v>PRA</v>
      </c>
      <c r="D164">
        <v>10</v>
      </c>
      <c r="E164" t="str">
        <f t="shared" si="16"/>
        <v>741</v>
      </c>
      <c r="F164" t="str">
        <f>"30"</f>
        <v>30</v>
      </c>
    </row>
    <row r="165" spans="1:6">
      <c r="A165" t="str">
        <f>"E884-31"</f>
        <v>E884-31</v>
      </c>
      <c r="B165" t="str">
        <f t="shared" si="17"/>
        <v>VIA DUE DICEMBRE 1944  93-</v>
      </c>
      <c r="C165" t="str">
        <f t="shared" ref="C165:C196" si="18">"PRA"</f>
        <v>PRA</v>
      </c>
      <c r="D165">
        <v>10</v>
      </c>
      <c r="E165" t="str">
        <f t="shared" si="16"/>
        <v>741</v>
      </c>
      <c r="F165" t="str">
        <f>"31"</f>
        <v>31</v>
      </c>
    </row>
    <row r="166" spans="1:6">
      <c r="A166" t="str">
        <f>"E884-32"</f>
        <v>E884-32</v>
      </c>
      <c r="B166" t="str">
        <f t="shared" si="17"/>
        <v>VIA DUE DICEMBRE 1944  93-</v>
      </c>
      <c r="C166" t="str">
        <f t="shared" si="18"/>
        <v>PRA</v>
      </c>
      <c r="D166">
        <v>10</v>
      </c>
      <c r="E166" t="str">
        <f t="shared" si="16"/>
        <v>741</v>
      </c>
      <c r="F166" t="str">
        <f>"32"</f>
        <v>32</v>
      </c>
    </row>
    <row r="167" spans="1:6">
      <c r="A167" t="str">
        <f>"E884-33"</f>
        <v>E884-33</v>
      </c>
      <c r="B167" t="str">
        <f t="shared" si="17"/>
        <v>VIA DUE DICEMBRE 1944  93-</v>
      </c>
      <c r="C167" t="str">
        <f t="shared" si="18"/>
        <v>PRA</v>
      </c>
      <c r="D167">
        <v>10</v>
      </c>
      <c r="E167" t="str">
        <f t="shared" si="16"/>
        <v>741</v>
      </c>
      <c r="F167" t="str">
        <f>"33"</f>
        <v>33</v>
      </c>
    </row>
    <row r="168" spans="1:6">
      <c r="A168" t="str">
        <f>"E884-34"</f>
        <v>E884-34</v>
      </c>
      <c r="B168" t="str">
        <f t="shared" si="17"/>
        <v>VIA DUE DICEMBRE 1944  93-</v>
      </c>
      <c r="C168" t="str">
        <f t="shared" si="18"/>
        <v>PRA</v>
      </c>
      <c r="D168">
        <v>10</v>
      </c>
      <c r="E168" t="str">
        <f t="shared" si="16"/>
        <v>741</v>
      </c>
      <c r="F168" t="str">
        <f>"34"</f>
        <v>34</v>
      </c>
    </row>
    <row r="169" spans="1:6">
      <c r="A169" t="str">
        <f>"E884-35"</f>
        <v>E884-35</v>
      </c>
      <c r="B169" t="str">
        <f t="shared" si="17"/>
        <v>VIA DUE DICEMBRE 1944  93-</v>
      </c>
      <c r="C169" t="str">
        <f t="shared" si="18"/>
        <v>PRA</v>
      </c>
      <c r="D169">
        <v>10</v>
      </c>
      <c r="E169" t="str">
        <f t="shared" si="16"/>
        <v>741</v>
      </c>
      <c r="F169" t="str">
        <f>"35"</f>
        <v>35</v>
      </c>
    </row>
    <row r="170" spans="1:6">
      <c r="A170" t="str">
        <f>"E884-36"</f>
        <v>E884-36</v>
      </c>
      <c r="B170" t="str">
        <f t="shared" si="17"/>
        <v>VIA DUE DICEMBRE 1944  93-</v>
      </c>
      <c r="C170" t="str">
        <f t="shared" si="18"/>
        <v>PRA</v>
      </c>
      <c r="D170">
        <v>10</v>
      </c>
      <c r="E170" t="str">
        <f t="shared" si="16"/>
        <v>741</v>
      </c>
      <c r="F170" t="str">
        <f>"36"</f>
        <v>36</v>
      </c>
    </row>
    <row r="171" spans="1:6">
      <c r="A171" t="str">
        <f>"E884-37"</f>
        <v>E884-37</v>
      </c>
      <c r="B171" t="str">
        <f t="shared" si="17"/>
        <v>VIA DUE DICEMBRE 1944  93-</v>
      </c>
      <c r="C171" t="str">
        <f t="shared" si="18"/>
        <v>PRA</v>
      </c>
      <c r="D171">
        <v>10</v>
      </c>
      <c r="E171" t="str">
        <f t="shared" si="16"/>
        <v>741</v>
      </c>
      <c r="F171" t="str">
        <f>"37"</f>
        <v>37</v>
      </c>
    </row>
    <row r="172" spans="1:6">
      <c r="A172" t="str">
        <f>"E884-38"</f>
        <v>E884-38</v>
      </c>
      <c r="B172" t="str">
        <f t="shared" si="17"/>
        <v>VIA DUE DICEMBRE 1944  93-</v>
      </c>
      <c r="C172" t="str">
        <f t="shared" si="18"/>
        <v>PRA</v>
      </c>
      <c r="D172">
        <v>10</v>
      </c>
      <c r="E172" t="str">
        <f t="shared" si="16"/>
        <v>741</v>
      </c>
      <c r="F172" t="str">
        <f>"38"</f>
        <v>38</v>
      </c>
    </row>
    <row r="173" spans="1:6">
      <c r="A173" t="str">
        <f>"E885-1"</f>
        <v>E885-1</v>
      </c>
      <c r="B173" t="str">
        <f t="shared" ref="B173:B189" si="19">"VIA DUE DICEMBRE 1944  96-"</f>
        <v>VIA DUE DICEMBRE 1944  96-</v>
      </c>
      <c r="C173" t="str">
        <f t="shared" si="18"/>
        <v>PRA</v>
      </c>
      <c r="D173">
        <v>6</v>
      </c>
      <c r="E173" t="str">
        <f t="shared" ref="E173:E189" si="20">"218"</f>
        <v>218</v>
      </c>
      <c r="F173" t="str">
        <f>"1"</f>
        <v>1</v>
      </c>
    </row>
    <row r="174" spans="1:6">
      <c r="A174" t="str">
        <f>"E885-2"</f>
        <v>E885-2</v>
      </c>
      <c r="B174" t="str">
        <f t="shared" si="19"/>
        <v>VIA DUE DICEMBRE 1944  96-</v>
      </c>
      <c r="C174" t="str">
        <f t="shared" si="18"/>
        <v>PRA</v>
      </c>
      <c r="D174">
        <v>6</v>
      </c>
      <c r="E174" t="str">
        <f t="shared" si="20"/>
        <v>218</v>
      </c>
      <c r="F174" t="str">
        <f>"2"</f>
        <v>2</v>
      </c>
    </row>
    <row r="175" spans="1:6">
      <c r="A175" t="str">
        <f>"E885-3"</f>
        <v>E885-3</v>
      </c>
      <c r="B175" t="str">
        <f t="shared" si="19"/>
        <v>VIA DUE DICEMBRE 1944  96-</v>
      </c>
      <c r="C175" t="str">
        <f t="shared" si="18"/>
        <v>PRA</v>
      </c>
      <c r="D175">
        <v>6</v>
      </c>
      <c r="E175" t="str">
        <f t="shared" si="20"/>
        <v>218</v>
      </c>
      <c r="F175" t="str">
        <f>"3"</f>
        <v>3</v>
      </c>
    </row>
    <row r="176" spans="1:6">
      <c r="A176" t="str">
        <f>"E885-4"</f>
        <v>E885-4</v>
      </c>
      <c r="B176" t="str">
        <f t="shared" si="19"/>
        <v>VIA DUE DICEMBRE 1944  96-</v>
      </c>
      <c r="C176" t="str">
        <f t="shared" si="18"/>
        <v>PRA</v>
      </c>
      <c r="D176">
        <v>6</v>
      </c>
      <c r="E176" t="str">
        <f t="shared" si="20"/>
        <v>218</v>
      </c>
      <c r="F176" t="str">
        <f>"4"</f>
        <v>4</v>
      </c>
    </row>
    <row r="177" spans="1:6">
      <c r="A177" t="str">
        <f>"E885-5"</f>
        <v>E885-5</v>
      </c>
      <c r="B177" t="str">
        <f t="shared" si="19"/>
        <v>VIA DUE DICEMBRE 1944  96-</v>
      </c>
      <c r="C177" t="str">
        <f t="shared" si="18"/>
        <v>PRA</v>
      </c>
      <c r="D177">
        <v>6</v>
      </c>
      <c r="E177" t="str">
        <f t="shared" si="20"/>
        <v>218</v>
      </c>
      <c r="F177" t="str">
        <f>"5"</f>
        <v>5</v>
      </c>
    </row>
    <row r="178" spans="1:6">
      <c r="A178" t="str">
        <f>"E885-6"</f>
        <v>E885-6</v>
      </c>
      <c r="B178" t="str">
        <f t="shared" si="19"/>
        <v>VIA DUE DICEMBRE 1944  96-</v>
      </c>
      <c r="C178" t="str">
        <f t="shared" si="18"/>
        <v>PRA</v>
      </c>
      <c r="D178">
        <v>6</v>
      </c>
      <c r="E178" t="str">
        <f t="shared" si="20"/>
        <v>218</v>
      </c>
      <c r="F178" t="str">
        <f>"6"</f>
        <v>6</v>
      </c>
    </row>
    <row r="179" spans="1:6">
      <c r="A179" t="str">
        <f>"E885-7"</f>
        <v>E885-7</v>
      </c>
      <c r="B179" t="str">
        <f t="shared" si="19"/>
        <v>VIA DUE DICEMBRE 1944  96-</v>
      </c>
      <c r="C179" t="str">
        <f t="shared" si="18"/>
        <v>PRA</v>
      </c>
      <c r="D179">
        <v>6</v>
      </c>
      <c r="E179" t="str">
        <f t="shared" si="20"/>
        <v>218</v>
      </c>
      <c r="F179" t="str">
        <f>"7"</f>
        <v>7</v>
      </c>
    </row>
    <row r="180" spans="1:6">
      <c r="A180" t="str">
        <f>"E885-8"</f>
        <v>E885-8</v>
      </c>
      <c r="B180" t="str">
        <f t="shared" si="19"/>
        <v>VIA DUE DICEMBRE 1944  96-</v>
      </c>
      <c r="C180" t="str">
        <f t="shared" si="18"/>
        <v>PRA</v>
      </c>
      <c r="D180">
        <v>6</v>
      </c>
      <c r="E180" t="str">
        <f t="shared" si="20"/>
        <v>218</v>
      </c>
      <c r="F180" t="str">
        <f>"8"</f>
        <v>8</v>
      </c>
    </row>
    <row r="181" spans="1:6">
      <c r="A181" t="str">
        <f>"E885-9"</f>
        <v>E885-9</v>
      </c>
      <c r="B181" t="str">
        <f t="shared" si="19"/>
        <v>VIA DUE DICEMBRE 1944  96-</v>
      </c>
      <c r="C181" t="str">
        <f t="shared" si="18"/>
        <v>PRA</v>
      </c>
      <c r="D181">
        <v>6</v>
      </c>
      <c r="E181" t="str">
        <f t="shared" si="20"/>
        <v>218</v>
      </c>
      <c r="F181" t="str">
        <f>"9"</f>
        <v>9</v>
      </c>
    </row>
    <row r="182" spans="1:6">
      <c r="A182" t="str">
        <f>"E885-10"</f>
        <v>E885-10</v>
      </c>
      <c r="B182" t="str">
        <f t="shared" si="19"/>
        <v>VIA DUE DICEMBRE 1944  96-</v>
      </c>
      <c r="C182" t="str">
        <f t="shared" si="18"/>
        <v>PRA</v>
      </c>
      <c r="D182">
        <v>6</v>
      </c>
      <c r="E182" t="str">
        <f t="shared" si="20"/>
        <v>218</v>
      </c>
      <c r="F182" t="str">
        <f>"10"</f>
        <v>10</v>
      </c>
    </row>
    <row r="183" spans="1:6">
      <c r="A183" t="str">
        <f>"E885-11"</f>
        <v>E885-11</v>
      </c>
      <c r="B183" t="str">
        <f t="shared" si="19"/>
        <v>VIA DUE DICEMBRE 1944  96-</v>
      </c>
      <c r="C183" t="str">
        <f t="shared" si="18"/>
        <v>PRA</v>
      </c>
      <c r="D183">
        <v>6</v>
      </c>
      <c r="E183" t="str">
        <f t="shared" si="20"/>
        <v>218</v>
      </c>
      <c r="F183" t="str">
        <f>"11"</f>
        <v>11</v>
      </c>
    </row>
    <row r="184" spans="1:6">
      <c r="A184" t="str">
        <f>"E885-12"</f>
        <v>E885-12</v>
      </c>
      <c r="B184" t="str">
        <f t="shared" si="19"/>
        <v>VIA DUE DICEMBRE 1944  96-</v>
      </c>
      <c r="C184" t="str">
        <f t="shared" si="18"/>
        <v>PRA</v>
      </c>
      <c r="D184">
        <v>6</v>
      </c>
      <c r="E184" t="str">
        <f t="shared" si="20"/>
        <v>218</v>
      </c>
      <c r="F184" t="str">
        <f>"12"</f>
        <v>12</v>
      </c>
    </row>
    <row r="185" spans="1:6">
      <c r="A185" t="str">
        <f>"E885-13"</f>
        <v>E885-13</v>
      </c>
      <c r="B185" t="str">
        <f t="shared" si="19"/>
        <v>VIA DUE DICEMBRE 1944  96-</v>
      </c>
      <c r="C185" t="str">
        <f t="shared" si="18"/>
        <v>PRA</v>
      </c>
      <c r="D185">
        <v>6</v>
      </c>
      <c r="E185" t="str">
        <f t="shared" si="20"/>
        <v>218</v>
      </c>
      <c r="F185" t="str">
        <f>"13"</f>
        <v>13</v>
      </c>
    </row>
    <row r="186" spans="1:6">
      <c r="A186" t="str">
        <f>"E885-14"</f>
        <v>E885-14</v>
      </c>
      <c r="B186" t="str">
        <f t="shared" si="19"/>
        <v>VIA DUE DICEMBRE 1944  96-</v>
      </c>
      <c r="C186" t="str">
        <f t="shared" si="18"/>
        <v>PRA</v>
      </c>
      <c r="D186">
        <v>6</v>
      </c>
      <c r="E186" t="str">
        <f t="shared" si="20"/>
        <v>218</v>
      </c>
      <c r="F186" t="str">
        <f>"14"</f>
        <v>14</v>
      </c>
    </row>
    <row r="187" spans="1:6">
      <c r="A187" t="str">
        <f>"E885-15"</f>
        <v>E885-15</v>
      </c>
      <c r="B187" t="str">
        <f t="shared" si="19"/>
        <v>VIA DUE DICEMBRE 1944  96-</v>
      </c>
      <c r="C187" t="str">
        <f t="shared" si="18"/>
        <v>PRA</v>
      </c>
      <c r="D187">
        <v>10</v>
      </c>
      <c r="E187" t="str">
        <f t="shared" si="20"/>
        <v>218</v>
      </c>
      <c r="F187" t="str">
        <f>"15"</f>
        <v>15</v>
      </c>
    </row>
    <row r="188" spans="1:6">
      <c r="A188" t="str">
        <f>"E885-16"</f>
        <v>E885-16</v>
      </c>
      <c r="B188" t="str">
        <f t="shared" si="19"/>
        <v>VIA DUE DICEMBRE 1944  96-</v>
      </c>
      <c r="C188" t="str">
        <f t="shared" si="18"/>
        <v>PRA</v>
      </c>
      <c r="D188">
        <v>6</v>
      </c>
      <c r="E188" t="str">
        <f t="shared" si="20"/>
        <v>218</v>
      </c>
      <c r="F188" t="str">
        <f>"16"</f>
        <v>16</v>
      </c>
    </row>
    <row r="189" spans="1:6">
      <c r="A189" t="str">
        <f>"E885-17"</f>
        <v>E885-17</v>
      </c>
      <c r="B189" t="str">
        <f t="shared" si="19"/>
        <v>VIA DUE DICEMBRE 1944  96-</v>
      </c>
      <c r="C189" t="str">
        <f t="shared" si="18"/>
        <v>PRA</v>
      </c>
      <c r="D189">
        <v>6</v>
      </c>
      <c r="E189" t="str">
        <f t="shared" si="20"/>
        <v>218</v>
      </c>
      <c r="F189" t="str">
        <f>"17"</f>
        <v>17</v>
      </c>
    </row>
    <row r="190" spans="1:6">
      <c r="A190" t="str">
        <f>"E886-1"</f>
        <v>E886-1</v>
      </c>
      <c r="B190" t="str">
        <f t="shared" ref="B190:B213" si="21">"VIA DUE DICEMBRE 1944  95-"</f>
        <v>VIA DUE DICEMBRE 1944  95-</v>
      </c>
      <c r="C190" t="str">
        <f t="shared" si="18"/>
        <v>PRA</v>
      </c>
      <c r="D190">
        <v>10</v>
      </c>
      <c r="E190" t="str">
        <f t="shared" ref="E190:E221" si="22">"741"</f>
        <v>741</v>
      </c>
      <c r="F190" t="str">
        <f>"39"</f>
        <v>39</v>
      </c>
    </row>
    <row r="191" spans="1:6">
      <c r="A191" t="str">
        <f>"E886-2"</f>
        <v>E886-2</v>
      </c>
      <c r="B191" t="str">
        <f t="shared" si="21"/>
        <v>VIA DUE DICEMBRE 1944  95-</v>
      </c>
      <c r="C191" t="str">
        <f t="shared" si="18"/>
        <v>PRA</v>
      </c>
      <c r="D191">
        <v>10</v>
      </c>
      <c r="E191" t="str">
        <f t="shared" si="22"/>
        <v>741</v>
      </c>
      <c r="F191" t="str">
        <f>"40"</f>
        <v>40</v>
      </c>
    </row>
    <row r="192" spans="1:6">
      <c r="A192" t="str">
        <f>"E886-3"</f>
        <v>E886-3</v>
      </c>
      <c r="B192" t="str">
        <f t="shared" si="21"/>
        <v>VIA DUE DICEMBRE 1944  95-</v>
      </c>
      <c r="C192" t="str">
        <f t="shared" si="18"/>
        <v>PRA</v>
      </c>
      <c r="D192">
        <v>10</v>
      </c>
      <c r="E192" t="str">
        <f t="shared" si="22"/>
        <v>741</v>
      </c>
      <c r="F192" t="str">
        <f>"41"</f>
        <v>41</v>
      </c>
    </row>
    <row r="193" spans="1:6">
      <c r="A193" t="str">
        <f>"E886-4"</f>
        <v>E886-4</v>
      </c>
      <c r="B193" t="str">
        <f t="shared" si="21"/>
        <v>VIA DUE DICEMBRE 1944  95-</v>
      </c>
      <c r="C193" t="str">
        <f t="shared" si="18"/>
        <v>PRA</v>
      </c>
      <c r="D193">
        <v>10</v>
      </c>
      <c r="E193" t="str">
        <f t="shared" si="22"/>
        <v>741</v>
      </c>
      <c r="F193" t="str">
        <f>"42"</f>
        <v>42</v>
      </c>
    </row>
    <row r="194" spans="1:6">
      <c r="A194" t="str">
        <f>"E886-5"</f>
        <v>E886-5</v>
      </c>
      <c r="B194" t="str">
        <f t="shared" si="21"/>
        <v>VIA DUE DICEMBRE 1944  95-</v>
      </c>
      <c r="C194" t="str">
        <f t="shared" si="18"/>
        <v>PRA</v>
      </c>
      <c r="D194">
        <v>10</v>
      </c>
      <c r="E194" t="str">
        <f t="shared" si="22"/>
        <v>741</v>
      </c>
      <c r="F194" t="str">
        <f>"43"</f>
        <v>43</v>
      </c>
    </row>
    <row r="195" spans="1:6">
      <c r="A195" t="str">
        <f>"E886-6"</f>
        <v>E886-6</v>
      </c>
      <c r="B195" t="str">
        <f t="shared" si="21"/>
        <v>VIA DUE DICEMBRE 1944  95-</v>
      </c>
      <c r="C195" t="str">
        <f t="shared" si="18"/>
        <v>PRA</v>
      </c>
      <c r="D195">
        <v>10</v>
      </c>
      <c r="E195" t="str">
        <f t="shared" si="22"/>
        <v>741</v>
      </c>
      <c r="F195" t="str">
        <f>"44"</f>
        <v>44</v>
      </c>
    </row>
    <row r="196" spans="1:6">
      <c r="A196" t="str">
        <f>"E886-7"</f>
        <v>E886-7</v>
      </c>
      <c r="B196" t="str">
        <f t="shared" si="21"/>
        <v>VIA DUE DICEMBRE 1944  95-</v>
      </c>
      <c r="C196" t="str">
        <f t="shared" si="18"/>
        <v>PRA</v>
      </c>
      <c r="D196">
        <v>10</v>
      </c>
      <c r="E196" t="str">
        <f t="shared" si="22"/>
        <v>741</v>
      </c>
      <c r="F196" t="str">
        <f>"45"</f>
        <v>45</v>
      </c>
    </row>
    <row r="197" spans="1:6">
      <c r="A197" t="str">
        <f>"E886-8"</f>
        <v>E886-8</v>
      </c>
      <c r="B197" t="str">
        <f t="shared" si="21"/>
        <v>VIA DUE DICEMBRE 1944  95-</v>
      </c>
      <c r="C197" t="str">
        <f t="shared" ref="C197:C228" si="23">"PRA"</f>
        <v>PRA</v>
      </c>
      <c r="D197">
        <v>10</v>
      </c>
      <c r="E197" t="str">
        <f t="shared" si="22"/>
        <v>741</v>
      </c>
      <c r="F197" t="str">
        <f>"46"</f>
        <v>46</v>
      </c>
    </row>
    <row r="198" spans="1:6">
      <c r="A198" t="str">
        <f>"E886-9"</f>
        <v>E886-9</v>
      </c>
      <c r="B198" t="str">
        <f t="shared" si="21"/>
        <v>VIA DUE DICEMBRE 1944  95-</v>
      </c>
      <c r="C198" t="str">
        <f t="shared" si="23"/>
        <v>PRA</v>
      </c>
      <c r="D198">
        <v>10</v>
      </c>
      <c r="E198" t="str">
        <f t="shared" si="22"/>
        <v>741</v>
      </c>
      <c r="F198" t="str">
        <f>"47"</f>
        <v>47</v>
      </c>
    </row>
    <row r="199" spans="1:6">
      <c r="A199" t="str">
        <f>"E886-10"</f>
        <v>E886-10</v>
      </c>
      <c r="B199" t="str">
        <f t="shared" si="21"/>
        <v>VIA DUE DICEMBRE 1944  95-</v>
      </c>
      <c r="C199" t="str">
        <f t="shared" si="23"/>
        <v>PRA</v>
      </c>
      <c r="D199">
        <v>10</v>
      </c>
      <c r="E199" t="str">
        <f t="shared" si="22"/>
        <v>741</v>
      </c>
      <c r="F199" t="str">
        <f>"48"</f>
        <v>48</v>
      </c>
    </row>
    <row r="200" spans="1:6">
      <c r="A200" t="str">
        <f>"E886-11"</f>
        <v>E886-11</v>
      </c>
      <c r="B200" t="str">
        <f t="shared" si="21"/>
        <v>VIA DUE DICEMBRE 1944  95-</v>
      </c>
      <c r="C200" t="str">
        <f t="shared" si="23"/>
        <v>PRA</v>
      </c>
      <c r="D200">
        <v>10</v>
      </c>
      <c r="E200" t="str">
        <f t="shared" si="22"/>
        <v>741</v>
      </c>
      <c r="F200" t="str">
        <f>"49"</f>
        <v>49</v>
      </c>
    </row>
    <row r="201" spans="1:6">
      <c r="A201" t="str">
        <f>"E886-12"</f>
        <v>E886-12</v>
      </c>
      <c r="B201" t="str">
        <f t="shared" si="21"/>
        <v>VIA DUE DICEMBRE 1944  95-</v>
      </c>
      <c r="C201" t="str">
        <f t="shared" si="23"/>
        <v>PRA</v>
      </c>
      <c r="D201">
        <v>10</v>
      </c>
      <c r="E201" t="str">
        <f t="shared" si="22"/>
        <v>741</v>
      </c>
      <c r="F201" t="str">
        <f>"50"</f>
        <v>50</v>
      </c>
    </row>
    <row r="202" spans="1:6">
      <c r="A202" t="str">
        <f>"E886-13"</f>
        <v>E886-13</v>
      </c>
      <c r="B202" t="str">
        <f t="shared" si="21"/>
        <v>VIA DUE DICEMBRE 1944  95-</v>
      </c>
      <c r="C202" t="str">
        <f t="shared" si="23"/>
        <v>PRA</v>
      </c>
      <c r="D202">
        <v>10</v>
      </c>
      <c r="E202" t="str">
        <f t="shared" si="22"/>
        <v>741</v>
      </c>
      <c r="F202" t="str">
        <f>"51"</f>
        <v>51</v>
      </c>
    </row>
    <row r="203" spans="1:6">
      <c r="A203" t="str">
        <f>"E886-14"</f>
        <v>E886-14</v>
      </c>
      <c r="B203" t="str">
        <f t="shared" si="21"/>
        <v>VIA DUE DICEMBRE 1944  95-</v>
      </c>
      <c r="C203" t="str">
        <f t="shared" si="23"/>
        <v>PRA</v>
      </c>
      <c r="D203">
        <v>10</v>
      </c>
      <c r="E203" t="str">
        <f t="shared" si="22"/>
        <v>741</v>
      </c>
      <c r="F203" t="str">
        <f>"52"</f>
        <v>52</v>
      </c>
    </row>
    <row r="204" spans="1:6">
      <c r="A204" t="str">
        <f>"E886-15"</f>
        <v>E886-15</v>
      </c>
      <c r="B204" t="str">
        <f t="shared" si="21"/>
        <v>VIA DUE DICEMBRE 1944  95-</v>
      </c>
      <c r="C204" t="str">
        <f t="shared" si="23"/>
        <v>PRA</v>
      </c>
      <c r="D204">
        <v>10</v>
      </c>
      <c r="E204" t="str">
        <f t="shared" si="22"/>
        <v>741</v>
      </c>
      <c r="F204" t="str">
        <f>"53"</f>
        <v>53</v>
      </c>
    </row>
    <row r="205" spans="1:6">
      <c r="A205" t="str">
        <f>"E886-16"</f>
        <v>E886-16</v>
      </c>
      <c r="B205" t="str">
        <f t="shared" si="21"/>
        <v>VIA DUE DICEMBRE 1944  95-</v>
      </c>
      <c r="C205" t="str">
        <f t="shared" si="23"/>
        <v>PRA</v>
      </c>
      <c r="D205">
        <v>10</v>
      </c>
      <c r="E205" t="str">
        <f t="shared" si="22"/>
        <v>741</v>
      </c>
      <c r="F205" t="str">
        <f>"54"</f>
        <v>54</v>
      </c>
    </row>
    <row r="206" spans="1:6">
      <c r="A206" t="str">
        <f>"E886-17"</f>
        <v>E886-17</v>
      </c>
      <c r="B206" t="str">
        <f t="shared" si="21"/>
        <v>VIA DUE DICEMBRE 1944  95-</v>
      </c>
      <c r="C206" t="str">
        <f t="shared" si="23"/>
        <v>PRA</v>
      </c>
      <c r="D206">
        <v>10</v>
      </c>
      <c r="E206" t="str">
        <f t="shared" si="22"/>
        <v>741</v>
      </c>
      <c r="F206" t="str">
        <f>"55"</f>
        <v>55</v>
      </c>
    </row>
    <row r="207" spans="1:6">
      <c r="A207" t="str">
        <f>"E886-18"</f>
        <v>E886-18</v>
      </c>
      <c r="B207" t="str">
        <f t="shared" si="21"/>
        <v>VIA DUE DICEMBRE 1944  95-</v>
      </c>
      <c r="C207" t="str">
        <f t="shared" si="23"/>
        <v>PRA</v>
      </c>
      <c r="D207">
        <v>10</v>
      </c>
      <c r="E207" t="str">
        <f t="shared" si="22"/>
        <v>741</v>
      </c>
      <c r="F207" t="str">
        <f>"56"</f>
        <v>56</v>
      </c>
    </row>
    <row r="208" spans="1:6">
      <c r="A208" t="str">
        <f>"E886-19"</f>
        <v>E886-19</v>
      </c>
      <c r="B208" t="str">
        <f t="shared" si="21"/>
        <v>VIA DUE DICEMBRE 1944  95-</v>
      </c>
      <c r="C208" t="str">
        <f t="shared" si="23"/>
        <v>PRA</v>
      </c>
      <c r="D208">
        <v>10</v>
      </c>
      <c r="E208" t="str">
        <f t="shared" si="22"/>
        <v>741</v>
      </c>
      <c r="F208" t="str">
        <f>"57"</f>
        <v>57</v>
      </c>
    </row>
    <row r="209" spans="1:6">
      <c r="A209" t="str">
        <f>"E886-20"</f>
        <v>E886-20</v>
      </c>
      <c r="B209" t="str">
        <f t="shared" si="21"/>
        <v>VIA DUE DICEMBRE 1944  95-</v>
      </c>
      <c r="C209" t="str">
        <f t="shared" si="23"/>
        <v>PRA</v>
      </c>
      <c r="D209">
        <v>10</v>
      </c>
      <c r="E209" t="str">
        <f t="shared" si="22"/>
        <v>741</v>
      </c>
      <c r="F209" t="str">
        <f>"58"</f>
        <v>58</v>
      </c>
    </row>
    <row r="210" spans="1:6">
      <c r="A210" t="str">
        <f>"E886-21"</f>
        <v>E886-21</v>
      </c>
      <c r="B210" t="str">
        <f t="shared" si="21"/>
        <v>VIA DUE DICEMBRE 1944  95-</v>
      </c>
      <c r="C210" t="str">
        <f t="shared" si="23"/>
        <v>PRA</v>
      </c>
      <c r="D210">
        <v>10</v>
      </c>
      <c r="E210" t="str">
        <f t="shared" si="22"/>
        <v>741</v>
      </c>
      <c r="F210" t="str">
        <f>"59"</f>
        <v>59</v>
      </c>
    </row>
    <row r="211" spans="1:6">
      <c r="A211" t="str">
        <f>"E886-22"</f>
        <v>E886-22</v>
      </c>
      <c r="B211" t="str">
        <f t="shared" si="21"/>
        <v>VIA DUE DICEMBRE 1944  95-</v>
      </c>
      <c r="C211" t="str">
        <f t="shared" si="23"/>
        <v>PRA</v>
      </c>
      <c r="D211">
        <v>10</v>
      </c>
      <c r="E211" t="str">
        <f t="shared" si="22"/>
        <v>741</v>
      </c>
      <c r="F211" t="str">
        <f>"60"</f>
        <v>60</v>
      </c>
    </row>
    <row r="212" spans="1:6">
      <c r="A212" t="str">
        <f>"E886-23"</f>
        <v>E886-23</v>
      </c>
      <c r="B212" t="str">
        <f t="shared" si="21"/>
        <v>VIA DUE DICEMBRE 1944  95-</v>
      </c>
      <c r="C212" t="str">
        <f t="shared" si="23"/>
        <v>PRA</v>
      </c>
      <c r="D212">
        <v>10</v>
      </c>
      <c r="E212" t="str">
        <f t="shared" si="22"/>
        <v>741</v>
      </c>
      <c r="F212" t="str">
        <f>"61"</f>
        <v>61</v>
      </c>
    </row>
    <row r="213" spans="1:6">
      <c r="A213" t="str">
        <f>"E886-24"</f>
        <v>E886-24</v>
      </c>
      <c r="B213" t="str">
        <f t="shared" si="21"/>
        <v>VIA DUE DICEMBRE 1944  95-</v>
      </c>
      <c r="C213" t="str">
        <f t="shared" si="23"/>
        <v>PRA</v>
      </c>
      <c r="D213">
        <v>10</v>
      </c>
      <c r="E213" t="str">
        <f t="shared" si="22"/>
        <v>741</v>
      </c>
      <c r="F213" t="str">
        <f>"62"</f>
        <v>62</v>
      </c>
    </row>
    <row r="214" spans="1:6">
      <c r="A214" t="str">
        <f>"E886-25"</f>
        <v>E886-25</v>
      </c>
      <c r="B214" t="str">
        <f t="shared" ref="B214:B225" si="24">"VIA DUE DICEMBRE 1944  97-"</f>
        <v>VIA DUE DICEMBRE 1944  97-</v>
      </c>
      <c r="C214" t="str">
        <f t="shared" si="23"/>
        <v>PRA</v>
      </c>
      <c r="D214">
        <v>10</v>
      </c>
      <c r="E214" t="str">
        <f t="shared" si="22"/>
        <v>741</v>
      </c>
      <c r="F214" t="str">
        <f>"80"</f>
        <v>80</v>
      </c>
    </row>
    <row r="215" spans="1:6">
      <c r="A215" t="str">
        <f>"E886-26"</f>
        <v>E886-26</v>
      </c>
      <c r="B215" t="str">
        <f t="shared" si="24"/>
        <v>VIA DUE DICEMBRE 1944  97-</v>
      </c>
      <c r="C215" t="str">
        <f t="shared" si="23"/>
        <v>PRA</v>
      </c>
      <c r="D215">
        <v>10</v>
      </c>
      <c r="E215" t="str">
        <f t="shared" si="22"/>
        <v>741</v>
      </c>
      <c r="F215" t="str">
        <f>"81"</f>
        <v>81</v>
      </c>
    </row>
    <row r="216" spans="1:6">
      <c r="A216" t="str">
        <f>"E886-27"</f>
        <v>E886-27</v>
      </c>
      <c r="B216" t="str">
        <f t="shared" si="24"/>
        <v>VIA DUE DICEMBRE 1944  97-</v>
      </c>
      <c r="C216" t="str">
        <f t="shared" si="23"/>
        <v>PRA</v>
      </c>
      <c r="D216">
        <v>10</v>
      </c>
      <c r="E216" t="str">
        <f t="shared" si="22"/>
        <v>741</v>
      </c>
      <c r="F216" t="str">
        <f>"82"</f>
        <v>82</v>
      </c>
    </row>
    <row r="217" spans="1:6">
      <c r="A217" t="str">
        <f>"E886-28"</f>
        <v>E886-28</v>
      </c>
      <c r="B217" t="str">
        <f t="shared" si="24"/>
        <v>VIA DUE DICEMBRE 1944  97-</v>
      </c>
      <c r="C217" t="str">
        <f t="shared" si="23"/>
        <v>PRA</v>
      </c>
      <c r="D217">
        <v>10</v>
      </c>
      <c r="E217" t="str">
        <f t="shared" si="22"/>
        <v>741</v>
      </c>
      <c r="F217" t="str">
        <f>"83"</f>
        <v>83</v>
      </c>
    </row>
    <row r="218" spans="1:6">
      <c r="A218" t="str">
        <f>"E886-29"</f>
        <v>E886-29</v>
      </c>
      <c r="B218" t="str">
        <f t="shared" si="24"/>
        <v>VIA DUE DICEMBRE 1944  97-</v>
      </c>
      <c r="C218" t="str">
        <f t="shared" si="23"/>
        <v>PRA</v>
      </c>
      <c r="D218">
        <v>10</v>
      </c>
      <c r="E218" t="str">
        <f t="shared" si="22"/>
        <v>741</v>
      </c>
      <c r="F218" t="str">
        <f>"84"</f>
        <v>84</v>
      </c>
    </row>
    <row r="219" spans="1:6">
      <c r="A219" t="str">
        <f>"E886-30"</f>
        <v>E886-30</v>
      </c>
      <c r="B219" t="str">
        <f t="shared" si="24"/>
        <v>VIA DUE DICEMBRE 1944  97-</v>
      </c>
      <c r="C219" t="str">
        <f t="shared" si="23"/>
        <v>PRA</v>
      </c>
      <c r="D219">
        <v>10</v>
      </c>
      <c r="E219" t="str">
        <f t="shared" si="22"/>
        <v>741</v>
      </c>
      <c r="F219" t="str">
        <f>"85"</f>
        <v>85</v>
      </c>
    </row>
    <row r="220" spans="1:6">
      <c r="A220" t="str">
        <f>"E886-31"</f>
        <v>E886-31</v>
      </c>
      <c r="B220" t="str">
        <f t="shared" si="24"/>
        <v>VIA DUE DICEMBRE 1944  97-</v>
      </c>
      <c r="C220" t="str">
        <f t="shared" si="23"/>
        <v>PRA</v>
      </c>
      <c r="D220">
        <v>10</v>
      </c>
      <c r="E220" t="str">
        <f t="shared" si="22"/>
        <v>741</v>
      </c>
      <c r="F220" t="str">
        <f>"86"</f>
        <v>86</v>
      </c>
    </row>
    <row r="221" spans="1:6">
      <c r="A221" t="str">
        <f>"E886-32"</f>
        <v>E886-32</v>
      </c>
      <c r="B221" t="str">
        <f t="shared" si="24"/>
        <v>VIA DUE DICEMBRE 1944  97-</v>
      </c>
      <c r="C221" t="str">
        <f t="shared" si="23"/>
        <v>PRA</v>
      </c>
      <c r="D221">
        <v>10</v>
      </c>
      <c r="E221" t="str">
        <f t="shared" si="22"/>
        <v>741</v>
      </c>
      <c r="F221" t="str">
        <f>"87"</f>
        <v>87</v>
      </c>
    </row>
    <row r="222" spans="1:6">
      <c r="A222" t="str">
        <f>"E886-33"</f>
        <v>E886-33</v>
      </c>
      <c r="B222" t="str">
        <f t="shared" si="24"/>
        <v>VIA DUE DICEMBRE 1944  97-</v>
      </c>
      <c r="C222" t="str">
        <f t="shared" si="23"/>
        <v>PRA</v>
      </c>
      <c r="D222">
        <v>10</v>
      </c>
      <c r="E222" t="str">
        <f t="shared" ref="E222:E249" si="25">"741"</f>
        <v>741</v>
      </c>
      <c r="F222" t="str">
        <f>"88"</f>
        <v>88</v>
      </c>
    </row>
    <row r="223" spans="1:6">
      <c r="A223" t="str">
        <f>"E886-34"</f>
        <v>E886-34</v>
      </c>
      <c r="B223" t="str">
        <f t="shared" si="24"/>
        <v>VIA DUE DICEMBRE 1944  97-</v>
      </c>
      <c r="C223" t="str">
        <f t="shared" si="23"/>
        <v>PRA</v>
      </c>
      <c r="D223">
        <v>10</v>
      </c>
      <c r="E223" t="str">
        <f t="shared" si="25"/>
        <v>741</v>
      </c>
      <c r="F223" t="str">
        <f>"89"</f>
        <v>89</v>
      </c>
    </row>
    <row r="224" spans="1:6">
      <c r="A224" t="str">
        <f>"E886-35"</f>
        <v>E886-35</v>
      </c>
      <c r="B224" t="str">
        <f t="shared" si="24"/>
        <v>VIA DUE DICEMBRE 1944  97-</v>
      </c>
      <c r="C224" t="str">
        <f t="shared" si="23"/>
        <v>PRA</v>
      </c>
      <c r="D224">
        <v>10</v>
      </c>
      <c r="E224" t="str">
        <f t="shared" si="25"/>
        <v>741</v>
      </c>
      <c r="F224" t="str">
        <f>"90"</f>
        <v>90</v>
      </c>
    </row>
    <row r="225" spans="1:6">
      <c r="A225" t="str">
        <f>"E886-36"</f>
        <v>E886-36</v>
      </c>
      <c r="B225" t="str">
        <f t="shared" si="24"/>
        <v>VIA DUE DICEMBRE 1944  97-</v>
      </c>
      <c r="C225" t="str">
        <f t="shared" si="23"/>
        <v>PRA</v>
      </c>
      <c r="D225">
        <v>10</v>
      </c>
      <c r="E225" t="str">
        <f t="shared" si="25"/>
        <v>741</v>
      </c>
      <c r="F225" t="str">
        <f>"91"</f>
        <v>91</v>
      </c>
    </row>
    <row r="226" spans="1:6">
      <c r="A226" t="str">
        <f>"E886-37"</f>
        <v>E886-37</v>
      </c>
      <c r="B226" t="str">
        <f t="shared" ref="B226:B249" si="26">"VIA DUE DICEMBRE 1944  99-"</f>
        <v>VIA DUE DICEMBRE 1944  99-</v>
      </c>
      <c r="C226" t="str">
        <f t="shared" si="23"/>
        <v>PRA</v>
      </c>
      <c r="D226">
        <v>10</v>
      </c>
      <c r="E226" t="str">
        <f t="shared" si="25"/>
        <v>741</v>
      </c>
      <c r="F226" t="str">
        <f>"92"</f>
        <v>92</v>
      </c>
    </row>
    <row r="227" spans="1:6">
      <c r="A227" t="str">
        <f>"E886-38"</f>
        <v>E886-38</v>
      </c>
      <c r="B227" t="str">
        <f t="shared" si="26"/>
        <v>VIA DUE DICEMBRE 1944  99-</v>
      </c>
      <c r="C227" t="str">
        <f t="shared" si="23"/>
        <v>PRA</v>
      </c>
      <c r="D227">
        <v>10</v>
      </c>
      <c r="E227" t="str">
        <f t="shared" si="25"/>
        <v>741</v>
      </c>
      <c r="F227" t="str">
        <f>"93"</f>
        <v>93</v>
      </c>
    </row>
    <row r="228" spans="1:6">
      <c r="A228" t="str">
        <f>"E886-39"</f>
        <v>E886-39</v>
      </c>
      <c r="B228" t="str">
        <f t="shared" si="26"/>
        <v>VIA DUE DICEMBRE 1944  99-</v>
      </c>
      <c r="C228" t="str">
        <f t="shared" si="23"/>
        <v>PRA</v>
      </c>
      <c r="D228">
        <v>10</v>
      </c>
      <c r="E228" t="str">
        <f t="shared" si="25"/>
        <v>741</v>
      </c>
      <c r="F228" t="str">
        <f>"94"</f>
        <v>94</v>
      </c>
    </row>
    <row r="229" spans="1:6">
      <c r="A229" t="str">
        <f>"E886-40"</f>
        <v>E886-40</v>
      </c>
      <c r="B229" t="str">
        <f t="shared" si="26"/>
        <v>VIA DUE DICEMBRE 1944  99-</v>
      </c>
      <c r="C229" t="str">
        <f t="shared" ref="C229:C260" si="27">"PRA"</f>
        <v>PRA</v>
      </c>
      <c r="D229">
        <v>10</v>
      </c>
      <c r="E229" t="str">
        <f t="shared" si="25"/>
        <v>741</v>
      </c>
      <c r="F229" t="str">
        <f>"95"</f>
        <v>95</v>
      </c>
    </row>
    <row r="230" spans="1:6">
      <c r="A230" t="str">
        <f>"E886-41"</f>
        <v>E886-41</v>
      </c>
      <c r="B230" t="str">
        <f t="shared" si="26"/>
        <v>VIA DUE DICEMBRE 1944  99-</v>
      </c>
      <c r="C230" t="str">
        <f t="shared" si="27"/>
        <v>PRA</v>
      </c>
      <c r="D230">
        <v>10</v>
      </c>
      <c r="E230" t="str">
        <f t="shared" si="25"/>
        <v>741</v>
      </c>
      <c r="F230" t="str">
        <f>"96"</f>
        <v>96</v>
      </c>
    </row>
    <row r="231" spans="1:6">
      <c r="A231" t="str">
        <f>"E886-42"</f>
        <v>E886-42</v>
      </c>
      <c r="B231" t="str">
        <f t="shared" si="26"/>
        <v>VIA DUE DICEMBRE 1944  99-</v>
      </c>
      <c r="C231" t="str">
        <f t="shared" si="27"/>
        <v>PRA</v>
      </c>
      <c r="D231">
        <v>10</v>
      </c>
      <c r="E231" t="str">
        <f t="shared" si="25"/>
        <v>741</v>
      </c>
      <c r="F231" t="str">
        <f>"97"</f>
        <v>97</v>
      </c>
    </row>
    <row r="232" spans="1:6">
      <c r="A232" t="str">
        <f>"E886-43"</f>
        <v>E886-43</v>
      </c>
      <c r="B232" t="str">
        <f t="shared" si="26"/>
        <v>VIA DUE DICEMBRE 1944  99-</v>
      </c>
      <c r="C232" t="str">
        <f t="shared" si="27"/>
        <v>PRA</v>
      </c>
      <c r="D232">
        <v>10</v>
      </c>
      <c r="E232" t="str">
        <f t="shared" si="25"/>
        <v>741</v>
      </c>
      <c r="F232" t="str">
        <f>"98"</f>
        <v>98</v>
      </c>
    </row>
    <row r="233" spans="1:6">
      <c r="A233" t="str">
        <f>"E886-44"</f>
        <v>E886-44</v>
      </c>
      <c r="B233" t="str">
        <f t="shared" si="26"/>
        <v>VIA DUE DICEMBRE 1944  99-</v>
      </c>
      <c r="C233" t="str">
        <f t="shared" si="27"/>
        <v>PRA</v>
      </c>
      <c r="D233">
        <v>10</v>
      </c>
      <c r="E233" t="str">
        <f t="shared" si="25"/>
        <v>741</v>
      </c>
      <c r="F233" t="str">
        <f>"99"</f>
        <v>99</v>
      </c>
    </row>
    <row r="234" spans="1:6">
      <c r="A234" t="str">
        <f>"E886-45"</f>
        <v>E886-45</v>
      </c>
      <c r="B234" t="str">
        <f t="shared" si="26"/>
        <v>VIA DUE DICEMBRE 1944  99-</v>
      </c>
      <c r="C234" t="str">
        <f t="shared" si="27"/>
        <v>PRA</v>
      </c>
      <c r="D234">
        <v>10</v>
      </c>
      <c r="E234" t="str">
        <f t="shared" si="25"/>
        <v>741</v>
      </c>
      <c r="F234" t="str">
        <f>"100"</f>
        <v>100</v>
      </c>
    </row>
    <row r="235" spans="1:6">
      <c r="A235" t="str">
        <f>"E886-46"</f>
        <v>E886-46</v>
      </c>
      <c r="B235" t="str">
        <f t="shared" si="26"/>
        <v>VIA DUE DICEMBRE 1944  99-</v>
      </c>
      <c r="C235" t="str">
        <f t="shared" si="27"/>
        <v>PRA</v>
      </c>
      <c r="D235">
        <v>10</v>
      </c>
      <c r="E235" t="str">
        <f t="shared" si="25"/>
        <v>741</v>
      </c>
      <c r="F235" t="str">
        <f>"101"</f>
        <v>101</v>
      </c>
    </row>
    <row r="236" spans="1:6">
      <c r="A236" t="str">
        <f>"E886-47"</f>
        <v>E886-47</v>
      </c>
      <c r="B236" t="str">
        <f t="shared" si="26"/>
        <v>VIA DUE DICEMBRE 1944  99-</v>
      </c>
      <c r="C236" t="str">
        <f t="shared" si="27"/>
        <v>PRA</v>
      </c>
      <c r="D236">
        <v>10</v>
      </c>
      <c r="E236" t="str">
        <f t="shared" si="25"/>
        <v>741</v>
      </c>
      <c r="F236" t="str">
        <f>"102"</f>
        <v>102</v>
      </c>
    </row>
    <row r="237" spans="1:6">
      <c r="A237" t="str">
        <f>"E886-48"</f>
        <v>E886-48</v>
      </c>
      <c r="B237" t="str">
        <f t="shared" si="26"/>
        <v>VIA DUE DICEMBRE 1944  99-</v>
      </c>
      <c r="C237" t="str">
        <f t="shared" si="27"/>
        <v>PRA</v>
      </c>
      <c r="D237">
        <v>10</v>
      </c>
      <c r="E237" t="str">
        <f t="shared" si="25"/>
        <v>741</v>
      </c>
      <c r="F237" t="str">
        <f>"103"</f>
        <v>103</v>
      </c>
    </row>
    <row r="238" spans="1:6">
      <c r="A238" t="str">
        <f>"E886-49"</f>
        <v>E886-49</v>
      </c>
      <c r="B238" t="str">
        <f t="shared" si="26"/>
        <v>VIA DUE DICEMBRE 1944  99-</v>
      </c>
      <c r="C238" t="str">
        <f t="shared" si="27"/>
        <v>PRA</v>
      </c>
      <c r="D238">
        <v>10</v>
      </c>
      <c r="E238" t="str">
        <f t="shared" si="25"/>
        <v>741</v>
      </c>
      <c r="F238" t="str">
        <f>"104"</f>
        <v>104</v>
      </c>
    </row>
    <row r="239" spans="1:6">
      <c r="A239" t="str">
        <f>"E886-50"</f>
        <v>E886-50</v>
      </c>
      <c r="B239" t="str">
        <f t="shared" si="26"/>
        <v>VIA DUE DICEMBRE 1944  99-</v>
      </c>
      <c r="C239" t="str">
        <f t="shared" si="27"/>
        <v>PRA</v>
      </c>
      <c r="D239">
        <v>10</v>
      </c>
      <c r="E239" t="str">
        <f t="shared" si="25"/>
        <v>741</v>
      </c>
      <c r="F239" t="str">
        <f>"105"</f>
        <v>105</v>
      </c>
    </row>
    <row r="240" spans="1:6">
      <c r="A240" t="str">
        <f>"E886-51"</f>
        <v>E886-51</v>
      </c>
      <c r="B240" t="str">
        <f t="shared" si="26"/>
        <v>VIA DUE DICEMBRE 1944  99-</v>
      </c>
      <c r="C240" t="str">
        <f t="shared" si="27"/>
        <v>PRA</v>
      </c>
      <c r="D240">
        <v>10</v>
      </c>
      <c r="E240" t="str">
        <f t="shared" si="25"/>
        <v>741</v>
      </c>
      <c r="F240" t="str">
        <f>"106"</f>
        <v>106</v>
      </c>
    </row>
    <row r="241" spans="1:6">
      <c r="A241" t="str">
        <f>"E886-52"</f>
        <v>E886-52</v>
      </c>
      <c r="B241" t="str">
        <f t="shared" si="26"/>
        <v>VIA DUE DICEMBRE 1944  99-</v>
      </c>
      <c r="C241" t="str">
        <f t="shared" si="27"/>
        <v>PRA</v>
      </c>
      <c r="D241">
        <v>10</v>
      </c>
      <c r="E241" t="str">
        <f t="shared" si="25"/>
        <v>741</v>
      </c>
      <c r="F241" t="str">
        <f>"107"</f>
        <v>107</v>
      </c>
    </row>
    <row r="242" spans="1:6">
      <c r="A242" t="str">
        <f>"E886-53"</f>
        <v>E886-53</v>
      </c>
      <c r="B242" t="str">
        <f t="shared" si="26"/>
        <v>VIA DUE DICEMBRE 1944  99-</v>
      </c>
      <c r="C242" t="str">
        <f t="shared" si="27"/>
        <v>PRA</v>
      </c>
      <c r="D242">
        <v>10</v>
      </c>
      <c r="E242" t="str">
        <f t="shared" si="25"/>
        <v>741</v>
      </c>
      <c r="F242" t="str">
        <f>"108"</f>
        <v>108</v>
      </c>
    </row>
    <row r="243" spans="1:6">
      <c r="A243" t="str">
        <f>"E886-54"</f>
        <v>E886-54</v>
      </c>
      <c r="B243" t="str">
        <f t="shared" si="26"/>
        <v>VIA DUE DICEMBRE 1944  99-</v>
      </c>
      <c r="C243" t="str">
        <f t="shared" si="27"/>
        <v>PRA</v>
      </c>
      <c r="D243">
        <v>10</v>
      </c>
      <c r="E243" t="str">
        <f t="shared" si="25"/>
        <v>741</v>
      </c>
      <c r="F243" t="str">
        <f>"109"</f>
        <v>109</v>
      </c>
    </row>
    <row r="244" spans="1:6">
      <c r="A244" t="str">
        <f>"E886-55"</f>
        <v>E886-55</v>
      </c>
      <c r="B244" t="str">
        <f t="shared" si="26"/>
        <v>VIA DUE DICEMBRE 1944  99-</v>
      </c>
      <c r="C244" t="str">
        <f t="shared" si="27"/>
        <v>PRA</v>
      </c>
      <c r="D244">
        <v>10</v>
      </c>
      <c r="E244" t="str">
        <f t="shared" si="25"/>
        <v>741</v>
      </c>
      <c r="F244" t="str">
        <f>"110"</f>
        <v>110</v>
      </c>
    </row>
    <row r="245" spans="1:6">
      <c r="A245" t="str">
        <f>"E886-56"</f>
        <v>E886-56</v>
      </c>
      <c r="B245" t="str">
        <f t="shared" si="26"/>
        <v>VIA DUE DICEMBRE 1944  99-</v>
      </c>
      <c r="C245" t="str">
        <f t="shared" si="27"/>
        <v>PRA</v>
      </c>
      <c r="D245">
        <v>10</v>
      </c>
      <c r="E245" t="str">
        <f t="shared" si="25"/>
        <v>741</v>
      </c>
      <c r="F245" t="str">
        <f>"111"</f>
        <v>111</v>
      </c>
    </row>
    <row r="246" spans="1:6">
      <c r="A246" t="str">
        <f>"E886-57"</f>
        <v>E886-57</v>
      </c>
      <c r="B246" t="str">
        <f t="shared" si="26"/>
        <v>VIA DUE DICEMBRE 1944  99-</v>
      </c>
      <c r="C246" t="str">
        <f t="shared" si="27"/>
        <v>PRA</v>
      </c>
      <c r="D246">
        <v>10</v>
      </c>
      <c r="E246" t="str">
        <f t="shared" si="25"/>
        <v>741</v>
      </c>
      <c r="F246" t="str">
        <f>"112"</f>
        <v>112</v>
      </c>
    </row>
    <row r="247" spans="1:6">
      <c r="A247" t="str">
        <f>"E886-58"</f>
        <v>E886-58</v>
      </c>
      <c r="B247" t="str">
        <f t="shared" si="26"/>
        <v>VIA DUE DICEMBRE 1944  99-</v>
      </c>
      <c r="C247" t="str">
        <f t="shared" si="27"/>
        <v>PRA</v>
      </c>
      <c r="D247">
        <v>10</v>
      </c>
      <c r="E247" t="str">
        <f t="shared" si="25"/>
        <v>741</v>
      </c>
      <c r="F247" t="str">
        <f>"113"</f>
        <v>113</v>
      </c>
    </row>
    <row r="248" spans="1:6">
      <c r="A248" t="str">
        <f>"E886-59"</f>
        <v>E886-59</v>
      </c>
      <c r="B248" t="str">
        <f t="shared" si="26"/>
        <v>VIA DUE DICEMBRE 1944  99-</v>
      </c>
      <c r="C248" t="str">
        <f t="shared" si="27"/>
        <v>PRA</v>
      </c>
      <c r="D248">
        <v>10</v>
      </c>
      <c r="E248" t="str">
        <f t="shared" si="25"/>
        <v>741</v>
      </c>
      <c r="F248" t="str">
        <f>"114"</f>
        <v>114</v>
      </c>
    </row>
    <row r="249" spans="1:6">
      <c r="A249" t="str">
        <f>"E886-60"</f>
        <v>E886-60</v>
      </c>
      <c r="B249" t="str">
        <f t="shared" si="26"/>
        <v>VIA DUE DICEMBRE 1944  99-</v>
      </c>
      <c r="C249" t="str">
        <f t="shared" si="27"/>
        <v>PRA</v>
      </c>
      <c r="D249">
        <v>10</v>
      </c>
      <c r="E249" t="str">
        <f t="shared" si="25"/>
        <v>741</v>
      </c>
      <c r="F249" t="str">
        <f>"115"</f>
        <v>115</v>
      </c>
    </row>
    <row r="250" spans="1:6">
      <c r="A250" t="str">
        <f>"E891-1"</f>
        <v>E891-1</v>
      </c>
      <c r="B250" t="str">
        <f>"PIAZZA GIUSEPPE BIGNAMI  4-"</f>
        <v>PIAZZA GIUSEPPE BIGNAMI  4-</v>
      </c>
      <c r="C250" t="str">
        <f t="shared" si="27"/>
        <v>PRA</v>
      </c>
      <c r="D250">
        <v>13</v>
      </c>
      <c r="E250" t="str">
        <f t="shared" ref="E250:E267" si="28">"124"</f>
        <v>124</v>
      </c>
      <c r="F250" t="str">
        <f>"15"</f>
        <v>15</v>
      </c>
    </row>
    <row r="251" spans="1:6">
      <c r="A251" t="str">
        <f>"E891-2"</f>
        <v>E891-2</v>
      </c>
      <c r="B251" t="str">
        <f>"PIAZZA GIUSEPPE BIGNAMI  2R-"</f>
        <v>PIAZZA GIUSEPPE BIGNAMI  2R-</v>
      </c>
      <c r="C251" t="str">
        <f t="shared" si="27"/>
        <v>PRA</v>
      </c>
      <c r="D251">
        <v>13</v>
      </c>
      <c r="E251" t="str">
        <f t="shared" si="28"/>
        <v>124</v>
      </c>
      <c r="F251" t="str">
        <f>"16"</f>
        <v>16</v>
      </c>
    </row>
    <row r="252" spans="1:6">
      <c r="A252" t="str">
        <f>"E891-3"</f>
        <v>E891-3</v>
      </c>
      <c r="B252" t="str">
        <f>"PIAZZA GIUSEPPE BIGNAMI  3R-"</f>
        <v>PIAZZA GIUSEPPE BIGNAMI  3R-</v>
      </c>
      <c r="C252" t="str">
        <f t="shared" si="27"/>
        <v>PRA</v>
      </c>
      <c r="D252">
        <v>13</v>
      </c>
      <c r="E252" t="str">
        <f t="shared" si="28"/>
        <v>124</v>
      </c>
      <c r="F252" t="str">
        <f>"17"</f>
        <v>17</v>
      </c>
    </row>
    <row r="253" spans="1:6">
      <c r="A253" t="str">
        <f>"E891-4"</f>
        <v>E891-4</v>
      </c>
      <c r="B253" t="str">
        <f>"PIAZZA GIUSEPPE BIGNAMI  4R-"</f>
        <v>PIAZZA GIUSEPPE BIGNAMI  4R-</v>
      </c>
      <c r="C253" t="str">
        <f t="shared" si="27"/>
        <v>PRA</v>
      </c>
      <c r="D253">
        <v>13</v>
      </c>
      <c r="E253" t="str">
        <f t="shared" si="28"/>
        <v>124</v>
      </c>
      <c r="F253" t="str">
        <f>"18"</f>
        <v>18</v>
      </c>
    </row>
    <row r="254" spans="1:6">
      <c r="A254" t="str">
        <f>"E891-5"</f>
        <v>E891-5</v>
      </c>
      <c r="B254" t="str">
        <f>"PIAZZA GIUSEPPE BIGNAMI  5R-"</f>
        <v>PIAZZA GIUSEPPE BIGNAMI  5R-</v>
      </c>
      <c r="C254" t="str">
        <f t="shared" si="27"/>
        <v>PRA</v>
      </c>
      <c r="D254">
        <v>13</v>
      </c>
      <c r="E254" t="str">
        <f t="shared" si="28"/>
        <v>124</v>
      </c>
      <c r="F254" t="str">
        <f>"19"</f>
        <v>19</v>
      </c>
    </row>
    <row r="255" spans="1:6">
      <c r="A255" t="str">
        <f>"E891-6"</f>
        <v>E891-6</v>
      </c>
      <c r="B255" t="str">
        <f>"PIAZZA GIUSEPPE BIGNAMI  4-"</f>
        <v>PIAZZA GIUSEPPE BIGNAMI  4-</v>
      </c>
      <c r="C255" t="str">
        <f t="shared" si="27"/>
        <v>PRA</v>
      </c>
      <c r="D255">
        <v>13</v>
      </c>
      <c r="E255" t="str">
        <f t="shared" si="28"/>
        <v>124</v>
      </c>
      <c r="F255" t="str">
        <f>"5"</f>
        <v>5</v>
      </c>
    </row>
    <row r="256" spans="1:6">
      <c r="A256" t="str">
        <f>"E891-9"</f>
        <v>E891-9</v>
      </c>
      <c r="B256" t="str">
        <f>"PIAZZA GIUSEPPE BIGNAMI  2-"</f>
        <v>PIAZZA GIUSEPPE BIGNAMI  2-</v>
      </c>
      <c r="C256" t="str">
        <f t="shared" si="27"/>
        <v>PRA</v>
      </c>
      <c r="D256">
        <v>13</v>
      </c>
      <c r="E256" t="str">
        <f t="shared" si="28"/>
        <v>124</v>
      </c>
      <c r="F256" t="str">
        <f>"8"</f>
        <v>8</v>
      </c>
    </row>
    <row r="257" spans="1:6">
      <c r="A257" t="str">
        <f>"E891-10"</f>
        <v>E891-10</v>
      </c>
      <c r="B257" t="str">
        <f>"PIAZZA GIUSEPPE BIGNAMI  2-"</f>
        <v>PIAZZA GIUSEPPE BIGNAMI  2-</v>
      </c>
      <c r="C257" t="str">
        <f t="shared" si="27"/>
        <v>PRA</v>
      </c>
      <c r="D257">
        <v>13</v>
      </c>
      <c r="E257" t="str">
        <f t="shared" si="28"/>
        <v>124</v>
      </c>
      <c r="F257" t="str">
        <f>"22"</f>
        <v>22</v>
      </c>
    </row>
    <row r="258" spans="1:6">
      <c r="A258" t="str">
        <f>"E891-11"</f>
        <v>E891-11</v>
      </c>
      <c r="B258" t="str">
        <f>"PIAZZA GIUSEPPE BIGNAMI  2-"</f>
        <v>PIAZZA GIUSEPPE BIGNAMI  2-</v>
      </c>
      <c r="C258" t="str">
        <f t="shared" si="27"/>
        <v>PRA</v>
      </c>
      <c r="D258">
        <v>13</v>
      </c>
      <c r="E258" t="str">
        <f t="shared" si="28"/>
        <v>124</v>
      </c>
      <c r="F258" t="str">
        <f>"23"</f>
        <v>23</v>
      </c>
    </row>
    <row r="259" spans="1:6">
      <c r="A259" t="str">
        <f>"E891-12"</f>
        <v>E891-12</v>
      </c>
      <c r="B259" t="str">
        <f>"PIAZZA GIUSEPPE BIGNAMI  3-"</f>
        <v>PIAZZA GIUSEPPE BIGNAMI  3-</v>
      </c>
      <c r="C259" t="str">
        <f t="shared" si="27"/>
        <v>PRA</v>
      </c>
      <c r="D259">
        <v>13</v>
      </c>
      <c r="E259" t="str">
        <f t="shared" si="28"/>
        <v>124</v>
      </c>
      <c r="F259" t="str">
        <f>"24"</f>
        <v>24</v>
      </c>
    </row>
    <row r="260" spans="1:6">
      <c r="A260" t="str">
        <f>"E891-14"</f>
        <v>E891-14</v>
      </c>
      <c r="B260" t="str">
        <f>"PIAZZA GIUSEPPE BIGNAMI  4-"</f>
        <v>PIAZZA GIUSEPPE BIGNAMI  4-</v>
      </c>
      <c r="C260" t="str">
        <f t="shared" si="27"/>
        <v>PRA</v>
      </c>
      <c r="D260">
        <v>13</v>
      </c>
      <c r="E260" t="str">
        <f t="shared" si="28"/>
        <v>124</v>
      </c>
      <c r="F260" t="str">
        <f>"25"</f>
        <v>25</v>
      </c>
    </row>
    <row r="261" spans="1:6">
      <c r="A261" t="str">
        <f>"E891-15"</f>
        <v>E891-15</v>
      </c>
      <c r="B261" t="str">
        <f>"PIAZZA GIUSEPPE BIGNAMI  1-"</f>
        <v>PIAZZA GIUSEPPE BIGNAMI  1-</v>
      </c>
      <c r="C261" t="str">
        <f t="shared" ref="C261:C268" si="29">"PRA"</f>
        <v>PRA</v>
      </c>
      <c r="D261">
        <v>13</v>
      </c>
      <c r="E261" t="str">
        <f t="shared" si="28"/>
        <v>124</v>
      </c>
      <c r="F261" t="str">
        <f>"26"</f>
        <v>26</v>
      </c>
    </row>
    <row r="262" spans="1:6">
      <c r="A262" t="str">
        <f>"E891-16"</f>
        <v>E891-16</v>
      </c>
      <c r="B262" t="str">
        <f>"PIAZZA GIUSEPPE BIGNAMI  2-"</f>
        <v>PIAZZA GIUSEPPE BIGNAMI  2-</v>
      </c>
      <c r="C262" t="str">
        <f t="shared" si="29"/>
        <v>PRA</v>
      </c>
      <c r="D262">
        <v>13</v>
      </c>
      <c r="E262" t="str">
        <f t="shared" si="28"/>
        <v>124</v>
      </c>
      <c r="F262" t="str">
        <f>"27"</f>
        <v>27</v>
      </c>
    </row>
    <row r="263" spans="1:6">
      <c r="A263" t="str">
        <f>"E891-17"</f>
        <v>E891-17</v>
      </c>
      <c r="B263" t="str">
        <f>"PIAZZA GIUSEPPE BIGNAMI  1-"</f>
        <v>PIAZZA GIUSEPPE BIGNAMI  1-</v>
      </c>
      <c r="C263" t="str">
        <f t="shared" si="29"/>
        <v>PRA</v>
      </c>
      <c r="D263">
        <v>13</v>
      </c>
      <c r="E263" t="str">
        <f t="shared" si="28"/>
        <v>124</v>
      </c>
      <c r="F263" t="str">
        <f>"28"</f>
        <v>28</v>
      </c>
    </row>
    <row r="264" spans="1:6">
      <c r="A264" t="str">
        <f>"E891-18"</f>
        <v>E891-18</v>
      </c>
      <c r="B264" t="str">
        <f>"PIAZZA GIUSEPPE BIGNAMI  1-"</f>
        <v>PIAZZA GIUSEPPE BIGNAMI  1-</v>
      </c>
      <c r="C264" t="str">
        <f t="shared" si="29"/>
        <v>PRA</v>
      </c>
      <c r="D264">
        <v>13</v>
      </c>
      <c r="E264" t="str">
        <f t="shared" si="28"/>
        <v>124</v>
      </c>
      <c r="F264" t="str">
        <f>"29"</f>
        <v>29</v>
      </c>
    </row>
    <row r="265" spans="1:6">
      <c r="A265" t="str">
        <f>"E891-19"</f>
        <v>E891-19</v>
      </c>
      <c r="B265" t="str">
        <f>"PIAZZA GIUSEPPE BIGNAMI  1-"</f>
        <v>PIAZZA GIUSEPPE BIGNAMI  1-</v>
      </c>
      <c r="C265" t="str">
        <f t="shared" si="29"/>
        <v>PRA</v>
      </c>
      <c r="D265">
        <v>13</v>
      </c>
      <c r="E265" t="str">
        <f t="shared" si="28"/>
        <v>124</v>
      </c>
      <c r="F265" t="str">
        <f>"20"</f>
        <v>20</v>
      </c>
    </row>
    <row r="266" spans="1:6">
      <c r="A266" t="str">
        <f>"E891-20"</f>
        <v>E891-20</v>
      </c>
      <c r="B266" t="str">
        <f>"PIAZZA GIUSEPPE BIGNAMI  1-"</f>
        <v>PIAZZA GIUSEPPE BIGNAMI  1-</v>
      </c>
      <c r="C266" t="str">
        <f t="shared" si="29"/>
        <v>PRA</v>
      </c>
      <c r="D266">
        <v>13</v>
      </c>
      <c r="E266" t="str">
        <f t="shared" si="28"/>
        <v>124</v>
      </c>
      <c r="F266" t="str">
        <f>"21"</f>
        <v>21</v>
      </c>
    </row>
    <row r="267" spans="1:6">
      <c r="A267" t="str">
        <f>"E891-21"</f>
        <v>E891-21</v>
      </c>
      <c r="B267" t="str">
        <f>"PIAZZA GIUSEPPE BIGNAMI  1-"</f>
        <v>PIAZZA GIUSEPPE BIGNAMI  1-</v>
      </c>
      <c r="C267" t="str">
        <f t="shared" si="29"/>
        <v>PRA</v>
      </c>
      <c r="D267">
        <v>13</v>
      </c>
      <c r="E267" t="str">
        <f t="shared" si="28"/>
        <v>124</v>
      </c>
      <c r="F267" t="str">
        <f>"30"</f>
        <v>30</v>
      </c>
    </row>
    <row r="268" spans="1:6">
      <c r="A268" t="str">
        <f>"E892-1"</f>
        <v>E892-1</v>
      </c>
      <c r="B268" t="str">
        <f>"SALITA LORENZO CAPPELLONI  1-"</f>
        <v>SALITA LORENZO CAPPELLONI  1-</v>
      </c>
      <c r="C268" t="str">
        <f t="shared" si="29"/>
        <v>PRA</v>
      </c>
      <c r="D268">
        <v>13</v>
      </c>
      <c r="E268" t="str">
        <f>"120"</f>
        <v>120</v>
      </c>
      <c r="F268" t="str">
        <f t="shared" ref="F268:F274" si="30">"0000"</f>
        <v>0000</v>
      </c>
    </row>
    <row r="269" spans="1:6">
      <c r="A269" t="str">
        <f>"E893-1"</f>
        <v>E893-1</v>
      </c>
      <c r="B269" t="str">
        <f>"SALITA LORENZO CAPPELLONI  3-"</f>
        <v>SALITA LORENZO CAPPELLONI  3-</v>
      </c>
      <c r="C269" t="str">
        <f t="shared" ref="C269:C274" si="31">"3"</f>
        <v>3</v>
      </c>
      <c r="D269">
        <v>13</v>
      </c>
      <c r="E269" t="str">
        <f>"120"</f>
        <v>120</v>
      </c>
      <c r="F269" t="str">
        <f t="shared" si="30"/>
        <v>0000</v>
      </c>
    </row>
    <row r="270" spans="1:6">
      <c r="A270" t="str">
        <f>"E894-1"</f>
        <v>E894-1</v>
      </c>
      <c r="B270" t="str">
        <f>"SALITA LORENZO CAPPELLONI  1-"</f>
        <v>SALITA LORENZO CAPPELLONI  1-</v>
      </c>
      <c r="C270" t="str">
        <f t="shared" si="31"/>
        <v>3</v>
      </c>
      <c r="D270">
        <v>13</v>
      </c>
      <c r="E270" t="str">
        <f>"120"</f>
        <v>120</v>
      </c>
      <c r="F270" t="str">
        <f t="shared" si="30"/>
        <v>0000</v>
      </c>
    </row>
    <row r="271" spans="1:6">
      <c r="C271" t="str">
        <f t="shared" si="31"/>
        <v>3</v>
      </c>
      <c r="D271">
        <v>13</v>
      </c>
      <c r="E271" t="str">
        <f>"121"</f>
        <v>121</v>
      </c>
      <c r="F271" t="str">
        <f t="shared" si="30"/>
        <v>0000</v>
      </c>
    </row>
    <row r="272" spans="1:6">
      <c r="A272" t="str">
        <f>"E900-1"</f>
        <v>E900-1</v>
      </c>
      <c r="B272" t="str">
        <f>"VIA CRAVASCO  7-"</f>
        <v>VIA CRAVASCO  7-</v>
      </c>
      <c r="C272" t="str">
        <f t="shared" si="31"/>
        <v>3</v>
      </c>
      <c r="D272">
        <v>10</v>
      </c>
      <c r="E272" t="str">
        <f>"126"</f>
        <v>126</v>
      </c>
      <c r="F272" t="str">
        <f t="shared" si="30"/>
        <v>0000</v>
      </c>
    </row>
    <row r="273" spans="1:6">
      <c r="C273" t="str">
        <f t="shared" si="31"/>
        <v>3</v>
      </c>
      <c r="D273">
        <v>10</v>
      </c>
      <c r="E273" t="str">
        <f>"132"</f>
        <v>132</v>
      </c>
      <c r="F273" t="str">
        <f t="shared" si="30"/>
        <v>0000</v>
      </c>
    </row>
    <row r="274" spans="1:6">
      <c r="A274" t="str">
        <f>"E901-1"</f>
        <v>E901-1</v>
      </c>
      <c r="B274" t="str">
        <f>"VIA DUE DICEMBRE 1944  71-"</f>
        <v>VIA DUE DICEMBRE 1944  71-</v>
      </c>
      <c r="C274" t="str">
        <f t="shared" si="31"/>
        <v>3</v>
      </c>
      <c r="D274">
        <v>10</v>
      </c>
      <c r="E274" t="str">
        <f>"285"</f>
        <v>285</v>
      </c>
      <c r="F274" t="str">
        <f t="shared" si="30"/>
        <v>0000</v>
      </c>
    </row>
    <row r="275" spans="1:6">
      <c r="A275" t="str">
        <f>"E902-1"</f>
        <v>E902-1</v>
      </c>
      <c r="B275" t="str">
        <f>"PIAZZETTA SANTA LIMBANIA VICINO AL 11-"</f>
        <v>PIAZZETTA SANTA LIMBANIA VICINO AL 11-</v>
      </c>
      <c r="C275" t="str">
        <f>"VOL"</f>
        <v>VOL</v>
      </c>
      <c r="D275">
        <v>31</v>
      </c>
      <c r="E275" t="str">
        <f>"19"</f>
        <v>19</v>
      </c>
      <c r="F275" t="str">
        <f>"1"</f>
        <v>1</v>
      </c>
    </row>
    <row r="276" spans="1:6">
      <c r="A276" t="str">
        <f>"E902-2"</f>
        <v>E902-2</v>
      </c>
      <c r="B276" t="str">
        <f>"PIAZZETTA SANTA LIMBANIA VICINO AL 3R-"</f>
        <v>PIAZZETTA SANTA LIMBANIA VICINO AL 3R-</v>
      </c>
      <c r="C276" t="str">
        <f>"VOL"</f>
        <v>VOL</v>
      </c>
      <c r="D276">
        <v>31</v>
      </c>
      <c r="E276" t="str">
        <f>"19"</f>
        <v>19</v>
      </c>
      <c r="F276" t="str">
        <f>"4"</f>
        <v>4</v>
      </c>
    </row>
    <row r="277" spans="1:6">
      <c r="A277" t="str">
        <f>"E904-1"</f>
        <v>E904-1</v>
      </c>
      <c r="B277" t="str">
        <f>"PIAZZA AMATORE SCIESA  25R-"</f>
        <v>PIAZZA AMATORE SCIESA  25R-</v>
      </c>
      <c r="C277" t="str">
        <f>"PRA"</f>
        <v>PRA</v>
      </c>
      <c r="D277">
        <v>14</v>
      </c>
      <c r="E277" t="str">
        <f>"68"</f>
        <v>68</v>
      </c>
      <c r="F277" t="str">
        <f>"1"</f>
        <v>1</v>
      </c>
    </row>
    <row r="278" spans="1:6">
      <c r="A278" t="str">
        <f>"E904-7"</f>
        <v>E904-7</v>
      </c>
      <c r="B278" t="str">
        <f>"PIAZZA AMATORE SCIESA  22-"</f>
        <v>PIAZZA AMATORE SCIESA  22-</v>
      </c>
      <c r="C278" t="str">
        <f>"PRA"</f>
        <v>PRA</v>
      </c>
      <c r="D278">
        <v>14</v>
      </c>
      <c r="E278" t="str">
        <f>"108"</f>
        <v>108</v>
      </c>
      <c r="F278" t="str">
        <f>"4"</f>
        <v>4</v>
      </c>
    </row>
    <row r="279" spans="1:6">
      <c r="A279" t="str">
        <f>"E904-8"</f>
        <v>E904-8</v>
      </c>
      <c r="B279" t="str">
        <f>"PIAZZA AMATORE SCIESA  22-"</f>
        <v>PIAZZA AMATORE SCIESA  22-</v>
      </c>
      <c r="C279" t="str">
        <f>"PRA"</f>
        <v>PRA</v>
      </c>
      <c r="D279">
        <v>14</v>
      </c>
      <c r="E279" t="str">
        <f>"68"</f>
        <v>68</v>
      </c>
      <c r="F279" t="str">
        <f>"8"</f>
        <v>8</v>
      </c>
    </row>
    <row r="280" spans="1:6">
      <c r="A280" t="str">
        <f>"E905-1"</f>
        <v>E905-1</v>
      </c>
      <c r="B280" t="str">
        <f>"PIAZZA AMATORE SCIESA  27R-"</f>
        <v>PIAZZA AMATORE SCIESA  27R-</v>
      </c>
      <c r="C280" t="str">
        <f t="shared" ref="C280:C286" si="32">"3"</f>
        <v>3</v>
      </c>
      <c r="D280">
        <v>14</v>
      </c>
      <c r="E280" t="str">
        <f>"63"</f>
        <v>63</v>
      </c>
      <c r="F280" t="str">
        <f t="shared" ref="F280:F296" si="33">"0000"</f>
        <v>0000</v>
      </c>
    </row>
    <row r="281" spans="1:6">
      <c r="C281" t="str">
        <f t="shared" si="32"/>
        <v>3</v>
      </c>
      <c r="D281">
        <v>14</v>
      </c>
      <c r="E281" t="str">
        <f>"68"</f>
        <v>68</v>
      </c>
      <c r="F281" t="str">
        <f t="shared" si="33"/>
        <v>0000</v>
      </c>
    </row>
    <row r="282" spans="1:6">
      <c r="A282" t="str">
        <f>"E906-1"</f>
        <v>E906-1</v>
      </c>
      <c r="B282" t="str">
        <f>"VIA DELLA BENEDICTA  2-"</f>
        <v>VIA DELLA BENEDICTA  2-</v>
      </c>
      <c r="C282" t="str">
        <f t="shared" si="32"/>
        <v>3</v>
      </c>
      <c r="D282">
        <v>10</v>
      </c>
      <c r="E282" t="str">
        <f>"76"</f>
        <v>76</v>
      </c>
      <c r="F282" t="str">
        <f t="shared" si="33"/>
        <v>0000</v>
      </c>
    </row>
    <row r="283" spans="1:6">
      <c r="A283" t="str">
        <f>"E907-1"</f>
        <v>E907-1</v>
      </c>
      <c r="B283" t="str">
        <f>"VIA CRAVASCO VICINO AL 52-"</f>
        <v>VIA CRAVASCO VICINO AL 52-</v>
      </c>
      <c r="C283" t="str">
        <f t="shared" si="32"/>
        <v>3</v>
      </c>
      <c r="D283">
        <v>10</v>
      </c>
      <c r="E283" t="str">
        <f>"126"</f>
        <v>126</v>
      </c>
      <c r="F283" t="str">
        <f t="shared" si="33"/>
        <v>0000</v>
      </c>
    </row>
    <row r="284" spans="1:6">
      <c r="C284" t="str">
        <f t="shared" si="32"/>
        <v>3</v>
      </c>
      <c r="D284">
        <v>10</v>
      </c>
      <c r="E284" t="str">
        <f>"128"</f>
        <v>128</v>
      </c>
      <c r="F284" t="str">
        <f t="shared" si="33"/>
        <v>0000</v>
      </c>
    </row>
    <row r="285" spans="1:6">
      <c r="C285" t="str">
        <f t="shared" si="32"/>
        <v>3</v>
      </c>
      <c r="D285">
        <v>10</v>
      </c>
      <c r="E285" t="str">
        <f>"132"</f>
        <v>132</v>
      </c>
      <c r="F285" t="str">
        <f t="shared" si="33"/>
        <v>0000</v>
      </c>
    </row>
    <row r="286" spans="1:6">
      <c r="C286" t="str">
        <f t="shared" si="32"/>
        <v>3</v>
      </c>
      <c r="D286">
        <v>10</v>
      </c>
      <c r="E286" t="str">
        <f>"130"</f>
        <v>130</v>
      </c>
      <c r="F286" t="str">
        <f t="shared" si="33"/>
        <v>0000</v>
      </c>
    </row>
    <row r="287" spans="1:6">
      <c r="A287" t="str">
        <f>"E908-1"</f>
        <v>E908-1</v>
      </c>
      <c r="B287" t="str">
        <f>"VIA MARTIRI DEL TURCHINO VICINO AL 93-"</f>
        <v>VIA MARTIRI DEL TURCHINO VICINO AL 93-</v>
      </c>
      <c r="C287" t="str">
        <f>"2"</f>
        <v>2</v>
      </c>
      <c r="D287">
        <v>30</v>
      </c>
      <c r="E287" t="str">
        <f>"169"</f>
        <v>169</v>
      </c>
      <c r="F287" t="str">
        <f t="shared" si="33"/>
        <v>0000</v>
      </c>
    </row>
    <row r="288" spans="1:6">
      <c r="C288" t="str">
        <f>"3"</f>
        <v>3</v>
      </c>
      <c r="D288">
        <v>10</v>
      </c>
      <c r="E288" t="str">
        <f>"51"</f>
        <v>51</v>
      </c>
      <c r="F288" t="str">
        <f t="shared" si="33"/>
        <v>0000</v>
      </c>
    </row>
    <row r="289" spans="1:6">
      <c r="C289" t="str">
        <f>"2"</f>
        <v>2</v>
      </c>
      <c r="D289">
        <v>30</v>
      </c>
      <c r="E289" t="str">
        <f>"514"</f>
        <v>514</v>
      </c>
      <c r="F289" t="str">
        <f t="shared" si="33"/>
        <v>0000</v>
      </c>
    </row>
    <row r="290" spans="1:6">
      <c r="C290" t="str">
        <f t="shared" ref="C290:C296" si="34">"3"</f>
        <v>3</v>
      </c>
      <c r="D290">
        <v>10</v>
      </c>
      <c r="E290" t="str">
        <f>"52"</f>
        <v>52</v>
      </c>
      <c r="F290" t="str">
        <f t="shared" si="33"/>
        <v>0000</v>
      </c>
    </row>
    <row r="291" spans="1:6">
      <c r="C291" t="str">
        <f t="shared" si="34"/>
        <v>3</v>
      </c>
      <c r="D291">
        <v>10</v>
      </c>
      <c r="E291" t="str">
        <f>"69"</f>
        <v>69</v>
      </c>
      <c r="F291" t="str">
        <f t="shared" si="33"/>
        <v>0000</v>
      </c>
    </row>
    <row r="292" spans="1:6">
      <c r="C292" t="str">
        <f t="shared" si="34"/>
        <v>3</v>
      </c>
      <c r="D292">
        <v>10</v>
      </c>
      <c r="E292" t="str">
        <f>"53"</f>
        <v>53</v>
      </c>
      <c r="F292" t="str">
        <f t="shared" si="33"/>
        <v>0000</v>
      </c>
    </row>
    <row r="293" spans="1:6">
      <c r="A293" t="str">
        <f>"E909-1"</f>
        <v>E909-1</v>
      </c>
      <c r="B293" t="str">
        <f>"VIA ROMANA DI PRA  7-"</f>
        <v>VIA ROMANA DI PRA  7-</v>
      </c>
      <c r="C293" t="str">
        <f t="shared" si="34"/>
        <v>3</v>
      </c>
      <c r="D293">
        <v>10</v>
      </c>
      <c r="E293" t="str">
        <f>"128"</f>
        <v>128</v>
      </c>
      <c r="F293" t="str">
        <f t="shared" si="33"/>
        <v>0000</v>
      </c>
    </row>
    <row r="294" spans="1:6">
      <c r="A294" t="str">
        <f>"E911-1"</f>
        <v>E911-1</v>
      </c>
      <c r="B294" t="str">
        <f>"VIA PIEVE DI TECO VICINO AL 1-"</f>
        <v>VIA PIEVE DI TECO VICINO AL 1-</v>
      </c>
      <c r="C294" t="str">
        <f t="shared" si="34"/>
        <v>3</v>
      </c>
      <c r="D294">
        <v>12</v>
      </c>
      <c r="E294" t="str">
        <f>"236"</f>
        <v>236</v>
      </c>
      <c r="F294" t="str">
        <f t="shared" si="33"/>
        <v>0000</v>
      </c>
    </row>
    <row r="295" spans="1:6">
      <c r="C295" t="str">
        <f t="shared" si="34"/>
        <v>3</v>
      </c>
      <c r="D295">
        <v>12</v>
      </c>
      <c r="E295" t="str">
        <f>"318"</f>
        <v>318</v>
      </c>
      <c r="F295" t="str">
        <f t="shared" si="33"/>
        <v>0000</v>
      </c>
    </row>
    <row r="296" spans="1:6">
      <c r="C296" t="str">
        <f t="shared" si="34"/>
        <v>3</v>
      </c>
      <c r="D296">
        <v>12</v>
      </c>
      <c r="E296" t="str">
        <f>"319"</f>
        <v>319</v>
      </c>
      <c r="F296" t="str">
        <f t="shared" si="33"/>
        <v>0000</v>
      </c>
    </row>
    <row r="297" spans="1:6">
      <c r="A297" t="str">
        <f>"E923-1"</f>
        <v>E923-1</v>
      </c>
      <c r="B297" t="str">
        <f>"VIA EVASIO MONTANELLA  68-"</f>
        <v>VIA EVASIO MONTANELLA  68-</v>
      </c>
      <c r="C297" t="str">
        <f t="shared" ref="C297:C328" si="35">"PRA"</f>
        <v>PRA</v>
      </c>
      <c r="D297">
        <v>12</v>
      </c>
      <c r="E297" t="str">
        <f t="shared" ref="E297:E328" si="36">"580"</f>
        <v>580</v>
      </c>
      <c r="F297" t="str">
        <f>"46"</f>
        <v>46</v>
      </c>
    </row>
    <row r="298" spans="1:6">
      <c r="A298" t="str">
        <f>"E923-2"</f>
        <v>E923-2</v>
      </c>
      <c r="B298" t="str">
        <f>"VIA EVASIO MONTANELLA  70-"</f>
        <v>VIA EVASIO MONTANELLA  70-</v>
      </c>
      <c r="C298" t="str">
        <f t="shared" si="35"/>
        <v>PRA</v>
      </c>
      <c r="D298">
        <v>12</v>
      </c>
      <c r="E298" t="str">
        <f t="shared" si="36"/>
        <v>580</v>
      </c>
      <c r="F298" t="str">
        <f>"47"</f>
        <v>47</v>
      </c>
    </row>
    <row r="299" spans="1:6">
      <c r="A299" t="str">
        <f>"E923-3"</f>
        <v>E923-3</v>
      </c>
      <c r="B299" t="str">
        <f>"VIA EVASIO MONTANELLA  72-"</f>
        <v>VIA EVASIO MONTANELLA  72-</v>
      </c>
      <c r="C299" t="str">
        <f t="shared" si="35"/>
        <v>PRA</v>
      </c>
      <c r="D299">
        <v>12</v>
      </c>
      <c r="E299" t="str">
        <f t="shared" si="36"/>
        <v>580</v>
      </c>
      <c r="F299" t="str">
        <f>"48"</f>
        <v>48</v>
      </c>
    </row>
    <row r="300" spans="1:6">
      <c r="A300" t="str">
        <f>"E923-4"</f>
        <v>E923-4</v>
      </c>
      <c r="B300" t="str">
        <f>"VIA EVASIO MONTANELLA  74-"</f>
        <v>VIA EVASIO MONTANELLA  74-</v>
      </c>
      <c r="C300" t="str">
        <f t="shared" si="35"/>
        <v>PRA</v>
      </c>
      <c r="D300">
        <v>12</v>
      </c>
      <c r="E300" t="str">
        <f t="shared" si="36"/>
        <v>580</v>
      </c>
      <c r="F300" t="str">
        <f>"49"</f>
        <v>49</v>
      </c>
    </row>
    <row r="301" spans="1:6">
      <c r="A301" t="str">
        <f>"E923-5"</f>
        <v>E923-5</v>
      </c>
      <c r="B301" t="str">
        <f>"VIA EVASIO MONTANELLA  76-"</f>
        <v>VIA EVASIO MONTANELLA  76-</v>
      </c>
      <c r="C301" t="str">
        <f t="shared" si="35"/>
        <v>PRA</v>
      </c>
      <c r="D301">
        <v>12</v>
      </c>
      <c r="E301" t="str">
        <f t="shared" si="36"/>
        <v>580</v>
      </c>
      <c r="F301" t="str">
        <f>"50"</f>
        <v>50</v>
      </c>
    </row>
    <row r="302" spans="1:6">
      <c r="A302" t="str">
        <f>"E923-6"</f>
        <v>E923-6</v>
      </c>
      <c r="B302" t="str">
        <f>"VIA EVASIO MONTANELLA  78-"</f>
        <v>VIA EVASIO MONTANELLA  78-</v>
      </c>
      <c r="C302" t="str">
        <f t="shared" si="35"/>
        <v>PRA</v>
      </c>
      <c r="D302">
        <v>12</v>
      </c>
      <c r="E302" t="str">
        <f t="shared" si="36"/>
        <v>580</v>
      </c>
      <c r="F302" t="str">
        <f>"51"</f>
        <v>51</v>
      </c>
    </row>
    <row r="303" spans="1:6">
      <c r="A303" t="str">
        <f>"E923-7"</f>
        <v>E923-7</v>
      </c>
      <c r="B303" t="str">
        <f>"VIA EVASIO MONTANELLA  80-"</f>
        <v>VIA EVASIO MONTANELLA  80-</v>
      </c>
      <c r="C303" t="str">
        <f t="shared" si="35"/>
        <v>PRA</v>
      </c>
      <c r="D303">
        <v>12</v>
      </c>
      <c r="E303" t="str">
        <f t="shared" si="36"/>
        <v>580</v>
      </c>
      <c r="F303" t="str">
        <f>"52"</f>
        <v>52</v>
      </c>
    </row>
    <row r="304" spans="1:6">
      <c r="A304" t="str">
        <f>"E923-8"</f>
        <v>E923-8</v>
      </c>
      <c r="B304" t="str">
        <f>"VIA EVASIO MONTANELLA  82-"</f>
        <v>VIA EVASIO MONTANELLA  82-</v>
      </c>
      <c r="C304" t="str">
        <f t="shared" si="35"/>
        <v>PRA</v>
      </c>
      <c r="D304">
        <v>12</v>
      </c>
      <c r="E304" t="str">
        <f t="shared" si="36"/>
        <v>580</v>
      </c>
      <c r="F304" t="str">
        <f>"53"</f>
        <v>53</v>
      </c>
    </row>
    <row r="305" spans="1:6">
      <c r="A305" t="str">
        <f>"E923-9"</f>
        <v>E923-9</v>
      </c>
      <c r="B305" t="str">
        <f>"VIA EVASIO MONTANELLA  84-"</f>
        <v>VIA EVASIO MONTANELLA  84-</v>
      </c>
      <c r="C305" t="str">
        <f t="shared" si="35"/>
        <v>PRA</v>
      </c>
      <c r="D305">
        <v>12</v>
      </c>
      <c r="E305" t="str">
        <f t="shared" si="36"/>
        <v>580</v>
      </c>
      <c r="F305" t="str">
        <f>"54"</f>
        <v>54</v>
      </c>
    </row>
    <row r="306" spans="1:6">
      <c r="A306" t="str">
        <f>"E923-10"</f>
        <v>E923-10</v>
      </c>
      <c r="B306" t="str">
        <f t="shared" ref="B306:B319" si="37">"VIA EVASIO MONTANELLA  46-"</f>
        <v>VIA EVASIO MONTANELLA  46-</v>
      </c>
      <c r="C306" t="str">
        <f t="shared" si="35"/>
        <v>PRA</v>
      </c>
      <c r="D306">
        <v>12</v>
      </c>
      <c r="E306" t="str">
        <f t="shared" si="36"/>
        <v>580</v>
      </c>
      <c r="F306" t="str">
        <f>"2"</f>
        <v>2</v>
      </c>
    </row>
    <row r="307" spans="1:6">
      <c r="C307" t="str">
        <f t="shared" si="35"/>
        <v>PRA</v>
      </c>
      <c r="D307">
        <v>12</v>
      </c>
      <c r="E307" t="str">
        <f t="shared" si="36"/>
        <v>580</v>
      </c>
      <c r="F307" t="str">
        <f>"55"</f>
        <v>55</v>
      </c>
    </row>
    <row r="308" spans="1:6">
      <c r="C308" t="str">
        <f t="shared" si="35"/>
        <v>PRA</v>
      </c>
      <c r="D308">
        <v>12</v>
      </c>
      <c r="E308" t="str">
        <f t="shared" si="36"/>
        <v>580</v>
      </c>
      <c r="F308" t="str">
        <f>"3"</f>
        <v>3</v>
      </c>
    </row>
    <row r="309" spans="1:6">
      <c r="A309" t="str">
        <f>"E923-11"</f>
        <v>E923-11</v>
      </c>
      <c r="B309" t="str">
        <f t="shared" si="37"/>
        <v>VIA EVASIO MONTANELLA  46-</v>
      </c>
      <c r="C309" t="str">
        <f t="shared" si="35"/>
        <v>PRA</v>
      </c>
      <c r="D309">
        <v>12</v>
      </c>
      <c r="E309" t="str">
        <f t="shared" si="36"/>
        <v>580</v>
      </c>
      <c r="F309" t="str">
        <f>"4"</f>
        <v>4</v>
      </c>
    </row>
    <row r="310" spans="1:6">
      <c r="C310" t="str">
        <f t="shared" si="35"/>
        <v>PRA</v>
      </c>
      <c r="D310">
        <v>12</v>
      </c>
      <c r="E310" t="str">
        <f t="shared" si="36"/>
        <v>580</v>
      </c>
      <c r="F310" t="str">
        <f>"56"</f>
        <v>56</v>
      </c>
    </row>
    <row r="311" spans="1:6">
      <c r="C311" t="str">
        <f t="shared" si="35"/>
        <v>PRA</v>
      </c>
      <c r="D311">
        <v>12</v>
      </c>
      <c r="E311" t="str">
        <f t="shared" si="36"/>
        <v>580</v>
      </c>
      <c r="F311" t="str">
        <f>"5"</f>
        <v>5</v>
      </c>
    </row>
    <row r="312" spans="1:6">
      <c r="A312" t="str">
        <f>"E923-12"</f>
        <v>E923-12</v>
      </c>
      <c r="B312" t="str">
        <f t="shared" si="37"/>
        <v>VIA EVASIO MONTANELLA  46-</v>
      </c>
      <c r="C312" t="str">
        <f t="shared" si="35"/>
        <v>PRA</v>
      </c>
      <c r="D312">
        <v>12</v>
      </c>
      <c r="E312" t="str">
        <f t="shared" si="36"/>
        <v>580</v>
      </c>
      <c r="F312" t="str">
        <f>"57"</f>
        <v>57</v>
      </c>
    </row>
    <row r="313" spans="1:6">
      <c r="A313" t="str">
        <f>"E923-13"</f>
        <v>E923-13</v>
      </c>
      <c r="B313" t="str">
        <f t="shared" si="37"/>
        <v>VIA EVASIO MONTANELLA  46-</v>
      </c>
      <c r="C313" t="str">
        <f t="shared" si="35"/>
        <v>PRA</v>
      </c>
      <c r="D313">
        <v>12</v>
      </c>
      <c r="E313" t="str">
        <f t="shared" si="36"/>
        <v>580</v>
      </c>
      <c r="F313" t="str">
        <f>"58"</f>
        <v>58</v>
      </c>
    </row>
    <row r="314" spans="1:6">
      <c r="A314" t="str">
        <f>"E923-14"</f>
        <v>E923-14</v>
      </c>
      <c r="B314" t="str">
        <f t="shared" si="37"/>
        <v>VIA EVASIO MONTANELLA  46-</v>
      </c>
      <c r="C314" t="str">
        <f t="shared" si="35"/>
        <v>PRA</v>
      </c>
      <c r="D314">
        <v>12</v>
      </c>
      <c r="E314" t="str">
        <f t="shared" si="36"/>
        <v>580</v>
      </c>
      <c r="F314" t="str">
        <f>"59"</f>
        <v>59</v>
      </c>
    </row>
    <row r="315" spans="1:6">
      <c r="A315" t="str">
        <f>"E923-15"</f>
        <v>E923-15</v>
      </c>
      <c r="B315" t="str">
        <f t="shared" si="37"/>
        <v>VIA EVASIO MONTANELLA  46-</v>
      </c>
      <c r="C315" t="str">
        <f t="shared" si="35"/>
        <v>PRA</v>
      </c>
      <c r="D315">
        <v>12</v>
      </c>
      <c r="E315" t="str">
        <f t="shared" si="36"/>
        <v>580</v>
      </c>
      <c r="F315" t="str">
        <f>"60"</f>
        <v>60</v>
      </c>
    </row>
    <row r="316" spans="1:6">
      <c r="A316" t="str">
        <f>"E923-16"</f>
        <v>E923-16</v>
      </c>
      <c r="B316" t="str">
        <f t="shared" si="37"/>
        <v>VIA EVASIO MONTANELLA  46-</v>
      </c>
      <c r="C316" t="str">
        <f t="shared" si="35"/>
        <v>PRA</v>
      </c>
      <c r="D316">
        <v>12</v>
      </c>
      <c r="E316" t="str">
        <f t="shared" si="36"/>
        <v>580</v>
      </c>
      <c r="F316" t="str">
        <f>"62"</f>
        <v>62</v>
      </c>
    </row>
    <row r="317" spans="1:6">
      <c r="A317" t="str">
        <f>"E923-17"</f>
        <v>E923-17</v>
      </c>
      <c r="B317" t="str">
        <f t="shared" si="37"/>
        <v>VIA EVASIO MONTANELLA  46-</v>
      </c>
      <c r="C317" t="str">
        <f t="shared" si="35"/>
        <v>PRA</v>
      </c>
      <c r="D317">
        <v>12</v>
      </c>
      <c r="E317" t="str">
        <f t="shared" si="36"/>
        <v>580</v>
      </c>
      <c r="F317" t="str">
        <f>"64"</f>
        <v>64</v>
      </c>
    </row>
    <row r="318" spans="1:6">
      <c r="A318" t="str">
        <f>"E923-18"</f>
        <v>E923-18</v>
      </c>
      <c r="B318" t="str">
        <f t="shared" si="37"/>
        <v>VIA EVASIO MONTANELLA  46-</v>
      </c>
      <c r="C318" t="str">
        <f t="shared" si="35"/>
        <v>PRA</v>
      </c>
      <c r="D318">
        <v>12</v>
      </c>
      <c r="E318" t="str">
        <f t="shared" si="36"/>
        <v>580</v>
      </c>
      <c r="F318" t="str">
        <f>"66"</f>
        <v>66</v>
      </c>
    </row>
    <row r="319" spans="1:6">
      <c r="A319" t="str">
        <f>"E923-19"</f>
        <v>E923-19</v>
      </c>
      <c r="B319" t="str">
        <f t="shared" si="37"/>
        <v>VIA EVASIO MONTANELLA  46-</v>
      </c>
      <c r="C319" t="str">
        <f t="shared" si="35"/>
        <v>PRA</v>
      </c>
      <c r="D319">
        <v>12</v>
      </c>
      <c r="E319" t="str">
        <f t="shared" si="36"/>
        <v>580</v>
      </c>
      <c r="F319" t="str">
        <f>"68"</f>
        <v>68</v>
      </c>
    </row>
    <row r="320" spans="1:6">
      <c r="A320" t="str">
        <f>"E923-20"</f>
        <v>E923-20</v>
      </c>
      <c r="B320" t="str">
        <f t="shared" ref="B320:B337" si="38">"VIA EVASIO MONTANELLA  48-"</f>
        <v>VIA EVASIO MONTANELLA  48-</v>
      </c>
      <c r="C320" t="str">
        <f t="shared" si="35"/>
        <v>PRA</v>
      </c>
      <c r="D320">
        <v>12</v>
      </c>
      <c r="E320" t="str">
        <f t="shared" si="36"/>
        <v>580</v>
      </c>
      <c r="F320" t="str">
        <f>"6"</f>
        <v>6</v>
      </c>
    </row>
    <row r="321" spans="1:6">
      <c r="C321" t="str">
        <f t="shared" si="35"/>
        <v>PRA</v>
      </c>
      <c r="D321">
        <v>12</v>
      </c>
      <c r="E321" t="str">
        <f t="shared" si="36"/>
        <v>580</v>
      </c>
      <c r="F321" t="str">
        <f>"69"</f>
        <v>69</v>
      </c>
    </row>
    <row r="322" spans="1:6">
      <c r="C322" t="str">
        <f t="shared" si="35"/>
        <v>PRA</v>
      </c>
      <c r="D322">
        <v>12</v>
      </c>
      <c r="E322" t="str">
        <f t="shared" si="36"/>
        <v>580</v>
      </c>
      <c r="F322" t="str">
        <f>"7"</f>
        <v>7</v>
      </c>
    </row>
    <row r="323" spans="1:6">
      <c r="A323" t="str">
        <f>"E923-21"</f>
        <v>E923-21</v>
      </c>
      <c r="B323" t="str">
        <f t="shared" si="38"/>
        <v>VIA EVASIO MONTANELLA  48-</v>
      </c>
      <c r="C323" t="str">
        <f t="shared" si="35"/>
        <v>PRA</v>
      </c>
      <c r="D323">
        <v>12</v>
      </c>
      <c r="E323" t="str">
        <f t="shared" si="36"/>
        <v>580</v>
      </c>
      <c r="F323" t="str">
        <f>"70"</f>
        <v>70</v>
      </c>
    </row>
    <row r="324" spans="1:6">
      <c r="C324" t="str">
        <f t="shared" si="35"/>
        <v>PRA</v>
      </c>
      <c r="D324">
        <v>12</v>
      </c>
      <c r="E324" t="str">
        <f t="shared" si="36"/>
        <v>580</v>
      </c>
      <c r="F324" t="str">
        <f>"8"</f>
        <v>8</v>
      </c>
    </row>
    <row r="325" spans="1:6">
      <c r="C325" t="str">
        <f t="shared" si="35"/>
        <v>PRA</v>
      </c>
      <c r="D325">
        <v>12</v>
      </c>
      <c r="E325" t="str">
        <f t="shared" si="36"/>
        <v>580</v>
      </c>
      <c r="F325" t="str">
        <f>"9"</f>
        <v>9</v>
      </c>
    </row>
    <row r="326" spans="1:6">
      <c r="A326" t="str">
        <f>"E923-22"</f>
        <v>E923-22</v>
      </c>
      <c r="B326" t="str">
        <f t="shared" si="38"/>
        <v>VIA EVASIO MONTANELLA  48-</v>
      </c>
      <c r="C326" t="str">
        <f t="shared" si="35"/>
        <v>PRA</v>
      </c>
      <c r="D326">
        <v>12</v>
      </c>
      <c r="E326" t="str">
        <f t="shared" si="36"/>
        <v>580</v>
      </c>
      <c r="F326" t="str">
        <f>"71"</f>
        <v>71</v>
      </c>
    </row>
    <row r="327" spans="1:6">
      <c r="A327" t="str">
        <f>"E923-23"</f>
        <v>E923-23</v>
      </c>
      <c r="B327" t="str">
        <f t="shared" si="38"/>
        <v>VIA EVASIO MONTANELLA  48-</v>
      </c>
      <c r="C327" t="str">
        <f t="shared" si="35"/>
        <v>PRA</v>
      </c>
      <c r="D327">
        <v>12</v>
      </c>
      <c r="E327" t="str">
        <f t="shared" si="36"/>
        <v>580</v>
      </c>
      <c r="F327" t="str">
        <f>"72"</f>
        <v>72</v>
      </c>
    </row>
    <row r="328" spans="1:6">
      <c r="A328" t="str">
        <f>"E923-24"</f>
        <v>E923-24</v>
      </c>
      <c r="B328" t="str">
        <f t="shared" si="38"/>
        <v>VIA EVASIO MONTANELLA  48-</v>
      </c>
      <c r="C328" t="str">
        <f t="shared" si="35"/>
        <v>PRA</v>
      </c>
      <c r="D328">
        <v>12</v>
      </c>
      <c r="E328" t="str">
        <f t="shared" si="36"/>
        <v>580</v>
      </c>
      <c r="F328" t="str">
        <f>"73"</f>
        <v>73</v>
      </c>
    </row>
    <row r="329" spans="1:6">
      <c r="A329" t="str">
        <f>"E923-25"</f>
        <v>E923-25</v>
      </c>
      <c r="B329" t="str">
        <f t="shared" si="38"/>
        <v>VIA EVASIO MONTANELLA  48-</v>
      </c>
      <c r="C329" t="str">
        <f t="shared" ref="C329:C360" si="39">"PRA"</f>
        <v>PRA</v>
      </c>
      <c r="D329">
        <v>12</v>
      </c>
      <c r="E329" t="str">
        <f t="shared" ref="E329:E360" si="40">"580"</f>
        <v>580</v>
      </c>
      <c r="F329" t="str">
        <f>"74"</f>
        <v>74</v>
      </c>
    </row>
    <row r="330" spans="1:6">
      <c r="A330" t="str">
        <f>"E923-26"</f>
        <v>E923-26</v>
      </c>
      <c r="B330" t="str">
        <f t="shared" si="38"/>
        <v>VIA EVASIO MONTANELLA  48-</v>
      </c>
      <c r="C330" t="str">
        <f t="shared" si="39"/>
        <v>PRA</v>
      </c>
      <c r="D330">
        <v>12</v>
      </c>
      <c r="E330" t="str">
        <f t="shared" si="40"/>
        <v>580</v>
      </c>
      <c r="F330" t="str">
        <f>"75"</f>
        <v>75</v>
      </c>
    </row>
    <row r="331" spans="1:6">
      <c r="A331" t="str">
        <f>"E923-27"</f>
        <v>E923-27</v>
      </c>
      <c r="B331" t="str">
        <f t="shared" si="38"/>
        <v>VIA EVASIO MONTANELLA  48-</v>
      </c>
      <c r="C331" t="str">
        <f t="shared" si="39"/>
        <v>PRA</v>
      </c>
      <c r="D331">
        <v>12</v>
      </c>
      <c r="E331" t="str">
        <f t="shared" si="40"/>
        <v>580</v>
      </c>
      <c r="F331" t="str">
        <f>"76"</f>
        <v>76</v>
      </c>
    </row>
    <row r="332" spans="1:6">
      <c r="A332" t="str">
        <f>"E923-28"</f>
        <v>E923-28</v>
      </c>
      <c r="B332" t="str">
        <f t="shared" si="38"/>
        <v>VIA EVASIO MONTANELLA  48-</v>
      </c>
      <c r="C332" t="str">
        <f t="shared" si="39"/>
        <v>PRA</v>
      </c>
      <c r="D332">
        <v>12</v>
      </c>
      <c r="E332" t="str">
        <f t="shared" si="40"/>
        <v>580</v>
      </c>
      <c r="F332" t="str">
        <f>"77"</f>
        <v>77</v>
      </c>
    </row>
    <row r="333" spans="1:6">
      <c r="A333" t="str">
        <f>"E923-29"</f>
        <v>E923-29</v>
      </c>
      <c r="B333" t="str">
        <f t="shared" si="38"/>
        <v>VIA EVASIO MONTANELLA  48-</v>
      </c>
      <c r="C333" t="str">
        <f t="shared" si="39"/>
        <v>PRA</v>
      </c>
      <c r="D333">
        <v>12</v>
      </c>
      <c r="E333" t="str">
        <f t="shared" si="40"/>
        <v>580</v>
      </c>
      <c r="F333" t="str">
        <f>"78"</f>
        <v>78</v>
      </c>
    </row>
    <row r="334" spans="1:6">
      <c r="A334" t="str">
        <f>"E923-30"</f>
        <v>E923-30</v>
      </c>
      <c r="B334" t="str">
        <f t="shared" si="38"/>
        <v>VIA EVASIO MONTANELLA  48-</v>
      </c>
      <c r="C334" t="str">
        <f t="shared" si="39"/>
        <v>PRA</v>
      </c>
      <c r="D334">
        <v>12</v>
      </c>
      <c r="E334" t="str">
        <f t="shared" si="40"/>
        <v>580</v>
      </c>
      <c r="F334" t="str">
        <f>"79"</f>
        <v>79</v>
      </c>
    </row>
    <row r="335" spans="1:6">
      <c r="A335" t="str">
        <f>"E923-31"</f>
        <v>E923-31</v>
      </c>
      <c r="B335" t="str">
        <f t="shared" si="38"/>
        <v>VIA EVASIO MONTANELLA  48-</v>
      </c>
      <c r="C335" t="str">
        <f t="shared" si="39"/>
        <v>PRA</v>
      </c>
      <c r="D335">
        <v>12</v>
      </c>
      <c r="E335" t="str">
        <f t="shared" si="40"/>
        <v>580</v>
      </c>
      <c r="F335" t="str">
        <f>"80"</f>
        <v>80</v>
      </c>
    </row>
    <row r="336" spans="1:6">
      <c r="A336" t="str">
        <f>"E923-32"</f>
        <v>E923-32</v>
      </c>
      <c r="B336" t="str">
        <f t="shared" si="38"/>
        <v>VIA EVASIO MONTANELLA  48-</v>
      </c>
      <c r="C336" t="str">
        <f t="shared" si="39"/>
        <v>PRA</v>
      </c>
      <c r="D336">
        <v>12</v>
      </c>
      <c r="E336" t="str">
        <f t="shared" si="40"/>
        <v>580</v>
      </c>
      <c r="F336" t="str">
        <f>"81"</f>
        <v>81</v>
      </c>
    </row>
    <row r="337" spans="1:6">
      <c r="A337" t="str">
        <f>"E923-33"</f>
        <v>E923-33</v>
      </c>
      <c r="B337" t="str">
        <f t="shared" si="38"/>
        <v>VIA EVASIO MONTANELLA  48-</v>
      </c>
      <c r="C337" t="str">
        <f t="shared" si="39"/>
        <v>PRA</v>
      </c>
      <c r="D337">
        <v>12</v>
      </c>
      <c r="E337" t="str">
        <f t="shared" si="40"/>
        <v>580</v>
      </c>
      <c r="F337" t="str">
        <f>"82"</f>
        <v>82</v>
      </c>
    </row>
    <row r="338" spans="1:6">
      <c r="A338" t="str">
        <f>"E923-34"</f>
        <v>E923-34</v>
      </c>
      <c r="B338" t="str">
        <f t="shared" ref="B338:B351" si="41">"VIA EVASIO MONTANELLA  50-"</f>
        <v>VIA EVASIO MONTANELLA  50-</v>
      </c>
      <c r="C338" t="str">
        <f t="shared" si="39"/>
        <v>PRA</v>
      </c>
      <c r="D338">
        <v>12</v>
      </c>
      <c r="E338" t="str">
        <f t="shared" si="40"/>
        <v>580</v>
      </c>
      <c r="F338" t="str">
        <f>"10"</f>
        <v>10</v>
      </c>
    </row>
    <row r="339" spans="1:6">
      <c r="C339" t="str">
        <f t="shared" si="39"/>
        <v>PRA</v>
      </c>
      <c r="D339">
        <v>12</v>
      </c>
      <c r="E339" t="str">
        <f t="shared" si="40"/>
        <v>580</v>
      </c>
      <c r="F339" t="str">
        <f>"83"</f>
        <v>83</v>
      </c>
    </row>
    <row r="340" spans="1:6">
      <c r="C340" t="str">
        <f t="shared" si="39"/>
        <v>PRA</v>
      </c>
      <c r="D340">
        <v>12</v>
      </c>
      <c r="E340" t="str">
        <f t="shared" si="40"/>
        <v>580</v>
      </c>
      <c r="F340" t="str">
        <f>"11"</f>
        <v>11</v>
      </c>
    </row>
    <row r="341" spans="1:6">
      <c r="A341" t="str">
        <f>"E923-35"</f>
        <v>E923-35</v>
      </c>
      <c r="B341" t="str">
        <f t="shared" si="41"/>
        <v>VIA EVASIO MONTANELLA  50-</v>
      </c>
      <c r="C341" t="str">
        <f t="shared" si="39"/>
        <v>PRA</v>
      </c>
      <c r="D341">
        <v>12</v>
      </c>
      <c r="E341" t="str">
        <f t="shared" si="40"/>
        <v>580</v>
      </c>
      <c r="F341" t="str">
        <f>"12"</f>
        <v>12</v>
      </c>
    </row>
    <row r="342" spans="1:6">
      <c r="C342" t="str">
        <f t="shared" si="39"/>
        <v>PRA</v>
      </c>
      <c r="D342">
        <v>12</v>
      </c>
      <c r="E342" t="str">
        <f t="shared" si="40"/>
        <v>580</v>
      </c>
      <c r="F342" t="str">
        <f>"84"</f>
        <v>84</v>
      </c>
    </row>
    <row r="343" spans="1:6">
      <c r="C343" t="str">
        <f t="shared" si="39"/>
        <v>PRA</v>
      </c>
      <c r="D343">
        <v>12</v>
      </c>
      <c r="E343" t="str">
        <f t="shared" si="40"/>
        <v>580</v>
      </c>
      <c r="F343" t="str">
        <f>"13"</f>
        <v>13</v>
      </c>
    </row>
    <row r="344" spans="1:6">
      <c r="A344" t="str">
        <f>"E923-36"</f>
        <v>E923-36</v>
      </c>
      <c r="B344" t="str">
        <f t="shared" si="41"/>
        <v>VIA EVASIO MONTANELLA  50-</v>
      </c>
      <c r="C344" t="str">
        <f t="shared" si="39"/>
        <v>PRA</v>
      </c>
      <c r="D344">
        <v>12</v>
      </c>
      <c r="E344" t="str">
        <f t="shared" si="40"/>
        <v>580</v>
      </c>
      <c r="F344" t="str">
        <f>"85"</f>
        <v>85</v>
      </c>
    </row>
    <row r="345" spans="1:6">
      <c r="A345" t="str">
        <f>"E923-37"</f>
        <v>E923-37</v>
      </c>
      <c r="B345" t="str">
        <f t="shared" si="41"/>
        <v>VIA EVASIO MONTANELLA  50-</v>
      </c>
      <c r="C345" t="str">
        <f t="shared" si="39"/>
        <v>PRA</v>
      </c>
      <c r="D345">
        <v>12</v>
      </c>
      <c r="E345" t="str">
        <f t="shared" si="40"/>
        <v>580</v>
      </c>
      <c r="F345" t="str">
        <f>"86"</f>
        <v>86</v>
      </c>
    </row>
    <row r="346" spans="1:6">
      <c r="A346" t="str">
        <f>"E923-38"</f>
        <v>E923-38</v>
      </c>
      <c r="B346" t="str">
        <f t="shared" si="41"/>
        <v>VIA EVASIO MONTANELLA  50-</v>
      </c>
      <c r="C346" t="str">
        <f t="shared" si="39"/>
        <v>PRA</v>
      </c>
      <c r="D346">
        <v>12</v>
      </c>
      <c r="E346" t="str">
        <f t="shared" si="40"/>
        <v>580</v>
      </c>
      <c r="F346" t="str">
        <f>"87"</f>
        <v>87</v>
      </c>
    </row>
    <row r="347" spans="1:6">
      <c r="A347" t="str">
        <f>"E923-39"</f>
        <v>E923-39</v>
      </c>
      <c r="B347" t="str">
        <f t="shared" si="41"/>
        <v>VIA EVASIO MONTANELLA  50-</v>
      </c>
      <c r="C347" t="str">
        <f t="shared" si="39"/>
        <v>PRA</v>
      </c>
      <c r="D347">
        <v>12</v>
      </c>
      <c r="E347" t="str">
        <f t="shared" si="40"/>
        <v>580</v>
      </c>
      <c r="F347" t="str">
        <f>"88"</f>
        <v>88</v>
      </c>
    </row>
    <row r="348" spans="1:6">
      <c r="A348" t="str">
        <f>"E923-40"</f>
        <v>E923-40</v>
      </c>
      <c r="B348" t="str">
        <f t="shared" si="41"/>
        <v>VIA EVASIO MONTANELLA  50-</v>
      </c>
      <c r="C348" t="str">
        <f t="shared" si="39"/>
        <v>PRA</v>
      </c>
      <c r="D348">
        <v>12</v>
      </c>
      <c r="E348" t="str">
        <f t="shared" si="40"/>
        <v>580</v>
      </c>
      <c r="F348" t="str">
        <f>"90"</f>
        <v>90</v>
      </c>
    </row>
    <row r="349" spans="1:6">
      <c r="A349" t="str">
        <f>"E923-41"</f>
        <v>E923-41</v>
      </c>
      <c r="B349" t="str">
        <f t="shared" si="41"/>
        <v>VIA EVASIO MONTANELLA  50-</v>
      </c>
      <c r="C349" t="str">
        <f t="shared" si="39"/>
        <v>PRA</v>
      </c>
      <c r="D349">
        <v>12</v>
      </c>
      <c r="E349" t="str">
        <f t="shared" si="40"/>
        <v>580</v>
      </c>
      <c r="F349" t="str">
        <f>"92"</f>
        <v>92</v>
      </c>
    </row>
    <row r="350" spans="1:6">
      <c r="A350" t="str">
        <f>"E923-42"</f>
        <v>E923-42</v>
      </c>
      <c r="B350" t="str">
        <f t="shared" si="41"/>
        <v>VIA EVASIO MONTANELLA  50-</v>
      </c>
      <c r="C350" t="str">
        <f t="shared" si="39"/>
        <v>PRA</v>
      </c>
      <c r="D350">
        <v>12</v>
      </c>
      <c r="E350" t="str">
        <f t="shared" si="40"/>
        <v>580</v>
      </c>
      <c r="F350" t="str">
        <f>"95"</f>
        <v>95</v>
      </c>
    </row>
    <row r="351" spans="1:6">
      <c r="A351" t="str">
        <f>"E923-43"</f>
        <v>E923-43</v>
      </c>
      <c r="B351" t="str">
        <f t="shared" si="41"/>
        <v>VIA EVASIO MONTANELLA  50-</v>
      </c>
      <c r="C351" t="str">
        <f t="shared" si="39"/>
        <v>PRA</v>
      </c>
      <c r="D351">
        <v>12</v>
      </c>
      <c r="E351" t="str">
        <f t="shared" si="40"/>
        <v>580</v>
      </c>
      <c r="F351" t="str">
        <f>"96"</f>
        <v>96</v>
      </c>
    </row>
    <row r="352" spans="1:6">
      <c r="A352" t="str">
        <f>"E923-44"</f>
        <v>E923-44</v>
      </c>
      <c r="B352" t="str">
        <f>"VIA EVASIO MONTANELLA  52-"</f>
        <v>VIA EVASIO MONTANELLA  52-</v>
      </c>
      <c r="C352" t="str">
        <f t="shared" si="39"/>
        <v>PRA</v>
      </c>
      <c r="D352">
        <v>12</v>
      </c>
      <c r="E352" t="str">
        <f t="shared" si="40"/>
        <v>580</v>
      </c>
      <c r="F352" t="str">
        <f>"14"</f>
        <v>14</v>
      </c>
    </row>
    <row r="353" spans="1:6">
      <c r="C353" t="str">
        <f t="shared" si="39"/>
        <v>PRA</v>
      </c>
      <c r="D353">
        <v>12</v>
      </c>
      <c r="E353" t="str">
        <f t="shared" si="40"/>
        <v>580</v>
      </c>
      <c r="F353" t="str">
        <f>"15"</f>
        <v>15</v>
      </c>
    </row>
    <row r="354" spans="1:6">
      <c r="C354" t="str">
        <f t="shared" si="39"/>
        <v>PRA</v>
      </c>
      <c r="D354">
        <v>12</v>
      </c>
      <c r="E354" t="str">
        <f t="shared" si="40"/>
        <v>580</v>
      </c>
      <c r="F354" t="str">
        <f>"97"</f>
        <v>97</v>
      </c>
    </row>
    <row r="355" spans="1:6">
      <c r="A355" t="str">
        <f>"E923-45"</f>
        <v>E923-45</v>
      </c>
      <c r="B355" t="str">
        <f>"VIA EVASIO MONTANELLA  52-"</f>
        <v>VIA EVASIO MONTANELLA  52-</v>
      </c>
      <c r="C355" t="str">
        <f t="shared" si="39"/>
        <v>PRA</v>
      </c>
      <c r="D355">
        <v>12</v>
      </c>
      <c r="E355" t="str">
        <f t="shared" si="40"/>
        <v>580</v>
      </c>
      <c r="F355" t="str">
        <f>"99"</f>
        <v>99</v>
      </c>
    </row>
    <row r="356" spans="1:6">
      <c r="A356" t="str">
        <f>"E923-46"</f>
        <v>E923-46</v>
      </c>
      <c r="B356" t="str">
        <f>"VIA EVASIO MONTANELLA  52-"</f>
        <v>VIA EVASIO MONTANELLA  52-</v>
      </c>
      <c r="C356" t="str">
        <f t="shared" si="39"/>
        <v>PRA</v>
      </c>
      <c r="D356">
        <v>12</v>
      </c>
      <c r="E356" t="str">
        <f t="shared" si="40"/>
        <v>580</v>
      </c>
      <c r="F356" t="str">
        <f>"101"</f>
        <v>101</v>
      </c>
    </row>
    <row r="357" spans="1:6">
      <c r="A357" t="str">
        <f>"E923-47"</f>
        <v>E923-47</v>
      </c>
      <c r="B357" t="str">
        <f t="shared" ref="B357:B374" si="42">"VIA EVASIO MONTANELLA  26-"</f>
        <v>VIA EVASIO MONTANELLA  26-</v>
      </c>
      <c r="C357" t="str">
        <f t="shared" si="39"/>
        <v>PRA</v>
      </c>
      <c r="D357">
        <v>12</v>
      </c>
      <c r="E357" t="str">
        <f t="shared" si="40"/>
        <v>580</v>
      </c>
      <c r="F357" t="str">
        <f>"20"</f>
        <v>20</v>
      </c>
    </row>
    <row r="358" spans="1:6">
      <c r="A358" t="str">
        <f>"E923-48"</f>
        <v>E923-48</v>
      </c>
      <c r="B358" t="str">
        <f t="shared" si="42"/>
        <v>VIA EVASIO MONTANELLA  26-</v>
      </c>
      <c r="C358" t="str">
        <f t="shared" si="39"/>
        <v>PRA</v>
      </c>
      <c r="D358">
        <v>12</v>
      </c>
      <c r="E358" t="str">
        <f t="shared" si="40"/>
        <v>580</v>
      </c>
      <c r="F358" t="str">
        <f>"21"</f>
        <v>21</v>
      </c>
    </row>
    <row r="359" spans="1:6">
      <c r="A359" t="str">
        <f>"E923-49"</f>
        <v>E923-49</v>
      </c>
      <c r="B359" t="str">
        <f t="shared" si="42"/>
        <v>VIA EVASIO MONTANELLA  26-</v>
      </c>
      <c r="C359" t="str">
        <f t="shared" si="39"/>
        <v>PRA</v>
      </c>
      <c r="D359">
        <v>12</v>
      </c>
      <c r="E359" t="str">
        <f t="shared" si="40"/>
        <v>580</v>
      </c>
      <c r="F359" t="str">
        <f>"22"</f>
        <v>22</v>
      </c>
    </row>
    <row r="360" spans="1:6">
      <c r="A360" t="str">
        <f>"E923-50"</f>
        <v>E923-50</v>
      </c>
      <c r="B360" t="str">
        <f t="shared" si="42"/>
        <v>VIA EVASIO MONTANELLA  26-</v>
      </c>
      <c r="C360" t="str">
        <f t="shared" si="39"/>
        <v>PRA</v>
      </c>
      <c r="D360">
        <v>12</v>
      </c>
      <c r="E360" t="str">
        <f t="shared" si="40"/>
        <v>580</v>
      </c>
      <c r="F360" t="str">
        <f>"23"</f>
        <v>23</v>
      </c>
    </row>
    <row r="361" spans="1:6">
      <c r="A361" t="str">
        <f>"E923-51"</f>
        <v>E923-51</v>
      </c>
      <c r="B361" t="str">
        <f t="shared" si="42"/>
        <v>VIA EVASIO MONTANELLA  26-</v>
      </c>
      <c r="C361" t="str">
        <f t="shared" ref="C361:C393" si="43">"PRA"</f>
        <v>PRA</v>
      </c>
      <c r="D361">
        <v>12</v>
      </c>
      <c r="E361" t="str">
        <f t="shared" ref="E361:E374" si="44">"580"</f>
        <v>580</v>
      </c>
      <c r="F361" t="str">
        <f>"24"</f>
        <v>24</v>
      </c>
    </row>
    <row r="362" spans="1:6">
      <c r="A362" t="str">
        <f>"E923-52"</f>
        <v>E923-52</v>
      </c>
      <c r="B362" t="str">
        <f t="shared" si="42"/>
        <v>VIA EVASIO MONTANELLA  26-</v>
      </c>
      <c r="C362" t="str">
        <f t="shared" si="43"/>
        <v>PRA</v>
      </c>
      <c r="D362">
        <v>12</v>
      </c>
      <c r="E362" t="str">
        <f t="shared" si="44"/>
        <v>580</v>
      </c>
      <c r="F362" t="str">
        <f>"25"</f>
        <v>25</v>
      </c>
    </row>
    <row r="363" spans="1:6">
      <c r="A363" t="str">
        <f>"E923-53"</f>
        <v>E923-53</v>
      </c>
      <c r="B363" t="str">
        <f t="shared" si="42"/>
        <v>VIA EVASIO MONTANELLA  26-</v>
      </c>
      <c r="C363" t="str">
        <f t="shared" si="43"/>
        <v>PRA</v>
      </c>
      <c r="D363">
        <v>12</v>
      </c>
      <c r="E363" t="str">
        <f t="shared" si="44"/>
        <v>580</v>
      </c>
      <c r="F363" t="str">
        <f>"26"</f>
        <v>26</v>
      </c>
    </row>
    <row r="364" spans="1:6">
      <c r="A364" t="str">
        <f>"E923-54"</f>
        <v>E923-54</v>
      </c>
      <c r="B364" t="str">
        <f t="shared" si="42"/>
        <v>VIA EVASIO MONTANELLA  26-</v>
      </c>
      <c r="C364" t="str">
        <f t="shared" si="43"/>
        <v>PRA</v>
      </c>
      <c r="D364">
        <v>12</v>
      </c>
      <c r="E364" t="str">
        <f t="shared" si="44"/>
        <v>580</v>
      </c>
      <c r="F364" t="str">
        <f>"27"</f>
        <v>27</v>
      </c>
    </row>
    <row r="365" spans="1:6">
      <c r="A365" t="str">
        <f>"E923-55"</f>
        <v>E923-55</v>
      </c>
      <c r="B365" t="str">
        <f t="shared" si="42"/>
        <v>VIA EVASIO MONTANELLA  26-</v>
      </c>
      <c r="C365" t="str">
        <f t="shared" si="43"/>
        <v>PRA</v>
      </c>
      <c r="D365">
        <v>12</v>
      </c>
      <c r="E365" t="str">
        <f t="shared" si="44"/>
        <v>580</v>
      </c>
      <c r="F365" t="str">
        <f>"28"</f>
        <v>28</v>
      </c>
    </row>
    <row r="366" spans="1:6">
      <c r="A366" t="str">
        <f>"E923-56"</f>
        <v>E923-56</v>
      </c>
      <c r="B366" t="str">
        <f t="shared" si="42"/>
        <v>VIA EVASIO MONTANELLA  26-</v>
      </c>
      <c r="C366" t="str">
        <f t="shared" si="43"/>
        <v>PRA</v>
      </c>
      <c r="D366">
        <v>12</v>
      </c>
      <c r="E366" t="str">
        <f t="shared" si="44"/>
        <v>580</v>
      </c>
      <c r="F366" t="str">
        <f>"29"</f>
        <v>29</v>
      </c>
    </row>
    <row r="367" spans="1:6">
      <c r="A367" t="str">
        <f>"E923-57"</f>
        <v>E923-57</v>
      </c>
      <c r="B367" t="str">
        <f t="shared" si="42"/>
        <v>VIA EVASIO MONTANELLA  26-</v>
      </c>
      <c r="C367" t="str">
        <f t="shared" si="43"/>
        <v>PRA</v>
      </c>
      <c r="D367">
        <v>12</v>
      </c>
      <c r="E367" t="str">
        <f t="shared" si="44"/>
        <v>580</v>
      </c>
      <c r="F367" t="str">
        <f>"30"</f>
        <v>30</v>
      </c>
    </row>
    <row r="368" spans="1:6">
      <c r="A368" t="str">
        <f>"E923-58"</f>
        <v>E923-58</v>
      </c>
      <c r="B368" t="str">
        <f t="shared" si="42"/>
        <v>VIA EVASIO MONTANELLA  26-</v>
      </c>
      <c r="C368" t="str">
        <f t="shared" si="43"/>
        <v>PRA</v>
      </c>
      <c r="D368">
        <v>12</v>
      </c>
      <c r="E368" t="str">
        <f t="shared" si="44"/>
        <v>580</v>
      </c>
      <c r="F368" t="str">
        <f>"31"</f>
        <v>31</v>
      </c>
    </row>
    <row r="369" spans="1:6">
      <c r="A369" t="str">
        <f>"E923-59"</f>
        <v>E923-59</v>
      </c>
      <c r="B369" t="str">
        <f t="shared" si="42"/>
        <v>VIA EVASIO MONTANELLA  26-</v>
      </c>
      <c r="C369" t="str">
        <f t="shared" si="43"/>
        <v>PRA</v>
      </c>
      <c r="D369">
        <v>12</v>
      </c>
      <c r="E369" t="str">
        <f t="shared" si="44"/>
        <v>580</v>
      </c>
      <c r="F369" t="str">
        <f>"32"</f>
        <v>32</v>
      </c>
    </row>
    <row r="370" spans="1:6">
      <c r="A370" t="str">
        <f>"E923-60"</f>
        <v>E923-60</v>
      </c>
      <c r="B370" t="str">
        <f t="shared" si="42"/>
        <v>VIA EVASIO MONTANELLA  26-</v>
      </c>
      <c r="C370" t="str">
        <f t="shared" si="43"/>
        <v>PRA</v>
      </c>
      <c r="D370">
        <v>12</v>
      </c>
      <c r="E370" t="str">
        <f t="shared" si="44"/>
        <v>580</v>
      </c>
      <c r="F370" t="str">
        <f>"33"</f>
        <v>33</v>
      </c>
    </row>
    <row r="371" spans="1:6">
      <c r="A371" t="str">
        <f>"E923-61"</f>
        <v>E923-61</v>
      </c>
      <c r="B371" t="str">
        <f t="shared" si="42"/>
        <v>VIA EVASIO MONTANELLA  26-</v>
      </c>
      <c r="C371" t="str">
        <f t="shared" si="43"/>
        <v>PRA</v>
      </c>
      <c r="D371">
        <v>12</v>
      </c>
      <c r="E371" t="str">
        <f t="shared" si="44"/>
        <v>580</v>
      </c>
      <c r="F371" t="str">
        <f>"34"</f>
        <v>34</v>
      </c>
    </row>
    <row r="372" spans="1:6">
      <c r="A372" t="str">
        <f>"E923-62"</f>
        <v>E923-62</v>
      </c>
      <c r="B372" t="str">
        <f t="shared" si="42"/>
        <v>VIA EVASIO MONTANELLA  26-</v>
      </c>
      <c r="C372" t="str">
        <f t="shared" si="43"/>
        <v>PRA</v>
      </c>
      <c r="D372">
        <v>12</v>
      </c>
      <c r="E372" t="str">
        <f t="shared" si="44"/>
        <v>580</v>
      </c>
      <c r="F372" t="str">
        <f>"35"</f>
        <v>35</v>
      </c>
    </row>
    <row r="373" spans="1:6">
      <c r="A373" t="str">
        <f>"E923-63"</f>
        <v>E923-63</v>
      </c>
      <c r="B373" t="str">
        <f t="shared" si="42"/>
        <v>VIA EVASIO MONTANELLA  26-</v>
      </c>
      <c r="C373" t="str">
        <f t="shared" si="43"/>
        <v>PRA</v>
      </c>
      <c r="D373">
        <v>12</v>
      </c>
      <c r="E373" t="str">
        <f t="shared" si="44"/>
        <v>580</v>
      </c>
      <c r="F373" t="str">
        <f>"38"</f>
        <v>38</v>
      </c>
    </row>
    <row r="374" spans="1:6">
      <c r="A374" t="str">
        <f>"E923-64"</f>
        <v>E923-64</v>
      </c>
      <c r="B374" t="str">
        <f t="shared" si="42"/>
        <v>VIA EVASIO MONTANELLA  26-</v>
      </c>
      <c r="C374" t="str">
        <f t="shared" si="43"/>
        <v>PRA</v>
      </c>
      <c r="D374">
        <v>12</v>
      </c>
      <c r="E374" t="str">
        <f t="shared" si="44"/>
        <v>580</v>
      </c>
      <c r="F374" t="str">
        <f>"39"</f>
        <v>39</v>
      </c>
    </row>
    <row r="375" spans="1:6">
      <c r="A375" t="str">
        <f>"E924-1"</f>
        <v>E924-1</v>
      </c>
      <c r="B375" t="str">
        <f t="shared" ref="B375:B382" si="45">"VIA EVASIO MONTANELLA  15-"</f>
        <v>VIA EVASIO MONTANELLA  15-</v>
      </c>
      <c r="C375" t="str">
        <f t="shared" si="43"/>
        <v>PRA</v>
      </c>
      <c r="D375">
        <v>12</v>
      </c>
      <c r="E375" t="str">
        <f t="shared" ref="E375:E393" si="46">"581"</f>
        <v>581</v>
      </c>
      <c r="F375" t="str">
        <f>"3"</f>
        <v>3</v>
      </c>
    </row>
    <row r="376" spans="1:6">
      <c r="C376" t="str">
        <f t="shared" si="43"/>
        <v>PRA</v>
      </c>
      <c r="D376">
        <v>12</v>
      </c>
      <c r="E376" t="str">
        <f t="shared" si="46"/>
        <v>581</v>
      </c>
      <c r="F376" t="str">
        <f>"52"</f>
        <v>52</v>
      </c>
    </row>
    <row r="377" spans="1:6">
      <c r="A377" t="str">
        <f>"E924-2"</f>
        <v>E924-2</v>
      </c>
      <c r="B377" t="str">
        <f t="shared" si="45"/>
        <v>VIA EVASIO MONTANELLA  15-</v>
      </c>
      <c r="C377" t="str">
        <f t="shared" si="43"/>
        <v>PRA</v>
      </c>
      <c r="D377">
        <v>12</v>
      </c>
      <c r="E377" t="str">
        <f t="shared" si="46"/>
        <v>581</v>
      </c>
      <c r="F377" t="str">
        <f>"4"</f>
        <v>4</v>
      </c>
    </row>
    <row r="378" spans="1:6">
      <c r="C378" t="str">
        <f t="shared" si="43"/>
        <v>PRA</v>
      </c>
      <c r="D378">
        <v>12</v>
      </c>
      <c r="E378" t="str">
        <f t="shared" si="46"/>
        <v>581</v>
      </c>
      <c r="F378" t="str">
        <f>"53"</f>
        <v>53</v>
      </c>
    </row>
    <row r="379" spans="1:6">
      <c r="A379" t="str">
        <f>"E924-3"</f>
        <v>E924-3</v>
      </c>
      <c r="B379" t="str">
        <f t="shared" si="45"/>
        <v>VIA EVASIO MONTANELLA  15-</v>
      </c>
      <c r="C379" t="str">
        <f t="shared" si="43"/>
        <v>PRA</v>
      </c>
      <c r="D379">
        <v>12</v>
      </c>
      <c r="E379" t="str">
        <f t="shared" si="46"/>
        <v>581</v>
      </c>
      <c r="F379" t="str">
        <f>"41"</f>
        <v>41</v>
      </c>
    </row>
    <row r="380" spans="1:6">
      <c r="A380" t="str">
        <f>"E924-4"</f>
        <v>E924-4</v>
      </c>
      <c r="B380" t="str">
        <f t="shared" si="45"/>
        <v>VIA EVASIO MONTANELLA  15-</v>
      </c>
      <c r="C380" t="str">
        <f t="shared" si="43"/>
        <v>PRA</v>
      </c>
      <c r="D380">
        <v>12</v>
      </c>
      <c r="E380" t="str">
        <f t="shared" si="46"/>
        <v>581</v>
      </c>
      <c r="F380" t="str">
        <f>"42"</f>
        <v>42</v>
      </c>
    </row>
    <row r="381" spans="1:6">
      <c r="A381" t="str">
        <f>"E924-5"</f>
        <v>E924-5</v>
      </c>
      <c r="B381" t="str">
        <f t="shared" si="45"/>
        <v>VIA EVASIO MONTANELLA  15-</v>
      </c>
      <c r="C381" t="str">
        <f t="shared" si="43"/>
        <v>PRA</v>
      </c>
      <c r="D381">
        <v>12</v>
      </c>
      <c r="E381" t="str">
        <f t="shared" si="46"/>
        <v>581</v>
      </c>
      <c r="F381" t="str">
        <f>"30"</f>
        <v>30</v>
      </c>
    </row>
    <row r="382" spans="1:6">
      <c r="A382" t="str">
        <f>"E924-6"</f>
        <v>E924-6</v>
      </c>
      <c r="B382" t="str">
        <f t="shared" si="45"/>
        <v>VIA EVASIO MONTANELLA  15-</v>
      </c>
      <c r="C382" t="str">
        <f t="shared" si="43"/>
        <v>PRA</v>
      </c>
      <c r="D382">
        <v>12</v>
      </c>
      <c r="E382" t="str">
        <f t="shared" si="46"/>
        <v>581</v>
      </c>
      <c r="F382" t="str">
        <f>"16"</f>
        <v>16</v>
      </c>
    </row>
    <row r="383" spans="1:6">
      <c r="C383" t="str">
        <f t="shared" si="43"/>
        <v>PRA</v>
      </c>
      <c r="D383">
        <v>12</v>
      </c>
      <c r="E383" t="str">
        <f t="shared" si="46"/>
        <v>581</v>
      </c>
      <c r="F383" t="str">
        <f>"22"</f>
        <v>22</v>
      </c>
    </row>
    <row r="384" spans="1:6">
      <c r="A384" t="str">
        <f>"E924-7"</f>
        <v>E924-7</v>
      </c>
      <c r="B384" t="str">
        <f t="shared" ref="B384:B403" si="47">"VIA EVASIO MONTANELLA  17-"</f>
        <v>VIA EVASIO MONTANELLA  17-</v>
      </c>
      <c r="C384" t="str">
        <f t="shared" si="43"/>
        <v>PRA</v>
      </c>
      <c r="D384">
        <v>12</v>
      </c>
      <c r="E384" t="str">
        <f t="shared" si="46"/>
        <v>581</v>
      </c>
      <c r="F384" t="str">
        <f>"5"</f>
        <v>5</v>
      </c>
    </row>
    <row r="385" spans="1:6">
      <c r="C385" t="str">
        <f t="shared" si="43"/>
        <v>PRA</v>
      </c>
      <c r="D385">
        <v>12</v>
      </c>
      <c r="E385" t="str">
        <f t="shared" si="46"/>
        <v>581</v>
      </c>
      <c r="F385" t="str">
        <f>"95"</f>
        <v>95</v>
      </c>
    </row>
    <row r="386" spans="1:6">
      <c r="A386" t="str">
        <f>"E924-8"</f>
        <v>E924-8</v>
      </c>
      <c r="B386" t="str">
        <f t="shared" si="47"/>
        <v>VIA EVASIO MONTANELLA  17-</v>
      </c>
      <c r="C386" t="str">
        <f t="shared" si="43"/>
        <v>PRA</v>
      </c>
      <c r="D386">
        <v>12</v>
      </c>
      <c r="E386" t="str">
        <f t="shared" si="46"/>
        <v>581</v>
      </c>
      <c r="F386" t="str">
        <f>"6"</f>
        <v>6</v>
      </c>
    </row>
    <row r="387" spans="1:6">
      <c r="C387" t="str">
        <f t="shared" si="43"/>
        <v>PRA</v>
      </c>
      <c r="D387">
        <v>12</v>
      </c>
      <c r="E387" t="str">
        <f t="shared" si="46"/>
        <v>581</v>
      </c>
      <c r="F387" t="str">
        <f>"96"</f>
        <v>96</v>
      </c>
    </row>
    <row r="388" spans="1:6">
      <c r="A388" t="str">
        <f>"E924-9"</f>
        <v>E924-9</v>
      </c>
      <c r="B388" t="str">
        <f t="shared" si="47"/>
        <v>VIA EVASIO MONTANELLA  17-</v>
      </c>
      <c r="C388" t="str">
        <f t="shared" si="43"/>
        <v>PRA</v>
      </c>
      <c r="D388">
        <v>12</v>
      </c>
      <c r="E388" t="str">
        <f t="shared" si="46"/>
        <v>581</v>
      </c>
      <c r="F388" t="str">
        <f>"10"</f>
        <v>10</v>
      </c>
    </row>
    <row r="389" spans="1:6">
      <c r="C389" t="str">
        <f t="shared" si="43"/>
        <v>PRA</v>
      </c>
      <c r="D389">
        <v>12</v>
      </c>
      <c r="E389" t="str">
        <f t="shared" si="46"/>
        <v>581</v>
      </c>
      <c r="F389" t="str">
        <f>"100"</f>
        <v>100</v>
      </c>
    </row>
    <row r="390" spans="1:6">
      <c r="A390" t="str">
        <f>"E924-10"</f>
        <v>E924-10</v>
      </c>
      <c r="B390" t="str">
        <f t="shared" si="47"/>
        <v>VIA EVASIO MONTANELLA  17-</v>
      </c>
      <c r="C390" t="str">
        <f t="shared" si="43"/>
        <v>PRA</v>
      </c>
      <c r="D390">
        <v>12</v>
      </c>
      <c r="E390" t="str">
        <f t="shared" si="46"/>
        <v>581</v>
      </c>
      <c r="F390" t="str">
        <f>"81"</f>
        <v>81</v>
      </c>
    </row>
    <row r="391" spans="1:6">
      <c r="A391" t="str">
        <f>"E924-11"</f>
        <v>E924-11</v>
      </c>
      <c r="B391" t="str">
        <f t="shared" si="47"/>
        <v>VIA EVASIO MONTANELLA  17-</v>
      </c>
      <c r="C391" t="str">
        <f t="shared" si="43"/>
        <v>PRA</v>
      </c>
      <c r="D391">
        <v>12</v>
      </c>
      <c r="E391" t="str">
        <f t="shared" si="46"/>
        <v>581</v>
      </c>
      <c r="F391" t="str">
        <f>"82"</f>
        <v>82</v>
      </c>
    </row>
    <row r="392" spans="1:6">
      <c r="A392" t="str">
        <f>"E924-12"</f>
        <v>E924-12</v>
      </c>
      <c r="B392" t="str">
        <f t="shared" si="47"/>
        <v>VIA EVASIO MONTANELLA  17-</v>
      </c>
      <c r="C392" t="str">
        <f t="shared" si="43"/>
        <v>PRA</v>
      </c>
      <c r="D392">
        <v>12</v>
      </c>
      <c r="E392" t="str">
        <f t="shared" si="46"/>
        <v>581</v>
      </c>
      <c r="F392" t="str">
        <f>"83"</f>
        <v>83</v>
      </c>
    </row>
    <row r="393" spans="1:6">
      <c r="A393" t="str">
        <f>"E924-13"</f>
        <v>E924-13</v>
      </c>
      <c r="B393" t="str">
        <f t="shared" si="47"/>
        <v>VIA EVASIO MONTANELLA  17-</v>
      </c>
      <c r="C393" t="str">
        <f t="shared" si="43"/>
        <v>PRA</v>
      </c>
      <c r="D393">
        <v>12</v>
      </c>
      <c r="E393" t="str">
        <f t="shared" si="46"/>
        <v>581</v>
      </c>
      <c r="F393" t="str">
        <f>"84"</f>
        <v>84</v>
      </c>
    </row>
    <row r="394" spans="1:6">
      <c r="A394" t="str">
        <f>"E924-14"</f>
        <v>E924-14</v>
      </c>
      <c r="B394" t="str">
        <f t="shared" si="47"/>
        <v>VIA EVASIO MONTANELLA  17-</v>
      </c>
      <c r="C394" t="str">
        <f>"3"</f>
        <v>3</v>
      </c>
      <c r="D394">
        <v>12</v>
      </c>
      <c r="E394" t="str">
        <f>"31"</f>
        <v>31</v>
      </c>
      <c r="F394" t="str">
        <f>"0000"</f>
        <v>0000</v>
      </c>
    </row>
    <row r="395" spans="1:6">
      <c r="C395" t="str">
        <f>"3"</f>
        <v>3</v>
      </c>
      <c r="D395">
        <v>12</v>
      </c>
      <c r="E395" t="str">
        <f>"57"</f>
        <v>57</v>
      </c>
      <c r="F395" t="str">
        <f>"0000"</f>
        <v>0000</v>
      </c>
    </row>
    <row r="396" spans="1:6">
      <c r="C396" t="str">
        <f>"3"</f>
        <v>3</v>
      </c>
      <c r="D396">
        <v>12</v>
      </c>
      <c r="E396" t="str">
        <f>"49"</f>
        <v>49</v>
      </c>
      <c r="F396" t="str">
        <f>"0000"</f>
        <v>0000</v>
      </c>
    </row>
    <row r="397" spans="1:6">
      <c r="A397" t="str">
        <f>"E924-15"</f>
        <v>E924-15</v>
      </c>
      <c r="B397" t="str">
        <f t="shared" si="47"/>
        <v>VIA EVASIO MONTANELLA  17-</v>
      </c>
      <c r="C397" t="str">
        <f t="shared" ref="C397:C410" si="48">"PRA"</f>
        <v>PRA</v>
      </c>
      <c r="D397">
        <v>12</v>
      </c>
      <c r="E397" t="str">
        <f t="shared" ref="E397:E410" si="49">"581"</f>
        <v>581</v>
      </c>
      <c r="F397" t="str">
        <f>"67"</f>
        <v>67</v>
      </c>
    </row>
    <row r="398" spans="1:6">
      <c r="A398" t="str">
        <f>"E924-16"</f>
        <v>E924-16</v>
      </c>
      <c r="B398" t="str">
        <f t="shared" si="47"/>
        <v>VIA EVASIO MONTANELLA  17-</v>
      </c>
      <c r="C398" t="str">
        <f t="shared" si="48"/>
        <v>PRA</v>
      </c>
      <c r="D398">
        <v>12</v>
      </c>
      <c r="E398" t="str">
        <f t="shared" si="49"/>
        <v>581</v>
      </c>
      <c r="F398" t="str">
        <f>"68"</f>
        <v>68</v>
      </c>
    </row>
    <row r="399" spans="1:6">
      <c r="A399" t="str">
        <f>"E924-17"</f>
        <v>E924-17</v>
      </c>
      <c r="B399" t="str">
        <f t="shared" si="47"/>
        <v>VIA EVASIO MONTANELLA  17-</v>
      </c>
      <c r="C399" t="str">
        <f t="shared" si="48"/>
        <v>PRA</v>
      </c>
      <c r="D399">
        <v>12</v>
      </c>
      <c r="E399" t="str">
        <f t="shared" si="49"/>
        <v>581</v>
      </c>
      <c r="F399" t="str">
        <f>"70"</f>
        <v>70</v>
      </c>
    </row>
    <row r="400" spans="1:6">
      <c r="A400" t="str">
        <f>"E924-18"</f>
        <v>E924-18</v>
      </c>
      <c r="B400" t="str">
        <f t="shared" si="47"/>
        <v>VIA EVASIO MONTANELLA  17-</v>
      </c>
      <c r="C400" t="str">
        <f t="shared" si="48"/>
        <v>PRA</v>
      </c>
      <c r="D400">
        <v>12</v>
      </c>
      <c r="E400" t="str">
        <f t="shared" si="49"/>
        <v>581</v>
      </c>
      <c r="F400" t="str">
        <f>"72"</f>
        <v>72</v>
      </c>
    </row>
    <row r="401" spans="1:6">
      <c r="A401" t="str">
        <f>"E924-19"</f>
        <v>E924-19</v>
      </c>
      <c r="B401" t="str">
        <f t="shared" si="47"/>
        <v>VIA EVASIO MONTANELLA  17-</v>
      </c>
      <c r="C401" t="str">
        <f t="shared" si="48"/>
        <v>PRA</v>
      </c>
      <c r="D401">
        <v>12</v>
      </c>
      <c r="E401" t="str">
        <f t="shared" si="49"/>
        <v>581</v>
      </c>
      <c r="F401" t="str">
        <f>"17"</f>
        <v>17</v>
      </c>
    </row>
    <row r="402" spans="1:6">
      <c r="A402" t="str">
        <f>"E924-19"</f>
        <v>E924-19</v>
      </c>
      <c r="B402" t="str">
        <f t="shared" si="47"/>
        <v>VIA EVASIO MONTANELLA  17-</v>
      </c>
      <c r="C402" t="str">
        <f t="shared" si="48"/>
        <v>PRA</v>
      </c>
      <c r="D402">
        <v>12</v>
      </c>
      <c r="E402" t="str">
        <f t="shared" si="49"/>
        <v>581</v>
      </c>
      <c r="F402" t="str">
        <f>"59"</f>
        <v>59</v>
      </c>
    </row>
    <row r="403" spans="1:6">
      <c r="A403" t="str">
        <f>"E924-20"</f>
        <v>E924-20</v>
      </c>
      <c r="B403" t="str">
        <f t="shared" si="47"/>
        <v>VIA EVASIO MONTANELLA  17-</v>
      </c>
      <c r="C403" t="str">
        <f t="shared" si="48"/>
        <v>PRA</v>
      </c>
      <c r="D403">
        <v>12</v>
      </c>
      <c r="E403" t="str">
        <f t="shared" si="49"/>
        <v>581</v>
      </c>
      <c r="F403" t="str">
        <f>"18"</f>
        <v>18</v>
      </c>
    </row>
    <row r="404" spans="1:6">
      <c r="C404" t="str">
        <f t="shared" si="48"/>
        <v>PRA</v>
      </c>
      <c r="D404">
        <v>12</v>
      </c>
      <c r="E404" t="str">
        <f t="shared" si="49"/>
        <v>581</v>
      </c>
      <c r="F404" t="str">
        <f>"60"</f>
        <v>60</v>
      </c>
    </row>
    <row r="405" spans="1:6">
      <c r="A405" t="str">
        <f>"E924-21"</f>
        <v>E924-21</v>
      </c>
      <c r="B405" t="str">
        <f t="shared" ref="B405:B410" si="50">"VIA EVASIO MONTANELLA  19-"</f>
        <v>VIA EVASIO MONTANELLA  19-</v>
      </c>
      <c r="C405" t="str">
        <f t="shared" si="48"/>
        <v>PRA</v>
      </c>
      <c r="D405">
        <v>12</v>
      </c>
      <c r="E405" t="str">
        <f t="shared" si="49"/>
        <v>581</v>
      </c>
      <c r="F405" t="str">
        <f>"11"</f>
        <v>11</v>
      </c>
    </row>
    <row r="406" spans="1:6">
      <c r="C406" t="str">
        <f t="shared" si="48"/>
        <v>PRA</v>
      </c>
      <c r="D406">
        <v>12</v>
      </c>
      <c r="E406" t="str">
        <f t="shared" si="49"/>
        <v>581</v>
      </c>
      <c r="F406" t="str">
        <f>"138"</f>
        <v>138</v>
      </c>
    </row>
    <row r="407" spans="1:6">
      <c r="A407" t="str">
        <f>"E924-22"</f>
        <v>E924-22</v>
      </c>
      <c r="B407" t="str">
        <f t="shared" si="50"/>
        <v>VIA EVASIO MONTANELLA  19-</v>
      </c>
      <c r="C407" t="str">
        <f t="shared" si="48"/>
        <v>PRA</v>
      </c>
      <c r="D407">
        <v>12</v>
      </c>
      <c r="E407" t="str">
        <f t="shared" si="49"/>
        <v>581</v>
      </c>
      <c r="F407" t="str">
        <f>"127"</f>
        <v>127</v>
      </c>
    </row>
    <row r="408" spans="1:6">
      <c r="A408" t="str">
        <f>"E924-23"</f>
        <v>E924-23</v>
      </c>
      <c r="B408" t="str">
        <f t="shared" si="50"/>
        <v>VIA EVASIO MONTANELLA  19-</v>
      </c>
      <c r="C408" t="str">
        <f t="shared" si="48"/>
        <v>PRA</v>
      </c>
      <c r="D408">
        <v>12</v>
      </c>
      <c r="E408" t="str">
        <f t="shared" si="49"/>
        <v>581</v>
      </c>
      <c r="F408" t="str">
        <f>"115"</f>
        <v>115</v>
      </c>
    </row>
    <row r="409" spans="1:6">
      <c r="A409" t="str">
        <f>"E924-24"</f>
        <v>E924-24</v>
      </c>
      <c r="B409" t="str">
        <f t="shared" si="50"/>
        <v>VIA EVASIO MONTANELLA  19-</v>
      </c>
      <c r="C409" t="str">
        <f t="shared" si="48"/>
        <v>PRA</v>
      </c>
      <c r="D409">
        <v>12</v>
      </c>
      <c r="E409" t="str">
        <f t="shared" si="49"/>
        <v>581</v>
      </c>
      <c r="F409" t="str">
        <f>"117"</f>
        <v>117</v>
      </c>
    </row>
    <row r="410" spans="1:6">
      <c r="A410" t="str">
        <f>"E924-25"</f>
        <v>E924-25</v>
      </c>
      <c r="B410" t="str">
        <f t="shared" si="50"/>
        <v>VIA EVASIO MONTANELLA  19-</v>
      </c>
      <c r="C410" t="str">
        <f t="shared" si="48"/>
        <v>PRA</v>
      </c>
      <c r="D410">
        <v>12</v>
      </c>
      <c r="E410" t="str">
        <f t="shared" si="49"/>
        <v>581</v>
      </c>
      <c r="F410" t="str">
        <f>"118"</f>
        <v>118</v>
      </c>
    </row>
    <row r="411" spans="1:6">
      <c r="A411" t="str">
        <f>"E924-26"</f>
        <v>E924-26</v>
      </c>
      <c r="B411" t="str">
        <f t="shared" ref="B411:B422" si="51">"VIA EVASIO MONTANELLA  15-"</f>
        <v>VIA EVASIO MONTANELLA  15-</v>
      </c>
      <c r="C411" t="str">
        <f>"3"</f>
        <v>3</v>
      </c>
      <c r="D411">
        <v>12</v>
      </c>
      <c r="E411" t="str">
        <f>"31"</f>
        <v>31</v>
      </c>
      <c r="F411" t="str">
        <f>"0000"</f>
        <v>0000</v>
      </c>
    </row>
    <row r="412" spans="1:6">
      <c r="C412" t="str">
        <f>"3"</f>
        <v>3</v>
      </c>
      <c r="D412">
        <v>12</v>
      </c>
      <c r="E412" t="str">
        <f>"49"</f>
        <v>49</v>
      </c>
      <c r="F412" t="str">
        <f>"0000"</f>
        <v>0000</v>
      </c>
    </row>
    <row r="413" spans="1:6">
      <c r="C413" t="str">
        <f>"3"</f>
        <v>3</v>
      </c>
      <c r="D413">
        <v>12</v>
      </c>
      <c r="E413" t="str">
        <f>"57"</f>
        <v>57</v>
      </c>
      <c r="F413" t="str">
        <f>"0000"</f>
        <v>0000</v>
      </c>
    </row>
    <row r="414" spans="1:6">
      <c r="A414" t="str">
        <f>"E924-27"</f>
        <v>E924-27</v>
      </c>
      <c r="B414" t="str">
        <f t="shared" si="51"/>
        <v>VIA EVASIO MONTANELLA  15-</v>
      </c>
      <c r="C414" t="str">
        <f t="shared" ref="C414:C445" si="52">"PRA"</f>
        <v>PRA</v>
      </c>
      <c r="D414">
        <v>12</v>
      </c>
      <c r="E414" t="str">
        <f t="shared" ref="E414:E433" si="53">"581"</f>
        <v>581</v>
      </c>
      <c r="F414" t="str">
        <f>"56"</f>
        <v>56</v>
      </c>
    </row>
    <row r="415" spans="1:6">
      <c r="A415" t="str">
        <f>"E924-28"</f>
        <v>E924-28</v>
      </c>
      <c r="B415" t="str">
        <f t="shared" si="51"/>
        <v>VIA EVASIO MONTANELLA  15-</v>
      </c>
      <c r="C415" t="str">
        <f t="shared" si="52"/>
        <v>PRA</v>
      </c>
      <c r="D415">
        <v>12</v>
      </c>
      <c r="E415" t="str">
        <f t="shared" si="53"/>
        <v>581</v>
      </c>
      <c r="F415" t="str">
        <f>"57"</f>
        <v>57</v>
      </c>
    </row>
    <row r="416" spans="1:6">
      <c r="A416" t="str">
        <f>"E924-29"</f>
        <v>E924-29</v>
      </c>
      <c r="B416" t="str">
        <f t="shared" si="51"/>
        <v>VIA EVASIO MONTANELLA  15-</v>
      </c>
      <c r="C416" t="str">
        <f t="shared" si="52"/>
        <v>PRA</v>
      </c>
      <c r="D416">
        <v>12</v>
      </c>
      <c r="E416" t="str">
        <f t="shared" si="53"/>
        <v>581</v>
      </c>
      <c r="F416" t="str">
        <f>"58"</f>
        <v>58</v>
      </c>
    </row>
    <row r="417" spans="1:6">
      <c r="A417" t="str">
        <f>"E924-30"</f>
        <v>E924-30</v>
      </c>
      <c r="B417" t="str">
        <f t="shared" si="51"/>
        <v>VIA EVASIO MONTANELLA  15-</v>
      </c>
      <c r="C417" t="str">
        <f t="shared" si="52"/>
        <v>PRA</v>
      </c>
      <c r="D417">
        <v>12</v>
      </c>
      <c r="E417" t="str">
        <f t="shared" si="53"/>
        <v>581</v>
      </c>
      <c r="F417" t="str">
        <f>"43"</f>
        <v>43</v>
      </c>
    </row>
    <row r="418" spans="1:6">
      <c r="A418" t="str">
        <f>"E924-31"</f>
        <v>E924-31</v>
      </c>
      <c r="B418" t="str">
        <f t="shared" si="51"/>
        <v>VIA EVASIO MONTANELLA  15-</v>
      </c>
      <c r="C418" t="str">
        <f t="shared" si="52"/>
        <v>PRA</v>
      </c>
      <c r="D418">
        <v>12</v>
      </c>
      <c r="E418" t="str">
        <f t="shared" si="53"/>
        <v>581</v>
      </c>
      <c r="F418" t="str">
        <f>"45"</f>
        <v>45</v>
      </c>
    </row>
    <row r="419" spans="1:6">
      <c r="A419" t="str">
        <f>"E924-32"</f>
        <v>E924-32</v>
      </c>
      <c r="B419" t="str">
        <f t="shared" si="51"/>
        <v>VIA EVASIO MONTANELLA  15-</v>
      </c>
      <c r="C419" t="str">
        <f t="shared" si="52"/>
        <v>PRA</v>
      </c>
      <c r="D419">
        <v>12</v>
      </c>
      <c r="E419" t="str">
        <f t="shared" si="53"/>
        <v>581</v>
      </c>
      <c r="F419" t="str">
        <f>"46"</f>
        <v>46</v>
      </c>
    </row>
    <row r="420" spans="1:6">
      <c r="A420" t="str">
        <f>"E924-33"</f>
        <v>E924-33</v>
      </c>
      <c r="B420" t="str">
        <f t="shared" si="51"/>
        <v>VIA EVASIO MONTANELLA  15-</v>
      </c>
      <c r="C420" t="str">
        <f t="shared" si="52"/>
        <v>PRA</v>
      </c>
      <c r="D420">
        <v>12</v>
      </c>
      <c r="E420" t="str">
        <f t="shared" si="53"/>
        <v>581</v>
      </c>
      <c r="F420" t="str">
        <f>"47"</f>
        <v>47</v>
      </c>
    </row>
    <row r="421" spans="1:6">
      <c r="A421" t="str">
        <f>"E924-34"</f>
        <v>E924-34</v>
      </c>
      <c r="B421" t="str">
        <f t="shared" si="51"/>
        <v>VIA EVASIO MONTANELLA  15-</v>
      </c>
      <c r="C421" t="str">
        <f t="shared" si="52"/>
        <v>PRA</v>
      </c>
      <c r="D421">
        <v>12</v>
      </c>
      <c r="E421" t="str">
        <f t="shared" si="53"/>
        <v>581</v>
      </c>
      <c r="F421" t="str">
        <f>"49"</f>
        <v>49</v>
      </c>
    </row>
    <row r="422" spans="1:6">
      <c r="A422" t="str">
        <f>"E924-35"</f>
        <v>E924-35</v>
      </c>
      <c r="B422" t="str">
        <f t="shared" si="51"/>
        <v>VIA EVASIO MONTANELLA  15-</v>
      </c>
      <c r="C422" t="str">
        <f t="shared" si="52"/>
        <v>PRA</v>
      </c>
      <c r="D422">
        <v>12</v>
      </c>
      <c r="E422" t="str">
        <f t="shared" si="53"/>
        <v>581</v>
      </c>
      <c r="F422" t="str">
        <f>"50"</f>
        <v>50</v>
      </c>
    </row>
    <row r="423" spans="1:6">
      <c r="A423" t="str">
        <f>"E924-36"</f>
        <v>E924-36</v>
      </c>
      <c r="B423" t="str">
        <f t="shared" ref="B423:B431" si="54">"VIA EVASIO MONTANELLA  17-"</f>
        <v>VIA EVASIO MONTANELLA  17-</v>
      </c>
      <c r="C423" t="str">
        <f t="shared" si="52"/>
        <v>PRA</v>
      </c>
      <c r="D423">
        <v>12</v>
      </c>
      <c r="E423" t="str">
        <f t="shared" si="53"/>
        <v>581</v>
      </c>
      <c r="F423" t="str">
        <f>"101"</f>
        <v>101</v>
      </c>
    </row>
    <row r="424" spans="1:6">
      <c r="A424" t="str">
        <f>"E924-37"</f>
        <v>E924-37</v>
      </c>
      <c r="B424" t="str">
        <f t="shared" si="54"/>
        <v>VIA EVASIO MONTANELLA  17-</v>
      </c>
      <c r="C424" t="str">
        <f t="shared" si="52"/>
        <v>PRA</v>
      </c>
      <c r="D424">
        <v>12</v>
      </c>
      <c r="E424" t="str">
        <f t="shared" si="53"/>
        <v>581</v>
      </c>
      <c r="F424" t="str">
        <f>"105"</f>
        <v>105</v>
      </c>
    </row>
    <row r="425" spans="1:6">
      <c r="A425" t="str">
        <f>"E924-38"</f>
        <v>E924-38</v>
      </c>
      <c r="B425" t="str">
        <f t="shared" si="54"/>
        <v>VIA EVASIO MONTANELLA  17-</v>
      </c>
      <c r="C425" t="str">
        <f t="shared" si="52"/>
        <v>PRA</v>
      </c>
      <c r="D425">
        <v>12</v>
      </c>
      <c r="E425" t="str">
        <f t="shared" si="53"/>
        <v>581</v>
      </c>
      <c r="F425" t="str">
        <f>"106"</f>
        <v>106</v>
      </c>
    </row>
    <row r="426" spans="1:6">
      <c r="A426" t="str">
        <f>"E924-39"</f>
        <v>E924-39</v>
      </c>
      <c r="B426" t="str">
        <f t="shared" si="54"/>
        <v>VIA EVASIO MONTANELLA  17-</v>
      </c>
      <c r="C426" t="str">
        <f t="shared" si="52"/>
        <v>PRA</v>
      </c>
      <c r="D426">
        <v>12</v>
      </c>
      <c r="E426" t="str">
        <f t="shared" si="53"/>
        <v>581</v>
      </c>
      <c r="F426" t="str">
        <f>"87"</f>
        <v>87</v>
      </c>
    </row>
    <row r="427" spans="1:6">
      <c r="A427" t="str">
        <f>"E924-40"</f>
        <v>E924-40</v>
      </c>
      <c r="B427" t="str">
        <f t="shared" si="54"/>
        <v>VIA EVASIO MONTANELLA  17-</v>
      </c>
      <c r="C427" t="str">
        <f t="shared" si="52"/>
        <v>PRA</v>
      </c>
      <c r="D427">
        <v>12</v>
      </c>
      <c r="E427" t="str">
        <f t="shared" si="53"/>
        <v>581</v>
      </c>
      <c r="F427" t="str">
        <f>"88"</f>
        <v>88</v>
      </c>
    </row>
    <row r="428" spans="1:6">
      <c r="A428" t="str">
        <f>"E924-41"</f>
        <v>E924-41</v>
      </c>
      <c r="B428" t="str">
        <f t="shared" si="54"/>
        <v>VIA EVASIO MONTANELLA  17-</v>
      </c>
      <c r="C428" t="str">
        <f t="shared" si="52"/>
        <v>PRA</v>
      </c>
      <c r="D428">
        <v>12</v>
      </c>
      <c r="E428" t="str">
        <f t="shared" si="53"/>
        <v>581</v>
      </c>
      <c r="F428" t="str">
        <f>"90"</f>
        <v>90</v>
      </c>
    </row>
    <row r="429" spans="1:6">
      <c r="A429" t="str">
        <f>"E924-42"</f>
        <v>E924-42</v>
      </c>
      <c r="B429" t="str">
        <f t="shared" si="54"/>
        <v>VIA EVASIO MONTANELLA  17-</v>
      </c>
      <c r="C429" t="str">
        <f t="shared" si="52"/>
        <v>PRA</v>
      </c>
      <c r="D429">
        <v>12</v>
      </c>
      <c r="E429" t="str">
        <f t="shared" si="53"/>
        <v>581</v>
      </c>
      <c r="F429" t="str">
        <f>"91"</f>
        <v>91</v>
      </c>
    </row>
    <row r="430" spans="1:6">
      <c r="A430" t="str">
        <f>"E924-43"</f>
        <v>E924-43</v>
      </c>
      <c r="B430" t="str">
        <f t="shared" si="54"/>
        <v>VIA EVASIO MONTANELLA  17-</v>
      </c>
      <c r="C430" t="str">
        <f t="shared" si="52"/>
        <v>PRA</v>
      </c>
      <c r="D430">
        <v>12</v>
      </c>
      <c r="E430" t="str">
        <f t="shared" si="53"/>
        <v>581</v>
      </c>
      <c r="F430" t="str">
        <f>"92"</f>
        <v>92</v>
      </c>
    </row>
    <row r="431" spans="1:6">
      <c r="A431" t="str">
        <f>"E924-44"</f>
        <v>E924-44</v>
      </c>
      <c r="B431" t="str">
        <f t="shared" si="54"/>
        <v>VIA EVASIO MONTANELLA  17-</v>
      </c>
      <c r="C431" t="str">
        <f t="shared" si="52"/>
        <v>PRA</v>
      </c>
      <c r="D431">
        <v>12</v>
      </c>
      <c r="E431" t="str">
        <f t="shared" si="53"/>
        <v>581</v>
      </c>
      <c r="F431" t="str">
        <f>"94"</f>
        <v>94</v>
      </c>
    </row>
    <row r="432" spans="1:6">
      <c r="A432" t="str">
        <f>"E924-45"</f>
        <v>E924-45</v>
      </c>
      <c r="B432" t="str">
        <f>"VIA EVASIO MONTANELLA  19-"</f>
        <v>VIA EVASIO MONTANELLA  19-</v>
      </c>
      <c r="C432" t="str">
        <f t="shared" si="52"/>
        <v>PRA</v>
      </c>
      <c r="D432">
        <v>12</v>
      </c>
      <c r="E432" t="str">
        <f t="shared" si="53"/>
        <v>581</v>
      </c>
      <c r="F432" t="str">
        <f>"142"</f>
        <v>142</v>
      </c>
    </row>
    <row r="433" spans="1:6">
      <c r="A433" t="str">
        <f>"E924-46"</f>
        <v>E924-46</v>
      </c>
      <c r="B433" t="str">
        <f>"VIA EVASIO MONTANELLA  19-"</f>
        <v>VIA EVASIO MONTANELLA  19-</v>
      </c>
      <c r="C433" t="str">
        <f t="shared" si="52"/>
        <v>PRA</v>
      </c>
      <c r="D433">
        <v>12</v>
      </c>
      <c r="E433" t="str">
        <f t="shared" si="53"/>
        <v>581</v>
      </c>
      <c r="F433" t="str">
        <f>"143"</f>
        <v>143</v>
      </c>
    </row>
    <row r="434" spans="1:6">
      <c r="A434" t="str">
        <f>"E926-1"</f>
        <v>E926-1</v>
      </c>
      <c r="B434" t="str">
        <f t="shared" ref="B434:B439" si="55">"VIA SALVATORE QUASIMODO  17-"</f>
        <v>VIA SALVATORE QUASIMODO  17-</v>
      </c>
      <c r="C434" t="str">
        <f t="shared" si="52"/>
        <v>PRA</v>
      </c>
      <c r="D434">
        <v>8</v>
      </c>
      <c r="E434" t="str">
        <f t="shared" ref="E434:E465" si="56">"771"</f>
        <v>771</v>
      </c>
      <c r="F434" t="str">
        <f>"3"</f>
        <v>3</v>
      </c>
    </row>
    <row r="435" spans="1:6">
      <c r="A435" t="str">
        <f>"E926-2"</f>
        <v>E926-2</v>
      </c>
      <c r="B435" t="str">
        <f t="shared" si="55"/>
        <v>VIA SALVATORE QUASIMODO  17-</v>
      </c>
      <c r="C435" t="str">
        <f t="shared" si="52"/>
        <v>PRA</v>
      </c>
      <c r="D435">
        <v>8</v>
      </c>
      <c r="E435" t="str">
        <f t="shared" si="56"/>
        <v>771</v>
      </c>
      <c r="F435" t="str">
        <f>"4"</f>
        <v>4</v>
      </c>
    </row>
    <row r="436" spans="1:6">
      <c r="A436" t="str">
        <f>"E926-3"</f>
        <v>E926-3</v>
      </c>
      <c r="B436" t="str">
        <f t="shared" si="55"/>
        <v>VIA SALVATORE QUASIMODO  17-</v>
      </c>
      <c r="C436" t="str">
        <f t="shared" si="52"/>
        <v>PRA</v>
      </c>
      <c r="D436">
        <v>8</v>
      </c>
      <c r="E436" t="str">
        <f t="shared" si="56"/>
        <v>771</v>
      </c>
      <c r="F436" t="str">
        <f>"5"</f>
        <v>5</v>
      </c>
    </row>
    <row r="437" spans="1:6">
      <c r="A437" t="str">
        <f>"E926-4"</f>
        <v>E926-4</v>
      </c>
      <c r="B437" t="str">
        <f t="shared" si="55"/>
        <v>VIA SALVATORE QUASIMODO  17-</v>
      </c>
      <c r="C437" t="str">
        <f t="shared" si="52"/>
        <v>PRA</v>
      </c>
      <c r="D437">
        <v>8</v>
      </c>
      <c r="E437" t="str">
        <f t="shared" si="56"/>
        <v>771</v>
      </c>
      <c r="F437" t="str">
        <f>"6"</f>
        <v>6</v>
      </c>
    </row>
    <row r="438" spans="1:6">
      <c r="A438" t="str">
        <f>"E926-5"</f>
        <v>E926-5</v>
      </c>
      <c r="B438" t="str">
        <f t="shared" si="55"/>
        <v>VIA SALVATORE QUASIMODO  17-</v>
      </c>
      <c r="C438" t="str">
        <f t="shared" si="52"/>
        <v>PRA</v>
      </c>
      <c r="D438">
        <v>8</v>
      </c>
      <c r="E438" t="str">
        <f t="shared" si="56"/>
        <v>771</v>
      </c>
      <c r="F438" t="str">
        <f>"7"</f>
        <v>7</v>
      </c>
    </row>
    <row r="439" spans="1:6">
      <c r="A439" t="str">
        <f>"E926-6"</f>
        <v>E926-6</v>
      </c>
      <c r="B439" t="str">
        <f t="shared" si="55"/>
        <v>VIA SALVATORE QUASIMODO  17-</v>
      </c>
      <c r="C439" t="str">
        <f t="shared" si="52"/>
        <v>PRA</v>
      </c>
      <c r="D439">
        <v>8</v>
      </c>
      <c r="E439" t="str">
        <f t="shared" si="56"/>
        <v>771</v>
      </c>
      <c r="F439" t="str">
        <f>"8"</f>
        <v>8</v>
      </c>
    </row>
    <row r="440" spans="1:6">
      <c r="A440" t="str">
        <f>"E926-7"</f>
        <v>E926-7</v>
      </c>
      <c r="B440" t="str">
        <f t="shared" ref="B440:B445" si="57">"VIA SALVATORE QUASIMODO  15-"</f>
        <v>VIA SALVATORE QUASIMODO  15-</v>
      </c>
      <c r="C440" t="str">
        <f t="shared" si="52"/>
        <v>PRA</v>
      </c>
      <c r="D440">
        <v>8</v>
      </c>
      <c r="E440" t="str">
        <f t="shared" si="56"/>
        <v>771</v>
      </c>
      <c r="F440" t="str">
        <f>"10"</f>
        <v>10</v>
      </c>
    </row>
    <row r="441" spans="1:6">
      <c r="A441" t="str">
        <f>"E926-8"</f>
        <v>E926-8</v>
      </c>
      <c r="B441" t="str">
        <f t="shared" si="57"/>
        <v>VIA SALVATORE QUASIMODO  15-</v>
      </c>
      <c r="C441" t="str">
        <f t="shared" si="52"/>
        <v>PRA</v>
      </c>
      <c r="D441">
        <v>8</v>
      </c>
      <c r="E441" t="str">
        <f t="shared" si="56"/>
        <v>771</v>
      </c>
      <c r="F441" t="str">
        <f>"11"</f>
        <v>11</v>
      </c>
    </row>
    <row r="442" spans="1:6">
      <c r="A442" t="str">
        <f>"E926-9"</f>
        <v>E926-9</v>
      </c>
      <c r="B442" t="str">
        <f t="shared" si="57"/>
        <v>VIA SALVATORE QUASIMODO  15-</v>
      </c>
      <c r="C442" t="str">
        <f t="shared" si="52"/>
        <v>PRA</v>
      </c>
      <c r="D442">
        <v>8</v>
      </c>
      <c r="E442" t="str">
        <f t="shared" si="56"/>
        <v>771</v>
      </c>
      <c r="F442" t="str">
        <f>"12"</f>
        <v>12</v>
      </c>
    </row>
    <row r="443" spans="1:6">
      <c r="A443" t="str">
        <f>"E926-10"</f>
        <v>E926-10</v>
      </c>
      <c r="B443" t="str">
        <f t="shared" si="57"/>
        <v>VIA SALVATORE QUASIMODO  15-</v>
      </c>
      <c r="C443" t="str">
        <f t="shared" si="52"/>
        <v>PRA</v>
      </c>
      <c r="D443">
        <v>8</v>
      </c>
      <c r="E443" t="str">
        <f t="shared" si="56"/>
        <v>771</v>
      </c>
      <c r="F443" t="str">
        <f>"13"</f>
        <v>13</v>
      </c>
    </row>
    <row r="444" spans="1:6">
      <c r="A444" t="str">
        <f>"E926-11"</f>
        <v>E926-11</v>
      </c>
      <c r="B444" t="str">
        <f t="shared" si="57"/>
        <v>VIA SALVATORE QUASIMODO  15-</v>
      </c>
      <c r="C444" t="str">
        <f t="shared" si="52"/>
        <v>PRA</v>
      </c>
      <c r="D444">
        <v>8</v>
      </c>
      <c r="E444" t="str">
        <f t="shared" si="56"/>
        <v>771</v>
      </c>
      <c r="F444" t="str">
        <f>"14"</f>
        <v>14</v>
      </c>
    </row>
    <row r="445" spans="1:6">
      <c r="A445" t="str">
        <f>"E926-12"</f>
        <v>E926-12</v>
      </c>
      <c r="B445" t="str">
        <f t="shared" si="57"/>
        <v>VIA SALVATORE QUASIMODO  15-</v>
      </c>
      <c r="C445" t="str">
        <f t="shared" si="52"/>
        <v>PRA</v>
      </c>
      <c r="D445">
        <v>8</v>
      </c>
      <c r="E445" t="str">
        <f t="shared" si="56"/>
        <v>771</v>
      </c>
      <c r="F445" t="str">
        <f>"15"</f>
        <v>15</v>
      </c>
    </row>
    <row r="446" spans="1:6">
      <c r="A446" t="str">
        <f>"E926-13"</f>
        <v>E926-13</v>
      </c>
      <c r="B446" t="str">
        <f t="shared" ref="B446:B451" si="58">"VIA SALVATORE QUASIMODO  21-"</f>
        <v>VIA SALVATORE QUASIMODO  21-</v>
      </c>
      <c r="C446" t="str">
        <f t="shared" ref="C446:C477" si="59">"PRA"</f>
        <v>PRA</v>
      </c>
      <c r="D446">
        <v>8</v>
      </c>
      <c r="E446" t="str">
        <f t="shared" si="56"/>
        <v>771</v>
      </c>
      <c r="F446" t="str">
        <f>"17"</f>
        <v>17</v>
      </c>
    </row>
    <row r="447" spans="1:6">
      <c r="A447" t="str">
        <f>"E926-14"</f>
        <v>E926-14</v>
      </c>
      <c r="B447" t="str">
        <f t="shared" si="58"/>
        <v>VIA SALVATORE QUASIMODO  21-</v>
      </c>
      <c r="C447" t="str">
        <f t="shared" si="59"/>
        <v>PRA</v>
      </c>
      <c r="D447">
        <v>8</v>
      </c>
      <c r="E447" t="str">
        <f t="shared" si="56"/>
        <v>771</v>
      </c>
      <c r="F447" t="str">
        <f>"18"</f>
        <v>18</v>
      </c>
    </row>
    <row r="448" spans="1:6">
      <c r="A448" t="str">
        <f>"E926-15"</f>
        <v>E926-15</v>
      </c>
      <c r="B448" t="str">
        <f t="shared" si="58"/>
        <v>VIA SALVATORE QUASIMODO  21-</v>
      </c>
      <c r="C448" t="str">
        <f t="shared" si="59"/>
        <v>PRA</v>
      </c>
      <c r="D448">
        <v>8</v>
      </c>
      <c r="E448" t="str">
        <f t="shared" si="56"/>
        <v>771</v>
      </c>
      <c r="F448" t="str">
        <f>"19"</f>
        <v>19</v>
      </c>
    </row>
    <row r="449" spans="1:6">
      <c r="A449" t="str">
        <f>"E926-16"</f>
        <v>E926-16</v>
      </c>
      <c r="B449" t="str">
        <f t="shared" si="58"/>
        <v>VIA SALVATORE QUASIMODO  21-</v>
      </c>
      <c r="C449" t="str">
        <f t="shared" si="59"/>
        <v>PRA</v>
      </c>
      <c r="D449">
        <v>8</v>
      </c>
      <c r="E449" t="str">
        <f t="shared" si="56"/>
        <v>771</v>
      </c>
      <c r="F449" t="str">
        <f>"20"</f>
        <v>20</v>
      </c>
    </row>
    <row r="450" spans="1:6">
      <c r="A450" t="str">
        <f>"E926-17"</f>
        <v>E926-17</v>
      </c>
      <c r="B450" t="str">
        <f t="shared" si="58"/>
        <v>VIA SALVATORE QUASIMODO  21-</v>
      </c>
      <c r="C450" t="str">
        <f t="shared" si="59"/>
        <v>PRA</v>
      </c>
      <c r="D450">
        <v>8</v>
      </c>
      <c r="E450" t="str">
        <f t="shared" si="56"/>
        <v>771</v>
      </c>
      <c r="F450" t="str">
        <f>"21"</f>
        <v>21</v>
      </c>
    </row>
    <row r="451" spans="1:6">
      <c r="A451" t="str">
        <f>"E926-18"</f>
        <v>E926-18</v>
      </c>
      <c r="B451" t="str">
        <f t="shared" si="58"/>
        <v>VIA SALVATORE QUASIMODO  21-</v>
      </c>
      <c r="C451" t="str">
        <f t="shared" si="59"/>
        <v>PRA</v>
      </c>
      <c r="D451">
        <v>8</v>
      </c>
      <c r="E451" t="str">
        <f t="shared" si="56"/>
        <v>771</v>
      </c>
      <c r="F451" t="str">
        <f>"22"</f>
        <v>22</v>
      </c>
    </row>
    <row r="452" spans="1:6">
      <c r="A452" t="str">
        <f>"E926-19"</f>
        <v>E926-19</v>
      </c>
      <c r="B452" t="str">
        <f t="shared" ref="B452:B457" si="60">"VIA SALVATORE QUASIMODO  19-"</f>
        <v>VIA SALVATORE QUASIMODO  19-</v>
      </c>
      <c r="C452" t="str">
        <f t="shared" si="59"/>
        <v>PRA</v>
      </c>
      <c r="D452">
        <v>8</v>
      </c>
      <c r="E452" t="str">
        <f t="shared" si="56"/>
        <v>771</v>
      </c>
      <c r="F452" t="str">
        <f>"24"</f>
        <v>24</v>
      </c>
    </row>
    <row r="453" spans="1:6">
      <c r="A453" t="str">
        <f>"E926-20"</f>
        <v>E926-20</v>
      </c>
      <c r="B453" t="str">
        <f t="shared" si="60"/>
        <v>VIA SALVATORE QUASIMODO  19-</v>
      </c>
      <c r="C453" t="str">
        <f t="shared" si="59"/>
        <v>PRA</v>
      </c>
      <c r="D453">
        <v>8</v>
      </c>
      <c r="E453" t="str">
        <f t="shared" si="56"/>
        <v>771</v>
      </c>
      <c r="F453" t="str">
        <f>"25"</f>
        <v>25</v>
      </c>
    </row>
    <row r="454" spans="1:6">
      <c r="A454" t="str">
        <f>"E926-21"</f>
        <v>E926-21</v>
      </c>
      <c r="B454" t="str">
        <f t="shared" si="60"/>
        <v>VIA SALVATORE QUASIMODO  19-</v>
      </c>
      <c r="C454" t="str">
        <f t="shared" si="59"/>
        <v>PRA</v>
      </c>
      <c r="D454">
        <v>8</v>
      </c>
      <c r="E454" t="str">
        <f t="shared" si="56"/>
        <v>771</v>
      </c>
      <c r="F454" t="str">
        <f>"26"</f>
        <v>26</v>
      </c>
    </row>
    <row r="455" spans="1:6">
      <c r="A455" t="str">
        <f>"E926-22"</f>
        <v>E926-22</v>
      </c>
      <c r="B455" t="str">
        <f t="shared" si="60"/>
        <v>VIA SALVATORE QUASIMODO  19-</v>
      </c>
      <c r="C455" t="str">
        <f t="shared" si="59"/>
        <v>PRA</v>
      </c>
      <c r="D455">
        <v>8</v>
      </c>
      <c r="E455" t="str">
        <f t="shared" si="56"/>
        <v>771</v>
      </c>
      <c r="F455" t="str">
        <f>"27"</f>
        <v>27</v>
      </c>
    </row>
    <row r="456" spans="1:6">
      <c r="A456" t="str">
        <f>"E926-23"</f>
        <v>E926-23</v>
      </c>
      <c r="B456" t="str">
        <f t="shared" si="60"/>
        <v>VIA SALVATORE QUASIMODO  19-</v>
      </c>
      <c r="C456" t="str">
        <f t="shared" si="59"/>
        <v>PRA</v>
      </c>
      <c r="D456">
        <v>8</v>
      </c>
      <c r="E456" t="str">
        <f t="shared" si="56"/>
        <v>771</v>
      </c>
      <c r="F456" t="str">
        <f>"28"</f>
        <v>28</v>
      </c>
    </row>
    <row r="457" spans="1:6">
      <c r="A457" t="str">
        <f>"E926-24"</f>
        <v>E926-24</v>
      </c>
      <c r="B457" t="str">
        <f t="shared" si="60"/>
        <v>VIA SALVATORE QUASIMODO  19-</v>
      </c>
      <c r="C457" t="str">
        <f t="shared" si="59"/>
        <v>PRA</v>
      </c>
      <c r="D457">
        <v>8</v>
      </c>
      <c r="E457" t="str">
        <f t="shared" si="56"/>
        <v>771</v>
      </c>
      <c r="F457" t="str">
        <f>"29"</f>
        <v>29</v>
      </c>
    </row>
    <row r="458" spans="1:6">
      <c r="A458" t="str">
        <f>"E926-25"</f>
        <v>E926-25</v>
      </c>
      <c r="B458" t="str">
        <f t="shared" ref="B458:B463" si="61">"VIA SALVATORE QUASIMODO  25-"</f>
        <v>VIA SALVATORE QUASIMODO  25-</v>
      </c>
      <c r="C458" t="str">
        <f t="shared" si="59"/>
        <v>PRA</v>
      </c>
      <c r="D458">
        <v>8</v>
      </c>
      <c r="E458" t="str">
        <f t="shared" si="56"/>
        <v>771</v>
      </c>
      <c r="F458" t="str">
        <f>"31"</f>
        <v>31</v>
      </c>
    </row>
    <row r="459" spans="1:6">
      <c r="A459" t="str">
        <f>"E926-26"</f>
        <v>E926-26</v>
      </c>
      <c r="B459" t="str">
        <f t="shared" si="61"/>
        <v>VIA SALVATORE QUASIMODO  25-</v>
      </c>
      <c r="C459" t="str">
        <f t="shared" si="59"/>
        <v>PRA</v>
      </c>
      <c r="D459">
        <v>8</v>
      </c>
      <c r="E459" t="str">
        <f t="shared" si="56"/>
        <v>771</v>
      </c>
      <c r="F459" t="str">
        <f>"32"</f>
        <v>32</v>
      </c>
    </row>
    <row r="460" spans="1:6">
      <c r="A460" t="str">
        <f>"E926-27"</f>
        <v>E926-27</v>
      </c>
      <c r="B460" t="str">
        <f t="shared" si="61"/>
        <v>VIA SALVATORE QUASIMODO  25-</v>
      </c>
      <c r="C460" t="str">
        <f t="shared" si="59"/>
        <v>PRA</v>
      </c>
      <c r="D460">
        <v>8</v>
      </c>
      <c r="E460" t="str">
        <f t="shared" si="56"/>
        <v>771</v>
      </c>
      <c r="F460" t="str">
        <f>"33"</f>
        <v>33</v>
      </c>
    </row>
    <row r="461" spans="1:6">
      <c r="A461" t="str">
        <f>"E926-28"</f>
        <v>E926-28</v>
      </c>
      <c r="B461" t="str">
        <f t="shared" si="61"/>
        <v>VIA SALVATORE QUASIMODO  25-</v>
      </c>
      <c r="C461" t="str">
        <f t="shared" si="59"/>
        <v>PRA</v>
      </c>
      <c r="D461">
        <v>8</v>
      </c>
      <c r="E461" t="str">
        <f t="shared" si="56"/>
        <v>771</v>
      </c>
      <c r="F461" t="str">
        <f>"34"</f>
        <v>34</v>
      </c>
    </row>
    <row r="462" spans="1:6">
      <c r="A462" t="str">
        <f>"E926-29"</f>
        <v>E926-29</v>
      </c>
      <c r="B462" t="str">
        <f t="shared" si="61"/>
        <v>VIA SALVATORE QUASIMODO  25-</v>
      </c>
      <c r="C462" t="str">
        <f t="shared" si="59"/>
        <v>PRA</v>
      </c>
      <c r="D462">
        <v>8</v>
      </c>
      <c r="E462" t="str">
        <f t="shared" si="56"/>
        <v>771</v>
      </c>
      <c r="F462" t="str">
        <f>"35"</f>
        <v>35</v>
      </c>
    </row>
    <row r="463" spans="1:6">
      <c r="A463" t="str">
        <f>"E926-30"</f>
        <v>E926-30</v>
      </c>
      <c r="B463" t="str">
        <f t="shared" si="61"/>
        <v>VIA SALVATORE QUASIMODO  25-</v>
      </c>
      <c r="C463" t="str">
        <f t="shared" si="59"/>
        <v>PRA</v>
      </c>
      <c r="D463">
        <v>8</v>
      </c>
      <c r="E463" t="str">
        <f t="shared" si="56"/>
        <v>771</v>
      </c>
      <c r="F463" t="str">
        <f>"36"</f>
        <v>36</v>
      </c>
    </row>
    <row r="464" spans="1:6">
      <c r="A464" t="str">
        <f>"E926-31"</f>
        <v>E926-31</v>
      </c>
      <c r="B464" t="str">
        <f t="shared" ref="B464:B469" si="62">"VIA SALVATORE QUASIMODO  23-"</f>
        <v>VIA SALVATORE QUASIMODO  23-</v>
      </c>
      <c r="C464" t="str">
        <f t="shared" si="59"/>
        <v>PRA</v>
      </c>
      <c r="D464">
        <v>8</v>
      </c>
      <c r="E464" t="str">
        <f t="shared" si="56"/>
        <v>771</v>
      </c>
      <c r="F464" t="str">
        <f>"38"</f>
        <v>38</v>
      </c>
    </row>
    <row r="465" spans="1:6">
      <c r="A465" t="str">
        <f>"E926-32"</f>
        <v>E926-32</v>
      </c>
      <c r="B465" t="str">
        <f t="shared" si="62"/>
        <v>VIA SALVATORE QUASIMODO  23-</v>
      </c>
      <c r="C465" t="str">
        <f t="shared" si="59"/>
        <v>PRA</v>
      </c>
      <c r="D465">
        <v>8</v>
      </c>
      <c r="E465" t="str">
        <f t="shared" si="56"/>
        <v>771</v>
      </c>
      <c r="F465" t="str">
        <f>"39"</f>
        <v>39</v>
      </c>
    </row>
    <row r="466" spans="1:6">
      <c r="A466" t="str">
        <f>"E926-33"</f>
        <v>E926-33</v>
      </c>
      <c r="B466" t="str">
        <f t="shared" si="62"/>
        <v>VIA SALVATORE QUASIMODO  23-</v>
      </c>
      <c r="C466" t="str">
        <f t="shared" si="59"/>
        <v>PRA</v>
      </c>
      <c r="D466">
        <v>8</v>
      </c>
      <c r="E466" t="str">
        <f t="shared" ref="E466:E497" si="63">"771"</f>
        <v>771</v>
      </c>
      <c r="F466" t="str">
        <f>"40"</f>
        <v>40</v>
      </c>
    </row>
    <row r="467" spans="1:6">
      <c r="A467" t="str">
        <f>"E926-34"</f>
        <v>E926-34</v>
      </c>
      <c r="B467" t="str">
        <f t="shared" si="62"/>
        <v>VIA SALVATORE QUASIMODO  23-</v>
      </c>
      <c r="C467" t="str">
        <f t="shared" si="59"/>
        <v>PRA</v>
      </c>
      <c r="D467">
        <v>8</v>
      </c>
      <c r="E467" t="str">
        <f t="shared" si="63"/>
        <v>771</v>
      </c>
      <c r="F467" t="str">
        <f>"41"</f>
        <v>41</v>
      </c>
    </row>
    <row r="468" spans="1:6">
      <c r="A468" t="str">
        <f>"E926-35"</f>
        <v>E926-35</v>
      </c>
      <c r="B468" t="str">
        <f t="shared" si="62"/>
        <v>VIA SALVATORE QUASIMODO  23-</v>
      </c>
      <c r="C468" t="str">
        <f t="shared" si="59"/>
        <v>PRA</v>
      </c>
      <c r="D468">
        <v>8</v>
      </c>
      <c r="E468" t="str">
        <f t="shared" si="63"/>
        <v>771</v>
      </c>
      <c r="F468" t="str">
        <f>"42"</f>
        <v>42</v>
      </c>
    </row>
    <row r="469" spans="1:6">
      <c r="A469" t="str">
        <f>"E926-36"</f>
        <v>E926-36</v>
      </c>
      <c r="B469" t="str">
        <f t="shared" si="62"/>
        <v>VIA SALVATORE QUASIMODO  23-</v>
      </c>
      <c r="C469" t="str">
        <f t="shared" si="59"/>
        <v>PRA</v>
      </c>
      <c r="D469">
        <v>8</v>
      </c>
      <c r="E469" t="str">
        <f t="shared" si="63"/>
        <v>771</v>
      </c>
      <c r="F469" t="str">
        <f>"43"</f>
        <v>43</v>
      </c>
    </row>
    <row r="470" spans="1:6">
      <c r="A470" t="str">
        <f>"E926-37"</f>
        <v>E926-37</v>
      </c>
      <c r="B470" t="str">
        <f>"VIA SALVATORE QUASIMODO  29-"</f>
        <v>VIA SALVATORE QUASIMODO  29-</v>
      </c>
      <c r="C470" t="str">
        <f t="shared" si="59"/>
        <v>PRA</v>
      </c>
      <c r="D470">
        <v>8</v>
      </c>
      <c r="E470" t="str">
        <f t="shared" si="63"/>
        <v>771</v>
      </c>
      <c r="F470" t="str">
        <f>"45"</f>
        <v>45</v>
      </c>
    </row>
    <row r="471" spans="1:6">
      <c r="A471" t="str">
        <f>"E926-38"</f>
        <v>E926-38</v>
      </c>
      <c r="B471" t="str">
        <f>"VIA SALVATORE QUASIMODO  29-"</f>
        <v>VIA SALVATORE QUASIMODO  29-</v>
      </c>
      <c r="C471" t="str">
        <f t="shared" si="59"/>
        <v>PRA</v>
      </c>
      <c r="D471">
        <v>8</v>
      </c>
      <c r="E471" t="str">
        <f t="shared" si="63"/>
        <v>771</v>
      </c>
      <c r="F471" t="str">
        <f>"46"</f>
        <v>46</v>
      </c>
    </row>
    <row r="472" spans="1:6">
      <c r="A472" t="str">
        <f>"E926-39"</f>
        <v>E926-39</v>
      </c>
      <c r="B472" t="str">
        <f>"VIA SALVATORE QUASIMODO  29-"</f>
        <v>VIA SALVATORE QUASIMODO  29-</v>
      </c>
      <c r="C472" t="str">
        <f t="shared" si="59"/>
        <v>PRA</v>
      </c>
      <c r="D472">
        <v>8</v>
      </c>
      <c r="E472" t="str">
        <f t="shared" si="63"/>
        <v>771</v>
      </c>
      <c r="F472" t="str">
        <f>"47"</f>
        <v>47</v>
      </c>
    </row>
    <row r="473" spans="1:6">
      <c r="A473" t="str">
        <f>"E926-40"</f>
        <v>E926-40</v>
      </c>
      <c r="B473" t="str">
        <f>"VIA SALVATORE QUASIMODO  29-"</f>
        <v>VIA SALVATORE QUASIMODO  29-</v>
      </c>
      <c r="C473" t="str">
        <f t="shared" si="59"/>
        <v>PRA</v>
      </c>
      <c r="D473">
        <v>8</v>
      </c>
      <c r="E473" t="str">
        <f t="shared" si="63"/>
        <v>771</v>
      </c>
      <c r="F473" t="str">
        <f>"48"</f>
        <v>48</v>
      </c>
    </row>
    <row r="474" spans="1:6">
      <c r="A474" t="str">
        <f>"E926-41"</f>
        <v>E926-41</v>
      </c>
      <c r="B474" t="str">
        <f>"VIA SALVATORE QUASIMODO  27-"</f>
        <v>VIA SALVATORE QUASIMODO  27-</v>
      </c>
      <c r="C474" t="str">
        <f t="shared" si="59"/>
        <v>PRA</v>
      </c>
      <c r="D474">
        <v>8</v>
      </c>
      <c r="E474" t="str">
        <f t="shared" si="63"/>
        <v>771</v>
      </c>
      <c r="F474" t="str">
        <f>"50"</f>
        <v>50</v>
      </c>
    </row>
    <row r="475" spans="1:6">
      <c r="A475" t="str">
        <f>"E926-42"</f>
        <v>E926-42</v>
      </c>
      <c r="B475" t="str">
        <f>"VIA SALVATORE QUASIMODO  27-"</f>
        <v>VIA SALVATORE QUASIMODO  27-</v>
      </c>
      <c r="C475" t="str">
        <f t="shared" si="59"/>
        <v>PRA</v>
      </c>
      <c r="D475">
        <v>8</v>
      </c>
      <c r="E475" t="str">
        <f t="shared" si="63"/>
        <v>771</v>
      </c>
      <c r="F475" t="str">
        <f>"51"</f>
        <v>51</v>
      </c>
    </row>
    <row r="476" spans="1:6">
      <c r="A476" t="str">
        <f>"E926-43"</f>
        <v>E926-43</v>
      </c>
      <c r="B476" t="str">
        <f>"VIA SALVATORE QUASIMODO  27-"</f>
        <v>VIA SALVATORE QUASIMODO  27-</v>
      </c>
      <c r="C476" t="str">
        <f t="shared" si="59"/>
        <v>PRA</v>
      </c>
      <c r="D476">
        <v>8</v>
      </c>
      <c r="E476" t="str">
        <f t="shared" si="63"/>
        <v>771</v>
      </c>
      <c r="F476" t="str">
        <f>"52"</f>
        <v>52</v>
      </c>
    </row>
    <row r="477" spans="1:6">
      <c r="A477" t="str">
        <f>"E926-44"</f>
        <v>E926-44</v>
      </c>
      <c r="B477" t="str">
        <f>"VIA SALVATORE QUASIMODO  27-"</f>
        <v>VIA SALVATORE QUASIMODO  27-</v>
      </c>
      <c r="C477" t="str">
        <f t="shared" si="59"/>
        <v>PRA</v>
      </c>
      <c r="D477">
        <v>8</v>
      </c>
      <c r="E477" t="str">
        <f t="shared" si="63"/>
        <v>771</v>
      </c>
      <c r="F477" t="str">
        <f>"53"</f>
        <v>53</v>
      </c>
    </row>
    <row r="478" spans="1:6">
      <c r="A478" t="str">
        <f>"E926-45"</f>
        <v>E926-45</v>
      </c>
      <c r="B478" t="str">
        <f t="shared" ref="B478:B483" si="64">"VIA SALVATORE QUASIMODO  33-"</f>
        <v>VIA SALVATORE QUASIMODO  33-</v>
      </c>
      <c r="C478" t="str">
        <f t="shared" ref="C478:C509" si="65">"PRA"</f>
        <v>PRA</v>
      </c>
      <c r="D478">
        <v>8</v>
      </c>
      <c r="E478" t="str">
        <f t="shared" si="63"/>
        <v>771</v>
      </c>
      <c r="F478" t="str">
        <f>"55"</f>
        <v>55</v>
      </c>
    </row>
    <row r="479" spans="1:6">
      <c r="A479" t="str">
        <f>"E926-46"</f>
        <v>E926-46</v>
      </c>
      <c r="B479" t="str">
        <f t="shared" si="64"/>
        <v>VIA SALVATORE QUASIMODO  33-</v>
      </c>
      <c r="C479" t="str">
        <f t="shared" si="65"/>
        <v>PRA</v>
      </c>
      <c r="D479">
        <v>8</v>
      </c>
      <c r="E479" t="str">
        <f t="shared" si="63"/>
        <v>771</v>
      </c>
      <c r="F479" t="str">
        <f>"56"</f>
        <v>56</v>
      </c>
    </row>
    <row r="480" spans="1:6">
      <c r="A480" t="str">
        <f>"E926-47"</f>
        <v>E926-47</v>
      </c>
      <c r="B480" t="str">
        <f t="shared" si="64"/>
        <v>VIA SALVATORE QUASIMODO  33-</v>
      </c>
      <c r="C480" t="str">
        <f t="shared" si="65"/>
        <v>PRA</v>
      </c>
      <c r="D480">
        <v>8</v>
      </c>
      <c r="E480" t="str">
        <f t="shared" si="63"/>
        <v>771</v>
      </c>
      <c r="F480" t="str">
        <f>"57"</f>
        <v>57</v>
      </c>
    </row>
    <row r="481" spans="1:6">
      <c r="A481" t="str">
        <f>"E926-48"</f>
        <v>E926-48</v>
      </c>
      <c r="B481" t="str">
        <f t="shared" si="64"/>
        <v>VIA SALVATORE QUASIMODO  33-</v>
      </c>
      <c r="C481" t="str">
        <f t="shared" si="65"/>
        <v>PRA</v>
      </c>
      <c r="D481">
        <v>8</v>
      </c>
      <c r="E481" t="str">
        <f t="shared" si="63"/>
        <v>771</v>
      </c>
      <c r="F481" t="str">
        <f>"58"</f>
        <v>58</v>
      </c>
    </row>
    <row r="482" spans="1:6">
      <c r="A482" t="str">
        <f>"E926-49"</f>
        <v>E926-49</v>
      </c>
      <c r="B482" t="str">
        <f t="shared" si="64"/>
        <v>VIA SALVATORE QUASIMODO  33-</v>
      </c>
      <c r="C482" t="str">
        <f t="shared" si="65"/>
        <v>PRA</v>
      </c>
      <c r="D482">
        <v>8</v>
      </c>
      <c r="E482" t="str">
        <f t="shared" si="63"/>
        <v>771</v>
      </c>
      <c r="F482" t="str">
        <f>"59"</f>
        <v>59</v>
      </c>
    </row>
    <row r="483" spans="1:6">
      <c r="A483" t="str">
        <f>"E926-50"</f>
        <v>E926-50</v>
      </c>
      <c r="B483" t="str">
        <f t="shared" si="64"/>
        <v>VIA SALVATORE QUASIMODO  33-</v>
      </c>
      <c r="C483" t="str">
        <f t="shared" si="65"/>
        <v>PRA</v>
      </c>
      <c r="D483">
        <v>8</v>
      </c>
      <c r="E483" t="str">
        <f t="shared" si="63"/>
        <v>771</v>
      </c>
      <c r="F483" t="str">
        <f>"60"</f>
        <v>60</v>
      </c>
    </row>
    <row r="484" spans="1:6">
      <c r="A484" t="str">
        <f>"E926-51"</f>
        <v>E926-51</v>
      </c>
      <c r="B484" t="str">
        <f t="shared" ref="B484:B489" si="66">"VIA SALVATORE QUASIMODO  31-"</f>
        <v>VIA SALVATORE QUASIMODO  31-</v>
      </c>
      <c r="C484" t="str">
        <f t="shared" si="65"/>
        <v>PRA</v>
      </c>
      <c r="D484">
        <v>8</v>
      </c>
      <c r="E484" t="str">
        <f t="shared" si="63"/>
        <v>771</v>
      </c>
      <c r="F484" t="str">
        <f>"62"</f>
        <v>62</v>
      </c>
    </row>
    <row r="485" spans="1:6">
      <c r="A485" t="str">
        <f>"E926-52"</f>
        <v>E926-52</v>
      </c>
      <c r="B485" t="str">
        <f t="shared" si="66"/>
        <v>VIA SALVATORE QUASIMODO  31-</v>
      </c>
      <c r="C485" t="str">
        <f t="shared" si="65"/>
        <v>PRA</v>
      </c>
      <c r="D485">
        <v>8</v>
      </c>
      <c r="E485" t="str">
        <f t="shared" si="63"/>
        <v>771</v>
      </c>
      <c r="F485" t="str">
        <f>"63"</f>
        <v>63</v>
      </c>
    </row>
    <row r="486" spans="1:6">
      <c r="A486" t="str">
        <f>"E926-53"</f>
        <v>E926-53</v>
      </c>
      <c r="B486" t="str">
        <f t="shared" si="66"/>
        <v>VIA SALVATORE QUASIMODO  31-</v>
      </c>
      <c r="C486" t="str">
        <f t="shared" si="65"/>
        <v>PRA</v>
      </c>
      <c r="D486">
        <v>8</v>
      </c>
      <c r="E486" t="str">
        <f t="shared" si="63"/>
        <v>771</v>
      </c>
      <c r="F486" t="str">
        <f>"64"</f>
        <v>64</v>
      </c>
    </row>
    <row r="487" spans="1:6">
      <c r="A487" t="str">
        <f>"E926-54"</f>
        <v>E926-54</v>
      </c>
      <c r="B487" t="str">
        <f t="shared" si="66"/>
        <v>VIA SALVATORE QUASIMODO  31-</v>
      </c>
      <c r="C487" t="str">
        <f t="shared" si="65"/>
        <v>PRA</v>
      </c>
      <c r="D487">
        <v>8</v>
      </c>
      <c r="E487" t="str">
        <f t="shared" si="63"/>
        <v>771</v>
      </c>
      <c r="F487" t="str">
        <f>"65"</f>
        <v>65</v>
      </c>
    </row>
    <row r="488" spans="1:6">
      <c r="A488" t="str">
        <f>"E926-55"</f>
        <v>E926-55</v>
      </c>
      <c r="B488" t="str">
        <f t="shared" si="66"/>
        <v>VIA SALVATORE QUASIMODO  31-</v>
      </c>
      <c r="C488" t="str">
        <f t="shared" si="65"/>
        <v>PRA</v>
      </c>
      <c r="D488">
        <v>8</v>
      </c>
      <c r="E488" t="str">
        <f t="shared" si="63"/>
        <v>771</v>
      </c>
      <c r="F488" t="str">
        <f>"66"</f>
        <v>66</v>
      </c>
    </row>
    <row r="489" spans="1:6">
      <c r="A489" t="str">
        <f>"E926-56"</f>
        <v>E926-56</v>
      </c>
      <c r="B489" t="str">
        <f t="shared" si="66"/>
        <v>VIA SALVATORE QUASIMODO  31-</v>
      </c>
      <c r="C489" t="str">
        <f t="shared" si="65"/>
        <v>PRA</v>
      </c>
      <c r="D489">
        <v>8</v>
      </c>
      <c r="E489" t="str">
        <f t="shared" si="63"/>
        <v>771</v>
      </c>
      <c r="F489" t="str">
        <f>"67"</f>
        <v>67</v>
      </c>
    </row>
    <row r="490" spans="1:6">
      <c r="A490" t="str">
        <f>"E926-57"</f>
        <v>E926-57</v>
      </c>
      <c r="B490" t="str">
        <f t="shared" ref="B490:B495" si="67">"VIA SALVATORE QUASIMODO  37-"</f>
        <v>VIA SALVATORE QUASIMODO  37-</v>
      </c>
      <c r="C490" t="str">
        <f t="shared" si="65"/>
        <v>PRA</v>
      </c>
      <c r="D490">
        <v>8</v>
      </c>
      <c r="E490" t="str">
        <f t="shared" si="63"/>
        <v>771</v>
      </c>
      <c r="F490" t="str">
        <f>"69"</f>
        <v>69</v>
      </c>
    </row>
    <row r="491" spans="1:6">
      <c r="A491" t="str">
        <f>"E926-58"</f>
        <v>E926-58</v>
      </c>
      <c r="B491" t="str">
        <f t="shared" si="67"/>
        <v>VIA SALVATORE QUASIMODO  37-</v>
      </c>
      <c r="C491" t="str">
        <f t="shared" si="65"/>
        <v>PRA</v>
      </c>
      <c r="D491">
        <v>8</v>
      </c>
      <c r="E491" t="str">
        <f t="shared" si="63"/>
        <v>771</v>
      </c>
      <c r="F491" t="str">
        <f>"70"</f>
        <v>70</v>
      </c>
    </row>
    <row r="492" spans="1:6">
      <c r="A492" t="str">
        <f>"E926-59"</f>
        <v>E926-59</v>
      </c>
      <c r="B492" t="str">
        <f t="shared" si="67"/>
        <v>VIA SALVATORE QUASIMODO  37-</v>
      </c>
      <c r="C492" t="str">
        <f t="shared" si="65"/>
        <v>PRA</v>
      </c>
      <c r="D492">
        <v>8</v>
      </c>
      <c r="E492" t="str">
        <f t="shared" si="63"/>
        <v>771</v>
      </c>
      <c r="F492" t="str">
        <f>"71"</f>
        <v>71</v>
      </c>
    </row>
    <row r="493" spans="1:6">
      <c r="A493" t="str">
        <f>"E926-60"</f>
        <v>E926-60</v>
      </c>
      <c r="B493" t="str">
        <f t="shared" si="67"/>
        <v>VIA SALVATORE QUASIMODO  37-</v>
      </c>
      <c r="C493" t="str">
        <f t="shared" si="65"/>
        <v>PRA</v>
      </c>
      <c r="D493">
        <v>8</v>
      </c>
      <c r="E493" t="str">
        <f t="shared" si="63"/>
        <v>771</v>
      </c>
      <c r="F493" t="str">
        <f>"72"</f>
        <v>72</v>
      </c>
    </row>
    <row r="494" spans="1:6">
      <c r="A494" t="str">
        <f>"E926-61"</f>
        <v>E926-61</v>
      </c>
      <c r="B494" t="str">
        <f t="shared" si="67"/>
        <v>VIA SALVATORE QUASIMODO  37-</v>
      </c>
      <c r="C494" t="str">
        <f t="shared" si="65"/>
        <v>PRA</v>
      </c>
      <c r="D494">
        <v>8</v>
      </c>
      <c r="E494" t="str">
        <f t="shared" si="63"/>
        <v>771</v>
      </c>
      <c r="F494" t="str">
        <f>"73"</f>
        <v>73</v>
      </c>
    </row>
    <row r="495" spans="1:6">
      <c r="A495" t="str">
        <f>"E926-62"</f>
        <v>E926-62</v>
      </c>
      <c r="B495" t="str">
        <f t="shared" si="67"/>
        <v>VIA SALVATORE QUASIMODO  37-</v>
      </c>
      <c r="C495" t="str">
        <f t="shared" si="65"/>
        <v>PRA</v>
      </c>
      <c r="D495">
        <v>8</v>
      </c>
      <c r="E495" t="str">
        <f t="shared" si="63"/>
        <v>771</v>
      </c>
      <c r="F495" t="str">
        <f>"74"</f>
        <v>74</v>
      </c>
    </row>
    <row r="496" spans="1:6">
      <c r="A496" t="str">
        <f>"E926-63"</f>
        <v>E926-63</v>
      </c>
      <c r="B496" t="str">
        <f t="shared" ref="B496:B501" si="68">"VIA SALVATORE QUASIMODO  35-"</f>
        <v>VIA SALVATORE QUASIMODO  35-</v>
      </c>
      <c r="C496" t="str">
        <f t="shared" si="65"/>
        <v>PRA</v>
      </c>
      <c r="D496">
        <v>8</v>
      </c>
      <c r="E496" t="str">
        <f t="shared" si="63"/>
        <v>771</v>
      </c>
      <c r="F496" t="str">
        <f>"76"</f>
        <v>76</v>
      </c>
    </row>
    <row r="497" spans="1:6">
      <c r="A497" t="str">
        <f>"E926-64"</f>
        <v>E926-64</v>
      </c>
      <c r="B497" t="str">
        <f t="shared" si="68"/>
        <v>VIA SALVATORE QUASIMODO  35-</v>
      </c>
      <c r="C497" t="str">
        <f t="shared" si="65"/>
        <v>PRA</v>
      </c>
      <c r="D497">
        <v>8</v>
      </c>
      <c r="E497" t="str">
        <f t="shared" si="63"/>
        <v>771</v>
      </c>
      <c r="F497" t="str">
        <f>"77"</f>
        <v>77</v>
      </c>
    </row>
    <row r="498" spans="1:6">
      <c r="A498" t="str">
        <f>"E926-65"</f>
        <v>E926-65</v>
      </c>
      <c r="B498" t="str">
        <f t="shared" si="68"/>
        <v>VIA SALVATORE QUASIMODO  35-</v>
      </c>
      <c r="C498" t="str">
        <f t="shared" si="65"/>
        <v>PRA</v>
      </c>
      <c r="D498">
        <v>8</v>
      </c>
      <c r="E498" t="str">
        <f t="shared" ref="E498:E515" si="69">"771"</f>
        <v>771</v>
      </c>
      <c r="F498" t="str">
        <f>"78"</f>
        <v>78</v>
      </c>
    </row>
    <row r="499" spans="1:6">
      <c r="A499" t="str">
        <f>"E926-66"</f>
        <v>E926-66</v>
      </c>
      <c r="B499" t="str">
        <f t="shared" si="68"/>
        <v>VIA SALVATORE QUASIMODO  35-</v>
      </c>
      <c r="C499" t="str">
        <f t="shared" si="65"/>
        <v>PRA</v>
      </c>
      <c r="D499">
        <v>8</v>
      </c>
      <c r="E499" t="str">
        <f t="shared" si="69"/>
        <v>771</v>
      </c>
      <c r="F499" t="str">
        <f>"79"</f>
        <v>79</v>
      </c>
    </row>
    <row r="500" spans="1:6">
      <c r="A500" t="str">
        <f>"E926-67"</f>
        <v>E926-67</v>
      </c>
      <c r="B500" t="str">
        <f t="shared" si="68"/>
        <v>VIA SALVATORE QUASIMODO  35-</v>
      </c>
      <c r="C500" t="str">
        <f t="shared" si="65"/>
        <v>PRA</v>
      </c>
      <c r="D500">
        <v>8</v>
      </c>
      <c r="E500" t="str">
        <f t="shared" si="69"/>
        <v>771</v>
      </c>
      <c r="F500" t="str">
        <f>"80"</f>
        <v>80</v>
      </c>
    </row>
    <row r="501" spans="1:6">
      <c r="A501" t="str">
        <f>"E926-68"</f>
        <v>E926-68</v>
      </c>
      <c r="B501" t="str">
        <f t="shared" si="68"/>
        <v>VIA SALVATORE QUASIMODO  35-</v>
      </c>
      <c r="C501" t="str">
        <f t="shared" si="65"/>
        <v>PRA</v>
      </c>
      <c r="D501">
        <v>8</v>
      </c>
      <c r="E501" t="str">
        <f t="shared" si="69"/>
        <v>771</v>
      </c>
      <c r="F501" t="str">
        <f>"81"</f>
        <v>81</v>
      </c>
    </row>
    <row r="502" spans="1:6">
      <c r="A502" t="str">
        <f>"E926-69"</f>
        <v>E926-69</v>
      </c>
      <c r="B502" t="str">
        <f t="shared" ref="B502:B533" si="70">"VIA CESARE PAVESE  7-"</f>
        <v>VIA CESARE PAVESE  7-</v>
      </c>
      <c r="C502" t="str">
        <f t="shared" si="65"/>
        <v>PRA</v>
      </c>
      <c r="D502">
        <v>8</v>
      </c>
      <c r="E502" t="str">
        <f t="shared" si="69"/>
        <v>771</v>
      </c>
      <c r="F502" t="str">
        <f>"83"</f>
        <v>83</v>
      </c>
    </row>
    <row r="503" spans="1:6">
      <c r="A503" t="str">
        <f>"E926-70"</f>
        <v>E926-70</v>
      </c>
      <c r="B503" t="str">
        <f t="shared" si="70"/>
        <v>VIA CESARE PAVESE  7-</v>
      </c>
      <c r="C503" t="str">
        <f t="shared" si="65"/>
        <v>PRA</v>
      </c>
      <c r="D503">
        <v>8</v>
      </c>
      <c r="E503" t="str">
        <f t="shared" si="69"/>
        <v>771</v>
      </c>
      <c r="F503" t="str">
        <f>"84"</f>
        <v>84</v>
      </c>
    </row>
    <row r="504" spans="1:6">
      <c r="A504" t="str">
        <f>"E926-71"</f>
        <v>E926-71</v>
      </c>
      <c r="B504" t="str">
        <f t="shared" si="70"/>
        <v>VIA CESARE PAVESE  7-</v>
      </c>
      <c r="C504" t="str">
        <f t="shared" si="65"/>
        <v>PRA</v>
      </c>
      <c r="D504">
        <v>8</v>
      </c>
      <c r="E504" t="str">
        <f t="shared" si="69"/>
        <v>771</v>
      </c>
      <c r="F504" t="str">
        <f>"85"</f>
        <v>85</v>
      </c>
    </row>
    <row r="505" spans="1:6">
      <c r="A505" t="str">
        <f>"E926-72"</f>
        <v>E926-72</v>
      </c>
      <c r="B505" t="str">
        <f t="shared" si="70"/>
        <v>VIA CESARE PAVESE  7-</v>
      </c>
      <c r="C505" t="str">
        <f t="shared" si="65"/>
        <v>PRA</v>
      </c>
      <c r="D505">
        <v>8</v>
      </c>
      <c r="E505" t="str">
        <f t="shared" si="69"/>
        <v>771</v>
      </c>
      <c r="F505" t="str">
        <f>"86"</f>
        <v>86</v>
      </c>
    </row>
    <row r="506" spans="1:6">
      <c r="A506" t="str">
        <f>"E926-73"</f>
        <v>E926-73</v>
      </c>
      <c r="B506" t="str">
        <f t="shared" si="70"/>
        <v>VIA CESARE PAVESE  7-</v>
      </c>
      <c r="C506" t="str">
        <f t="shared" si="65"/>
        <v>PRA</v>
      </c>
      <c r="D506">
        <v>8</v>
      </c>
      <c r="E506" t="str">
        <f t="shared" si="69"/>
        <v>771</v>
      </c>
      <c r="F506" t="str">
        <f>"87"</f>
        <v>87</v>
      </c>
    </row>
    <row r="507" spans="1:6">
      <c r="A507" t="str">
        <f>"E926-74"</f>
        <v>E926-74</v>
      </c>
      <c r="B507" t="str">
        <f t="shared" si="70"/>
        <v>VIA CESARE PAVESE  7-</v>
      </c>
      <c r="C507" t="str">
        <f t="shared" si="65"/>
        <v>PRA</v>
      </c>
      <c r="D507">
        <v>8</v>
      </c>
      <c r="E507" t="str">
        <f t="shared" si="69"/>
        <v>771</v>
      </c>
      <c r="F507" t="str">
        <f>"88"</f>
        <v>88</v>
      </c>
    </row>
    <row r="508" spans="1:6">
      <c r="A508" t="str">
        <f>"E926-75"</f>
        <v>E926-75</v>
      </c>
      <c r="B508" t="str">
        <f t="shared" si="70"/>
        <v>VIA CESARE PAVESE  7-</v>
      </c>
      <c r="C508" t="str">
        <f t="shared" si="65"/>
        <v>PRA</v>
      </c>
      <c r="D508">
        <v>8</v>
      </c>
      <c r="E508" t="str">
        <f t="shared" si="69"/>
        <v>771</v>
      </c>
      <c r="F508" t="str">
        <f>"89"</f>
        <v>89</v>
      </c>
    </row>
    <row r="509" spans="1:6">
      <c r="A509" t="str">
        <f>"E926-76"</f>
        <v>E926-76</v>
      </c>
      <c r="B509" t="str">
        <f t="shared" si="70"/>
        <v>VIA CESARE PAVESE  7-</v>
      </c>
      <c r="C509" t="str">
        <f t="shared" si="65"/>
        <v>PRA</v>
      </c>
      <c r="D509">
        <v>8</v>
      </c>
      <c r="E509" t="str">
        <f t="shared" si="69"/>
        <v>771</v>
      </c>
      <c r="F509" t="str">
        <f>"90"</f>
        <v>90</v>
      </c>
    </row>
    <row r="510" spans="1:6">
      <c r="A510" t="str">
        <f>"E926-77"</f>
        <v>E926-77</v>
      </c>
      <c r="B510" t="str">
        <f t="shared" si="70"/>
        <v>VIA CESARE PAVESE  7-</v>
      </c>
      <c r="C510" t="str">
        <f t="shared" ref="C510:C541" si="71">"PRA"</f>
        <v>PRA</v>
      </c>
      <c r="D510">
        <v>8</v>
      </c>
      <c r="E510" t="str">
        <f t="shared" si="69"/>
        <v>771</v>
      </c>
      <c r="F510" t="str">
        <f>"91"</f>
        <v>91</v>
      </c>
    </row>
    <row r="511" spans="1:6">
      <c r="A511" t="str">
        <f>"E926-78"</f>
        <v>E926-78</v>
      </c>
      <c r="B511" t="str">
        <f t="shared" si="70"/>
        <v>VIA CESARE PAVESE  7-</v>
      </c>
      <c r="C511" t="str">
        <f t="shared" si="71"/>
        <v>PRA</v>
      </c>
      <c r="D511">
        <v>8</v>
      </c>
      <c r="E511" t="str">
        <f t="shared" si="69"/>
        <v>771</v>
      </c>
      <c r="F511" t="str">
        <f>"92"</f>
        <v>92</v>
      </c>
    </row>
    <row r="512" spans="1:6">
      <c r="A512" t="str">
        <f>"E926-79"</f>
        <v>E926-79</v>
      </c>
      <c r="B512" t="str">
        <f t="shared" si="70"/>
        <v>VIA CESARE PAVESE  7-</v>
      </c>
      <c r="C512" t="str">
        <f t="shared" si="71"/>
        <v>PRA</v>
      </c>
      <c r="D512">
        <v>8</v>
      </c>
      <c r="E512" t="str">
        <f t="shared" si="69"/>
        <v>771</v>
      </c>
      <c r="F512" t="str">
        <f>"93"</f>
        <v>93</v>
      </c>
    </row>
    <row r="513" spans="1:6">
      <c r="A513" t="str">
        <f>"E926-80"</f>
        <v>E926-80</v>
      </c>
      <c r="B513" t="str">
        <f t="shared" si="70"/>
        <v>VIA CESARE PAVESE  7-</v>
      </c>
      <c r="C513" t="str">
        <f t="shared" si="71"/>
        <v>PRA</v>
      </c>
      <c r="D513">
        <v>8</v>
      </c>
      <c r="E513" t="str">
        <f t="shared" si="69"/>
        <v>771</v>
      </c>
      <c r="F513" t="str">
        <f>"94"</f>
        <v>94</v>
      </c>
    </row>
    <row r="514" spans="1:6">
      <c r="A514" t="str">
        <f>"E926-81"</f>
        <v>E926-81</v>
      </c>
      <c r="B514" t="str">
        <f t="shared" si="70"/>
        <v>VIA CESARE PAVESE  7-</v>
      </c>
      <c r="C514" t="str">
        <f t="shared" si="71"/>
        <v>PRA</v>
      </c>
      <c r="D514">
        <v>8</v>
      </c>
      <c r="E514" t="str">
        <f t="shared" si="69"/>
        <v>771</v>
      </c>
      <c r="F514" t="str">
        <f>"95"</f>
        <v>95</v>
      </c>
    </row>
    <row r="515" spans="1:6">
      <c r="A515" t="str">
        <f>"E926-82"</f>
        <v>E926-82</v>
      </c>
      <c r="B515" t="str">
        <f t="shared" si="70"/>
        <v>VIA CESARE PAVESE  7-</v>
      </c>
      <c r="C515" t="str">
        <f t="shared" si="71"/>
        <v>PRA</v>
      </c>
      <c r="D515">
        <v>8</v>
      </c>
      <c r="E515" t="str">
        <f t="shared" si="69"/>
        <v>771</v>
      </c>
      <c r="F515" t="str">
        <f>"96"</f>
        <v>96</v>
      </c>
    </row>
    <row r="516" spans="1:6">
      <c r="A516" t="str">
        <f>"E926-83"</f>
        <v>E926-83</v>
      </c>
      <c r="B516" t="str">
        <f t="shared" si="70"/>
        <v>VIA CESARE PAVESE  7-</v>
      </c>
      <c r="C516" t="str">
        <f t="shared" si="71"/>
        <v>PRA</v>
      </c>
      <c r="D516">
        <v>8</v>
      </c>
      <c r="E516" t="str">
        <f>"647"</f>
        <v>647</v>
      </c>
      <c r="F516" t="str">
        <f>"97"</f>
        <v>97</v>
      </c>
    </row>
    <row r="517" spans="1:6">
      <c r="A517" t="str">
        <f>"E926-84"</f>
        <v>E926-84</v>
      </c>
      <c r="B517" t="str">
        <f t="shared" si="70"/>
        <v>VIA CESARE PAVESE  7-</v>
      </c>
      <c r="C517" t="str">
        <f t="shared" si="71"/>
        <v>PRA</v>
      </c>
      <c r="D517">
        <v>8</v>
      </c>
      <c r="E517" t="str">
        <f>"771"</f>
        <v>771</v>
      </c>
      <c r="F517" t="str">
        <f>"98"</f>
        <v>98</v>
      </c>
    </row>
    <row r="518" spans="1:6">
      <c r="A518" t="str">
        <f>"E926-85"</f>
        <v>E926-85</v>
      </c>
      <c r="B518" t="str">
        <f t="shared" si="70"/>
        <v>VIA CESARE PAVESE  7-</v>
      </c>
      <c r="C518" t="str">
        <f t="shared" si="71"/>
        <v>PRA</v>
      </c>
      <c r="D518">
        <v>8</v>
      </c>
      <c r="E518" t="str">
        <f>"771"</f>
        <v>771</v>
      </c>
      <c r="F518" t="str">
        <f>"99"</f>
        <v>99</v>
      </c>
    </row>
    <row r="519" spans="1:6">
      <c r="A519" t="str">
        <f>"E926-86"</f>
        <v>E926-86</v>
      </c>
      <c r="B519" t="str">
        <f t="shared" si="70"/>
        <v>VIA CESARE PAVESE  7-</v>
      </c>
      <c r="C519" t="str">
        <f t="shared" si="71"/>
        <v>PRA</v>
      </c>
      <c r="D519">
        <v>8</v>
      </c>
      <c r="E519" t="str">
        <f>"771"</f>
        <v>771</v>
      </c>
      <c r="F519" t="str">
        <f>"100"</f>
        <v>100</v>
      </c>
    </row>
    <row r="520" spans="1:6">
      <c r="A520" t="str">
        <f>"E926-87"</f>
        <v>E926-87</v>
      </c>
      <c r="B520" t="str">
        <f t="shared" si="70"/>
        <v>VIA CESARE PAVESE  7-</v>
      </c>
      <c r="C520" t="str">
        <f t="shared" si="71"/>
        <v>PRA</v>
      </c>
      <c r="D520">
        <v>8</v>
      </c>
      <c r="E520" t="str">
        <f>"771"</f>
        <v>771</v>
      </c>
      <c r="F520" t="str">
        <f>"101"</f>
        <v>101</v>
      </c>
    </row>
    <row r="521" spans="1:6">
      <c r="A521" t="str">
        <f>"E926-88"</f>
        <v>E926-88</v>
      </c>
      <c r="B521" t="str">
        <f t="shared" si="70"/>
        <v>VIA CESARE PAVESE  7-</v>
      </c>
      <c r="C521" t="str">
        <f t="shared" si="71"/>
        <v>PRA</v>
      </c>
      <c r="D521">
        <v>8</v>
      </c>
      <c r="E521" t="str">
        <f>"771"</f>
        <v>771</v>
      </c>
      <c r="F521" t="str">
        <f>"102"</f>
        <v>102</v>
      </c>
    </row>
    <row r="522" spans="1:6">
      <c r="A522" t="str">
        <f>"E926-89"</f>
        <v>E926-89</v>
      </c>
      <c r="B522" t="str">
        <f t="shared" si="70"/>
        <v>VIA CESARE PAVESE  7-</v>
      </c>
      <c r="C522" t="str">
        <f t="shared" si="71"/>
        <v>PRA</v>
      </c>
      <c r="D522">
        <v>8</v>
      </c>
      <c r="E522" t="str">
        <f>"647"</f>
        <v>647</v>
      </c>
      <c r="F522" t="str">
        <f>"103"</f>
        <v>103</v>
      </c>
    </row>
    <row r="523" spans="1:6">
      <c r="A523" t="str">
        <f>"E926-90"</f>
        <v>E926-90</v>
      </c>
      <c r="B523" t="str">
        <f t="shared" si="70"/>
        <v>VIA CESARE PAVESE  7-</v>
      </c>
      <c r="C523" t="str">
        <f t="shared" si="71"/>
        <v>PRA</v>
      </c>
      <c r="D523">
        <v>8</v>
      </c>
      <c r="E523" t="str">
        <f>"771"</f>
        <v>771</v>
      </c>
      <c r="F523" t="str">
        <f>"104"</f>
        <v>104</v>
      </c>
    </row>
    <row r="524" spans="1:6">
      <c r="A524" t="str">
        <f>"E926-91"</f>
        <v>E926-91</v>
      </c>
      <c r="B524" t="str">
        <f t="shared" si="70"/>
        <v>VIA CESARE PAVESE  7-</v>
      </c>
      <c r="C524" t="str">
        <f t="shared" si="71"/>
        <v>PRA</v>
      </c>
      <c r="D524">
        <v>8</v>
      </c>
      <c r="E524" t="str">
        <f>"771"</f>
        <v>771</v>
      </c>
      <c r="F524" t="str">
        <f>"105"</f>
        <v>105</v>
      </c>
    </row>
    <row r="525" spans="1:6">
      <c r="A525" t="str">
        <f>"E926-92"</f>
        <v>E926-92</v>
      </c>
      <c r="B525" t="str">
        <f t="shared" si="70"/>
        <v>VIA CESARE PAVESE  7-</v>
      </c>
      <c r="C525" t="str">
        <f t="shared" si="71"/>
        <v>PRA</v>
      </c>
      <c r="D525">
        <v>8</v>
      </c>
      <c r="E525" t="str">
        <f>"771"</f>
        <v>771</v>
      </c>
      <c r="F525" t="str">
        <f>"106"</f>
        <v>106</v>
      </c>
    </row>
    <row r="526" spans="1:6">
      <c r="A526" t="str">
        <f>"E926-93"</f>
        <v>E926-93</v>
      </c>
      <c r="B526" t="str">
        <f t="shared" si="70"/>
        <v>VIA CESARE PAVESE  7-</v>
      </c>
      <c r="C526" t="str">
        <f t="shared" si="71"/>
        <v>PRA</v>
      </c>
      <c r="D526">
        <v>8</v>
      </c>
      <c r="E526" t="str">
        <f>"647"</f>
        <v>647</v>
      </c>
      <c r="F526" t="str">
        <f>"107"</f>
        <v>107</v>
      </c>
    </row>
    <row r="527" spans="1:6">
      <c r="A527" t="str">
        <f>"E926-94"</f>
        <v>E926-94</v>
      </c>
      <c r="B527" t="str">
        <f t="shared" si="70"/>
        <v>VIA CESARE PAVESE  7-</v>
      </c>
      <c r="C527" t="str">
        <f t="shared" si="71"/>
        <v>PRA</v>
      </c>
      <c r="D527">
        <v>8</v>
      </c>
      <c r="E527" t="str">
        <f t="shared" ref="E527:E558" si="72">"771"</f>
        <v>771</v>
      </c>
      <c r="F527" t="str">
        <f>"108"</f>
        <v>108</v>
      </c>
    </row>
    <row r="528" spans="1:6">
      <c r="A528" t="str">
        <f>"E926-95"</f>
        <v>E926-95</v>
      </c>
      <c r="B528" t="str">
        <f t="shared" si="70"/>
        <v>VIA CESARE PAVESE  7-</v>
      </c>
      <c r="C528" t="str">
        <f t="shared" si="71"/>
        <v>PRA</v>
      </c>
      <c r="D528">
        <v>8</v>
      </c>
      <c r="E528" t="str">
        <f t="shared" si="72"/>
        <v>771</v>
      </c>
      <c r="F528" t="str">
        <f>"109"</f>
        <v>109</v>
      </c>
    </row>
    <row r="529" spans="1:6">
      <c r="A529" t="str">
        <f>"E926-96"</f>
        <v>E926-96</v>
      </c>
      <c r="B529" t="str">
        <f t="shared" si="70"/>
        <v>VIA CESARE PAVESE  7-</v>
      </c>
      <c r="C529" t="str">
        <f t="shared" si="71"/>
        <v>PRA</v>
      </c>
      <c r="D529">
        <v>8</v>
      </c>
      <c r="E529" t="str">
        <f t="shared" si="72"/>
        <v>771</v>
      </c>
      <c r="F529" t="str">
        <f>"110"</f>
        <v>110</v>
      </c>
    </row>
    <row r="530" spans="1:6">
      <c r="A530" t="str">
        <f>"E926-97"</f>
        <v>E926-97</v>
      </c>
      <c r="B530" t="str">
        <f t="shared" si="70"/>
        <v>VIA CESARE PAVESE  7-</v>
      </c>
      <c r="C530" t="str">
        <f t="shared" si="71"/>
        <v>PRA</v>
      </c>
      <c r="D530">
        <v>8</v>
      </c>
      <c r="E530" t="str">
        <f t="shared" si="72"/>
        <v>771</v>
      </c>
      <c r="F530" t="str">
        <f>"111"</f>
        <v>111</v>
      </c>
    </row>
    <row r="531" spans="1:6">
      <c r="A531" t="str">
        <f>"E926-98"</f>
        <v>E926-98</v>
      </c>
      <c r="B531" t="str">
        <f t="shared" si="70"/>
        <v>VIA CESARE PAVESE  7-</v>
      </c>
      <c r="C531" t="str">
        <f t="shared" si="71"/>
        <v>PRA</v>
      </c>
      <c r="D531">
        <v>8</v>
      </c>
      <c r="E531" t="str">
        <f t="shared" si="72"/>
        <v>771</v>
      </c>
      <c r="F531" t="str">
        <f>"112"</f>
        <v>112</v>
      </c>
    </row>
    <row r="532" spans="1:6">
      <c r="A532" t="str">
        <f>"E926-99"</f>
        <v>E926-99</v>
      </c>
      <c r="B532" t="str">
        <f t="shared" si="70"/>
        <v>VIA CESARE PAVESE  7-</v>
      </c>
      <c r="C532" t="str">
        <f t="shared" si="71"/>
        <v>PRA</v>
      </c>
      <c r="D532">
        <v>8</v>
      </c>
      <c r="E532" t="str">
        <f t="shared" si="72"/>
        <v>771</v>
      </c>
      <c r="F532" t="str">
        <f>"113"</f>
        <v>113</v>
      </c>
    </row>
    <row r="533" spans="1:6">
      <c r="A533" t="str">
        <f>"E926-100"</f>
        <v>E926-100</v>
      </c>
      <c r="B533" t="str">
        <f t="shared" si="70"/>
        <v>VIA CESARE PAVESE  7-</v>
      </c>
      <c r="C533" t="str">
        <f t="shared" si="71"/>
        <v>PRA</v>
      </c>
      <c r="D533">
        <v>8</v>
      </c>
      <c r="E533" t="str">
        <f t="shared" si="72"/>
        <v>771</v>
      </c>
      <c r="F533" t="str">
        <f>"114"</f>
        <v>114</v>
      </c>
    </row>
    <row r="534" spans="1:6">
      <c r="A534" t="str">
        <f>"E926-101"</f>
        <v>E926-101</v>
      </c>
      <c r="B534" t="str">
        <f t="shared" ref="B534:B550" si="73">"VIA CESARE PAVESE  7-"</f>
        <v>VIA CESARE PAVESE  7-</v>
      </c>
      <c r="C534" t="str">
        <f t="shared" si="71"/>
        <v>PRA</v>
      </c>
      <c r="D534">
        <v>8</v>
      </c>
      <c r="E534" t="str">
        <f t="shared" si="72"/>
        <v>771</v>
      </c>
      <c r="F534" t="str">
        <f>"115"</f>
        <v>115</v>
      </c>
    </row>
    <row r="535" spans="1:6">
      <c r="A535" t="str">
        <f>"E926-102"</f>
        <v>E926-102</v>
      </c>
      <c r="B535" t="str">
        <f t="shared" si="73"/>
        <v>VIA CESARE PAVESE  7-</v>
      </c>
      <c r="C535" t="str">
        <f t="shared" si="71"/>
        <v>PRA</v>
      </c>
      <c r="D535">
        <v>8</v>
      </c>
      <c r="E535" t="str">
        <f t="shared" si="72"/>
        <v>771</v>
      </c>
      <c r="F535" t="str">
        <f>"116"</f>
        <v>116</v>
      </c>
    </row>
    <row r="536" spans="1:6">
      <c r="A536" t="str">
        <f>"E926-103"</f>
        <v>E926-103</v>
      </c>
      <c r="B536" t="str">
        <f t="shared" si="73"/>
        <v>VIA CESARE PAVESE  7-</v>
      </c>
      <c r="C536" t="str">
        <f t="shared" si="71"/>
        <v>PRA</v>
      </c>
      <c r="D536">
        <v>8</v>
      </c>
      <c r="E536" t="str">
        <f t="shared" si="72"/>
        <v>771</v>
      </c>
      <c r="F536" t="str">
        <f>"117"</f>
        <v>117</v>
      </c>
    </row>
    <row r="537" spans="1:6">
      <c r="A537" t="str">
        <f>"E926-104"</f>
        <v>E926-104</v>
      </c>
      <c r="B537" t="str">
        <f t="shared" si="73"/>
        <v>VIA CESARE PAVESE  7-</v>
      </c>
      <c r="C537" t="str">
        <f t="shared" si="71"/>
        <v>PRA</v>
      </c>
      <c r="D537">
        <v>8</v>
      </c>
      <c r="E537" t="str">
        <f t="shared" si="72"/>
        <v>771</v>
      </c>
      <c r="F537" t="str">
        <f>"118"</f>
        <v>118</v>
      </c>
    </row>
    <row r="538" spans="1:6">
      <c r="A538" t="str">
        <f>"E926-105"</f>
        <v>E926-105</v>
      </c>
      <c r="B538" t="str">
        <f t="shared" si="73"/>
        <v>VIA CESARE PAVESE  7-</v>
      </c>
      <c r="C538" t="str">
        <f t="shared" si="71"/>
        <v>PRA</v>
      </c>
      <c r="D538">
        <v>8</v>
      </c>
      <c r="E538" t="str">
        <f t="shared" si="72"/>
        <v>771</v>
      </c>
      <c r="F538" t="str">
        <f>"119"</f>
        <v>119</v>
      </c>
    </row>
    <row r="539" spans="1:6">
      <c r="A539" t="str">
        <f>"E926-106"</f>
        <v>E926-106</v>
      </c>
      <c r="B539" t="str">
        <f t="shared" si="73"/>
        <v>VIA CESARE PAVESE  7-</v>
      </c>
      <c r="C539" t="str">
        <f t="shared" si="71"/>
        <v>PRA</v>
      </c>
      <c r="D539">
        <v>8</v>
      </c>
      <c r="E539" t="str">
        <f t="shared" si="72"/>
        <v>771</v>
      </c>
      <c r="F539" t="str">
        <f>"120"</f>
        <v>120</v>
      </c>
    </row>
    <row r="540" spans="1:6">
      <c r="A540" t="str">
        <f>"E926-107"</f>
        <v>E926-107</v>
      </c>
      <c r="B540" t="str">
        <f t="shared" si="73"/>
        <v>VIA CESARE PAVESE  7-</v>
      </c>
      <c r="C540" t="str">
        <f t="shared" si="71"/>
        <v>PRA</v>
      </c>
      <c r="D540">
        <v>8</v>
      </c>
      <c r="E540" t="str">
        <f t="shared" si="72"/>
        <v>771</v>
      </c>
      <c r="F540" t="str">
        <f>"121"</f>
        <v>121</v>
      </c>
    </row>
    <row r="541" spans="1:6">
      <c r="A541" t="str">
        <f>"E926-108"</f>
        <v>E926-108</v>
      </c>
      <c r="B541" t="str">
        <f t="shared" si="73"/>
        <v>VIA CESARE PAVESE  7-</v>
      </c>
      <c r="C541" t="str">
        <f t="shared" si="71"/>
        <v>PRA</v>
      </c>
      <c r="D541">
        <v>8</v>
      </c>
      <c r="E541" t="str">
        <f t="shared" si="72"/>
        <v>771</v>
      </c>
      <c r="F541" t="str">
        <f>"122"</f>
        <v>122</v>
      </c>
    </row>
    <row r="542" spans="1:6">
      <c r="A542" t="str">
        <f>"E926-109"</f>
        <v>E926-109</v>
      </c>
      <c r="B542" t="str">
        <f t="shared" si="73"/>
        <v>VIA CESARE PAVESE  7-</v>
      </c>
      <c r="C542" t="str">
        <f t="shared" ref="C542:C573" si="74">"PRA"</f>
        <v>PRA</v>
      </c>
      <c r="D542">
        <v>8</v>
      </c>
      <c r="E542" t="str">
        <f t="shared" si="72"/>
        <v>771</v>
      </c>
      <c r="F542" t="str">
        <f>"123"</f>
        <v>123</v>
      </c>
    </row>
    <row r="543" spans="1:6">
      <c r="A543" t="str">
        <f>"E926-110"</f>
        <v>E926-110</v>
      </c>
      <c r="B543" t="str">
        <f t="shared" si="73"/>
        <v>VIA CESARE PAVESE  7-</v>
      </c>
      <c r="C543" t="str">
        <f t="shared" si="74"/>
        <v>PRA</v>
      </c>
      <c r="D543">
        <v>8</v>
      </c>
      <c r="E543" t="str">
        <f t="shared" si="72"/>
        <v>771</v>
      </c>
      <c r="F543" t="str">
        <f>"124"</f>
        <v>124</v>
      </c>
    </row>
    <row r="544" spans="1:6">
      <c r="A544" t="str">
        <f>"E926-111"</f>
        <v>E926-111</v>
      </c>
      <c r="B544" t="str">
        <f t="shared" si="73"/>
        <v>VIA CESARE PAVESE  7-</v>
      </c>
      <c r="C544" t="str">
        <f t="shared" si="74"/>
        <v>PRA</v>
      </c>
      <c r="D544">
        <v>8</v>
      </c>
      <c r="E544" t="str">
        <f t="shared" si="72"/>
        <v>771</v>
      </c>
      <c r="F544" t="str">
        <f>"125"</f>
        <v>125</v>
      </c>
    </row>
    <row r="545" spans="1:6">
      <c r="A545" t="str">
        <f>"E926-112"</f>
        <v>E926-112</v>
      </c>
      <c r="B545" t="str">
        <f t="shared" si="73"/>
        <v>VIA CESARE PAVESE  7-</v>
      </c>
      <c r="C545" t="str">
        <f t="shared" si="74"/>
        <v>PRA</v>
      </c>
      <c r="D545">
        <v>8</v>
      </c>
      <c r="E545" t="str">
        <f t="shared" si="72"/>
        <v>771</v>
      </c>
      <c r="F545" t="str">
        <f>"126"</f>
        <v>126</v>
      </c>
    </row>
    <row r="546" spans="1:6">
      <c r="A546" t="str">
        <f>"E926-113"</f>
        <v>E926-113</v>
      </c>
      <c r="B546" t="str">
        <f t="shared" si="73"/>
        <v>VIA CESARE PAVESE  7-</v>
      </c>
      <c r="C546" t="str">
        <f t="shared" si="74"/>
        <v>PRA</v>
      </c>
      <c r="D546">
        <v>8</v>
      </c>
      <c r="E546" t="str">
        <f t="shared" si="72"/>
        <v>771</v>
      </c>
      <c r="F546" t="str">
        <f>"127"</f>
        <v>127</v>
      </c>
    </row>
    <row r="547" spans="1:6">
      <c r="A547" t="str">
        <f>"E926-114"</f>
        <v>E926-114</v>
      </c>
      <c r="B547" t="str">
        <f t="shared" si="73"/>
        <v>VIA CESARE PAVESE  7-</v>
      </c>
      <c r="C547" t="str">
        <f t="shared" si="74"/>
        <v>PRA</v>
      </c>
      <c r="D547">
        <v>8</v>
      </c>
      <c r="E547" t="str">
        <f t="shared" si="72"/>
        <v>771</v>
      </c>
      <c r="F547" t="str">
        <f>"128"</f>
        <v>128</v>
      </c>
    </row>
    <row r="548" spans="1:6">
      <c r="A548" t="str">
        <f>"E926-115"</f>
        <v>E926-115</v>
      </c>
      <c r="B548" t="str">
        <f t="shared" si="73"/>
        <v>VIA CESARE PAVESE  7-</v>
      </c>
      <c r="C548" t="str">
        <f t="shared" si="74"/>
        <v>PRA</v>
      </c>
      <c r="D548">
        <v>8</v>
      </c>
      <c r="E548" t="str">
        <f t="shared" si="72"/>
        <v>771</v>
      </c>
      <c r="F548" t="str">
        <f>"132"</f>
        <v>132</v>
      </c>
    </row>
    <row r="549" spans="1:6">
      <c r="A549" t="str">
        <f>"E926-116"</f>
        <v>E926-116</v>
      </c>
      <c r="B549" t="str">
        <f t="shared" si="73"/>
        <v>VIA CESARE PAVESE  7-</v>
      </c>
      <c r="C549" t="str">
        <f t="shared" si="74"/>
        <v>PRA</v>
      </c>
      <c r="D549">
        <v>8</v>
      </c>
      <c r="E549" t="str">
        <f t="shared" si="72"/>
        <v>771</v>
      </c>
      <c r="F549" t="str">
        <f>"134"</f>
        <v>134</v>
      </c>
    </row>
    <row r="550" spans="1:6">
      <c r="A550" t="str">
        <f>"E926-117"</f>
        <v>E926-117</v>
      </c>
      <c r="B550" t="str">
        <f t="shared" si="73"/>
        <v>VIA CESARE PAVESE  7-</v>
      </c>
      <c r="C550" t="str">
        <f t="shared" si="74"/>
        <v>PRA</v>
      </c>
      <c r="D550">
        <v>8</v>
      </c>
      <c r="E550" t="str">
        <f t="shared" si="72"/>
        <v>771</v>
      </c>
      <c r="F550" t="str">
        <f>"136"</f>
        <v>136</v>
      </c>
    </row>
    <row r="551" spans="1:6">
      <c r="A551" t="str">
        <f>"E926-118"</f>
        <v>E926-118</v>
      </c>
      <c r="B551" t="str">
        <f>"VIA CESARE PAVESE  9-"</f>
        <v>VIA CESARE PAVESE  9-</v>
      </c>
      <c r="C551" t="str">
        <f t="shared" si="74"/>
        <v>PRA</v>
      </c>
      <c r="D551">
        <v>8</v>
      </c>
      <c r="E551" t="str">
        <f t="shared" si="72"/>
        <v>771</v>
      </c>
      <c r="F551" t="str">
        <f>"140"</f>
        <v>140</v>
      </c>
    </row>
    <row r="552" spans="1:6">
      <c r="A552" t="str">
        <f>"E926-119"</f>
        <v>E926-119</v>
      </c>
      <c r="B552" t="str">
        <f>"VIA CESARE PAVESE  9-"</f>
        <v>VIA CESARE PAVESE  9-</v>
      </c>
      <c r="C552" t="str">
        <f t="shared" si="74"/>
        <v>PRA</v>
      </c>
      <c r="D552">
        <v>8</v>
      </c>
      <c r="E552" t="str">
        <f t="shared" si="72"/>
        <v>771</v>
      </c>
      <c r="F552" t="str">
        <f>"142"</f>
        <v>142</v>
      </c>
    </row>
    <row r="553" spans="1:6">
      <c r="A553" t="str">
        <f>"E926-120"</f>
        <v>E926-120</v>
      </c>
      <c r="B553" t="str">
        <f>"VIA CESARE PAVESE  9-"</f>
        <v>VIA CESARE PAVESE  9-</v>
      </c>
      <c r="C553" t="str">
        <f t="shared" si="74"/>
        <v>PRA</v>
      </c>
      <c r="D553">
        <v>8</v>
      </c>
      <c r="E553" t="str">
        <f t="shared" si="72"/>
        <v>771</v>
      </c>
      <c r="F553" t="str">
        <f>"144"</f>
        <v>144</v>
      </c>
    </row>
    <row r="554" spans="1:6">
      <c r="A554" t="str">
        <f>"E926-121"</f>
        <v>E926-121</v>
      </c>
      <c r="B554" t="str">
        <f t="shared" ref="B554:B571" si="75">"VIA CESARE PAVESE  7-"</f>
        <v>VIA CESARE PAVESE  7-</v>
      </c>
      <c r="C554" t="str">
        <f t="shared" si="74"/>
        <v>PRA</v>
      </c>
      <c r="D554">
        <v>8</v>
      </c>
      <c r="E554" t="str">
        <f t="shared" si="72"/>
        <v>771</v>
      </c>
      <c r="F554" t="str">
        <f>"145"</f>
        <v>145</v>
      </c>
    </row>
    <row r="555" spans="1:6">
      <c r="A555" t="str">
        <f>"E926-122"</f>
        <v>E926-122</v>
      </c>
      <c r="B555" t="str">
        <f t="shared" si="75"/>
        <v>VIA CESARE PAVESE  7-</v>
      </c>
      <c r="C555" t="str">
        <f t="shared" si="74"/>
        <v>PRA</v>
      </c>
      <c r="D555">
        <v>8</v>
      </c>
      <c r="E555" t="str">
        <f t="shared" si="72"/>
        <v>771</v>
      </c>
      <c r="F555" t="str">
        <f>"146"</f>
        <v>146</v>
      </c>
    </row>
    <row r="556" spans="1:6">
      <c r="A556" t="str">
        <f>"E926-123"</f>
        <v>E926-123</v>
      </c>
      <c r="B556" t="str">
        <f t="shared" si="75"/>
        <v>VIA CESARE PAVESE  7-</v>
      </c>
      <c r="C556" t="str">
        <f t="shared" si="74"/>
        <v>PRA</v>
      </c>
      <c r="D556">
        <v>8</v>
      </c>
      <c r="E556" t="str">
        <f t="shared" si="72"/>
        <v>771</v>
      </c>
      <c r="F556" t="str">
        <f>"147"</f>
        <v>147</v>
      </c>
    </row>
    <row r="557" spans="1:6">
      <c r="A557" t="str">
        <f>"E926-124"</f>
        <v>E926-124</v>
      </c>
      <c r="B557" t="str">
        <f t="shared" si="75"/>
        <v>VIA CESARE PAVESE  7-</v>
      </c>
      <c r="C557" t="str">
        <f t="shared" si="74"/>
        <v>PRA</v>
      </c>
      <c r="D557">
        <v>8</v>
      </c>
      <c r="E557" t="str">
        <f t="shared" si="72"/>
        <v>771</v>
      </c>
      <c r="F557" t="str">
        <f>"148"</f>
        <v>148</v>
      </c>
    </row>
    <row r="558" spans="1:6">
      <c r="A558" t="str">
        <f>"E926-125"</f>
        <v>E926-125</v>
      </c>
      <c r="B558" t="str">
        <f t="shared" si="75"/>
        <v>VIA CESARE PAVESE  7-</v>
      </c>
      <c r="C558" t="str">
        <f t="shared" si="74"/>
        <v>PRA</v>
      </c>
      <c r="D558">
        <v>8</v>
      </c>
      <c r="E558" t="str">
        <f t="shared" si="72"/>
        <v>771</v>
      </c>
      <c r="F558" t="str">
        <f>"149"</f>
        <v>149</v>
      </c>
    </row>
    <row r="559" spans="1:6">
      <c r="A559" t="str">
        <f>"E926-126"</f>
        <v>E926-126</v>
      </c>
      <c r="B559" t="str">
        <f t="shared" si="75"/>
        <v>VIA CESARE PAVESE  7-</v>
      </c>
      <c r="C559" t="str">
        <f t="shared" si="74"/>
        <v>PRA</v>
      </c>
      <c r="D559">
        <v>8</v>
      </c>
      <c r="E559" t="str">
        <f t="shared" ref="E559:E590" si="76">"771"</f>
        <v>771</v>
      </c>
      <c r="F559" t="str">
        <f>"150"</f>
        <v>150</v>
      </c>
    </row>
    <row r="560" spans="1:6">
      <c r="A560" t="str">
        <f>"E926-127"</f>
        <v>E926-127</v>
      </c>
      <c r="B560" t="str">
        <f t="shared" si="75"/>
        <v>VIA CESARE PAVESE  7-</v>
      </c>
      <c r="C560" t="str">
        <f t="shared" si="74"/>
        <v>PRA</v>
      </c>
      <c r="D560">
        <v>8</v>
      </c>
      <c r="E560" t="str">
        <f t="shared" si="76"/>
        <v>771</v>
      </c>
      <c r="F560" t="str">
        <f>"151"</f>
        <v>151</v>
      </c>
    </row>
    <row r="561" spans="1:6">
      <c r="A561" t="str">
        <f>"E926-128"</f>
        <v>E926-128</v>
      </c>
      <c r="B561" t="str">
        <f t="shared" si="75"/>
        <v>VIA CESARE PAVESE  7-</v>
      </c>
      <c r="C561" t="str">
        <f t="shared" si="74"/>
        <v>PRA</v>
      </c>
      <c r="D561">
        <v>8</v>
      </c>
      <c r="E561" t="str">
        <f t="shared" si="76"/>
        <v>771</v>
      </c>
      <c r="F561" t="str">
        <f>"152"</f>
        <v>152</v>
      </c>
    </row>
    <row r="562" spans="1:6">
      <c r="A562" t="str">
        <f>"E926-129"</f>
        <v>E926-129</v>
      </c>
      <c r="B562" t="str">
        <f t="shared" si="75"/>
        <v>VIA CESARE PAVESE  7-</v>
      </c>
      <c r="C562" t="str">
        <f t="shared" si="74"/>
        <v>PRA</v>
      </c>
      <c r="D562">
        <v>8</v>
      </c>
      <c r="E562" t="str">
        <f t="shared" si="76"/>
        <v>771</v>
      </c>
      <c r="F562" t="str">
        <f>"153"</f>
        <v>153</v>
      </c>
    </row>
    <row r="563" spans="1:6">
      <c r="A563" t="str">
        <f>"E926-130"</f>
        <v>E926-130</v>
      </c>
      <c r="B563" t="str">
        <f t="shared" si="75"/>
        <v>VIA CESARE PAVESE  7-</v>
      </c>
      <c r="C563" t="str">
        <f t="shared" si="74"/>
        <v>PRA</v>
      </c>
      <c r="D563">
        <v>8</v>
      </c>
      <c r="E563" t="str">
        <f t="shared" si="76"/>
        <v>771</v>
      </c>
      <c r="F563" t="str">
        <f>"154"</f>
        <v>154</v>
      </c>
    </row>
    <row r="564" spans="1:6">
      <c r="A564" t="str">
        <f>"E926-131"</f>
        <v>E926-131</v>
      </c>
      <c r="B564" t="str">
        <f t="shared" si="75"/>
        <v>VIA CESARE PAVESE  7-</v>
      </c>
      <c r="C564" t="str">
        <f t="shared" si="74"/>
        <v>PRA</v>
      </c>
      <c r="D564">
        <v>8</v>
      </c>
      <c r="E564" t="str">
        <f t="shared" si="76"/>
        <v>771</v>
      </c>
      <c r="F564" t="str">
        <f>"155"</f>
        <v>155</v>
      </c>
    </row>
    <row r="565" spans="1:6">
      <c r="A565" t="str">
        <f>"E926-132"</f>
        <v>E926-132</v>
      </c>
      <c r="B565" t="str">
        <f t="shared" si="75"/>
        <v>VIA CESARE PAVESE  7-</v>
      </c>
      <c r="C565" t="str">
        <f t="shared" si="74"/>
        <v>PRA</v>
      </c>
      <c r="D565">
        <v>8</v>
      </c>
      <c r="E565" t="str">
        <f t="shared" si="76"/>
        <v>771</v>
      </c>
      <c r="F565" t="str">
        <f>"156"</f>
        <v>156</v>
      </c>
    </row>
    <row r="566" spans="1:6">
      <c r="A566" t="str">
        <f>"E926-133"</f>
        <v>E926-133</v>
      </c>
      <c r="B566" t="str">
        <f t="shared" si="75"/>
        <v>VIA CESARE PAVESE  7-</v>
      </c>
      <c r="C566" t="str">
        <f t="shared" si="74"/>
        <v>PRA</v>
      </c>
      <c r="D566">
        <v>8</v>
      </c>
      <c r="E566" t="str">
        <f t="shared" si="76"/>
        <v>771</v>
      </c>
      <c r="F566" t="str">
        <f>"157"</f>
        <v>157</v>
      </c>
    </row>
    <row r="567" spans="1:6">
      <c r="A567" t="str">
        <f>"E926-134"</f>
        <v>E926-134</v>
      </c>
      <c r="B567" t="str">
        <f t="shared" si="75"/>
        <v>VIA CESARE PAVESE  7-</v>
      </c>
      <c r="C567" t="str">
        <f t="shared" si="74"/>
        <v>PRA</v>
      </c>
      <c r="D567">
        <v>8</v>
      </c>
      <c r="E567" t="str">
        <f t="shared" si="76"/>
        <v>771</v>
      </c>
      <c r="F567" t="str">
        <f>"158"</f>
        <v>158</v>
      </c>
    </row>
    <row r="568" spans="1:6">
      <c r="A568" t="str">
        <f>"E926-135"</f>
        <v>E926-135</v>
      </c>
      <c r="B568" t="str">
        <f t="shared" si="75"/>
        <v>VIA CESARE PAVESE  7-</v>
      </c>
      <c r="C568" t="str">
        <f t="shared" si="74"/>
        <v>PRA</v>
      </c>
      <c r="D568">
        <v>8</v>
      </c>
      <c r="E568" t="str">
        <f t="shared" si="76"/>
        <v>771</v>
      </c>
      <c r="F568" t="str">
        <f>"159"</f>
        <v>159</v>
      </c>
    </row>
    <row r="569" spans="1:6">
      <c r="A569" t="str">
        <f>"E926-136"</f>
        <v>E926-136</v>
      </c>
      <c r="B569" t="str">
        <f t="shared" si="75"/>
        <v>VIA CESARE PAVESE  7-</v>
      </c>
      <c r="C569" t="str">
        <f t="shared" si="74"/>
        <v>PRA</v>
      </c>
      <c r="D569">
        <v>8</v>
      </c>
      <c r="E569" t="str">
        <f t="shared" si="76"/>
        <v>771</v>
      </c>
      <c r="F569" t="str">
        <f>"160"</f>
        <v>160</v>
      </c>
    </row>
    <row r="570" spans="1:6">
      <c r="A570" t="str">
        <f>"E926-137"</f>
        <v>E926-137</v>
      </c>
      <c r="B570" t="str">
        <f t="shared" si="75"/>
        <v>VIA CESARE PAVESE  7-</v>
      </c>
      <c r="C570" t="str">
        <f t="shared" si="74"/>
        <v>PRA</v>
      </c>
      <c r="D570">
        <v>8</v>
      </c>
      <c r="E570" t="str">
        <f t="shared" si="76"/>
        <v>771</v>
      </c>
      <c r="F570" t="str">
        <f>"161"</f>
        <v>161</v>
      </c>
    </row>
    <row r="571" spans="1:6">
      <c r="A571" t="str">
        <f>"E926-138"</f>
        <v>E926-138</v>
      </c>
      <c r="B571" t="str">
        <f t="shared" si="75"/>
        <v>VIA CESARE PAVESE  7-</v>
      </c>
      <c r="C571" t="str">
        <f t="shared" si="74"/>
        <v>PRA</v>
      </c>
      <c r="D571">
        <v>8</v>
      </c>
      <c r="E571" t="str">
        <f t="shared" si="76"/>
        <v>771</v>
      </c>
      <c r="F571" t="str">
        <f>"162"</f>
        <v>162</v>
      </c>
    </row>
    <row r="572" spans="1:6">
      <c r="A572" t="str">
        <f>"E926-139"</f>
        <v>E926-139</v>
      </c>
      <c r="B572" t="str">
        <f t="shared" ref="B572:B589" si="77">"VIA CESARE PAVESE  9-"</f>
        <v>VIA CESARE PAVESE  9-</v>
      </c>
      <c r="C572" t="str">
        <f t="shared" si="74"/>
        <v>PRA</v>
      </c>
      <c r="D572">
        <v>8</v>
      </c>
      <c r="E572" t="str">
        <f t="shared" si="76"/>
        <v>771</v>
      </c>
      <c r="F572" t="str">
        <f>"163"</f>
        <v>163</v>
      </c>
    </row>
    <row r="573" spans="1:6">
      <c r="A573" t="str">
        <f>"E926-140"</f>
        <v>E926-140</v>
      </c>
      <c r="B573" t="str">
        <f t="shared" si="77"/>
        <v>VIA CESARE PAVESE  9-</v>
      </c>
      <c r="C573" t="str">
        <f t="shared" si="74"/>
        <v>PRA</v>
      </c>
      <c r="D573">
        <v>8</v>
      </c>
      <c r="E573" t="str">
        <f t="shared" si="76"/>
        <v>771</v>
      </c>
      <c r="F573" t="str">
        <f>"164"</f>
        <v>164</v>
      </c>
    </row>
    <row r="574" spans="1:6">
      <c r="A574" t="str">
        <f>"E926-141"</f>
        <v>E926-141</v>
      </c>
      <c r="B574" t="str">
        <f t="shared" si="77"/>
        <v>VIA CESARE PAVESE  9-</v>
      </c>
      <c r="C574" t="str">
        <f t="shared" ref="C574:C589" si="78">"PRA"</f>
        <v>PRA</v>
      </c>
      <c r="D574">
        <v>8</v>
      </c>
      <c r="E574" t="str">
        <f t="shared" si="76"/>
        <v>771</v>
      </c>
      <c r="F574" t="str">
        <f>"165"</f>
        <v>165</v>
      </c>
    </row>
    <row r="575" spans="1:6">
      <c r="A575" t="str">
        <f>"E926-142"</f>
        <v>E926-142</v>
      </c>
      <c r="B575" t="str">
        <f t="shared" si="77"/>
        <v>VIA CESARE PAVESE  9-</v>
      </c>
      <c r="C575" t="str">
        <f t="shared" si="78"/>
        <v>PRA</v>
      </c>
      <c r="D575">
        <v>8</v>
      </c>
      <c r="E575" t="str">
        <f t="shared" si="76"/>
        <v>771</v>
      </c>
      <c r="F575" t="str">
        <f>"166"</f>
        <v>166</v>
      </c>
    </row>
    <row r="576" spans="1:6">
      <c r="A576" t="str">
        <f>"E926-143"</f>
        <v>E926-143</v>
      </c>
      <c r="B576" t="str">
        <f t="shared" si="77"/>
        <v>VIA CESARE PAVESE  9-</v>
      </c>
      <c r="C576" t="str">
        <f t="shared" si="78"/>
        <v>PRA</v>
      </c>
      <c r="D576">
        <v>8</v>
      </c>
      <c r="E576" t="str">
        <f t="shared" si="76"/>
        <v>771</v>
      </c>
      <c r="F576" t="str">
        <f>"167"</f>
        <v>167</v>
      </c>
    </row>
    <row r="577" spans="1:6">
      <c r="A577" t="str">
        <f>"E926-144"</f>
        <v>E926-144</v>
      </c>
      <c r="B577" t="str">
        <f t="shared" si="77"/>
        <v>VIA CESARE PAVESE  9-</v>
      </c>
      <c r="C577" t="str">
        <f t="shared" si="78"/>
        <v>PRA</v>
      </c>
      <c r="D577">
        <v>8</v>
      </c>
      <c r="E577" t="str">
        <f t="shared" si="76"/>
        <v>771</v>
      </c>
      <c r="F577" t="str">
        <f>"168"</f>
        <v>168</v>
      </c>
    </row>
    <row r="578" spans="1:6">
      <c r="A578" t="str">
        <f>"E926-145"</f>
        <v>E926-145</v>
      </c>
      <c r="B578" t="str">
        <f t="shared" si="77"/>
        <v>VIA CESARE PAVESE  9-</v>
      </c>
      <c r="C578" t="str">
        <f t="shared" si="78"/>
        <v>PRA</v>
      </c>
      <c r="D578">
        <v>8</v>
      </c>
      <c r="E578" t="str">
        <f t="shared" si="76"/>
        <v>771</v>
      </c>
      <c r="F578" t="str">
        <f>"169"</f>
        <v>169</v>
      </c>
    </row>
    <row r="579" spans="1:6">
      <c r="A579" t="str">
        <f>"E926-146"</f>
        <v>E926-146</v>
      </c>
      <c r="B579" t="str">
        <f t="shared" si="77"/>
        <v>VIA CESARE PAVESE  9-</v>
      </c>
      <c r="C579" t="str">
        <f t="shared" si="78"/>
        <v>PRA</v>
      </c>
      <c r="D579">
        <v>8</v>
      </c>
      <c r="E579" t="str">
        <f t="shared" si="76"/>
        <v>771</v>
      </c>
      <c r="F579" t="str">
        <f>"170"</f>
        <v>170</v>
      </c>
    </row>
    <row r="580" spans="1:6">
      <c r="A580" t="str">
        <f>"E926-147"</f>
        <v>E926-147</v>
      </c>
      <c r="B580" t="str">
        <f t="shared" si="77"/>
        <v>VIA CESARE PAVESE  9-</v>
      </c>
      <c r="C580" t="str">
        <f t="shared" si="78"/>
        <v>PRA</v>
      </c>
      <c r="D580">
        <v>8</v>
      </c>
      <c r="E580" t="str">
        <f t="shared" si="76"/>
        <v>771</v>
      </c>
      <c r="F580" t="str">
        <f>"171"</f>
        <v>171</v>
      </c>
    </row>
    <row r="581" spans="1:6">
      <c r="A581" t="str">
        <f>"E926-148"</f>
        <v>E926-148</v>
      </c>
      <c r="B581" t="str">
        <f t="shared" si="77"/>
        <v>VIA CESARE PAVESE  9-</v>
      </c>
      <c r="C581" t="str">
        <f t="shared" si="78"/>
        <v>PRA</v>
      </c>
      <c r="D581">
        <v>8</v>
      </c>
      <c r="E581" t="str">
        <f t="shared" si="76"/>
        <v>771</v>
      </c>
      <c r="F581" t="str">
        <f>"172"</f>
        <v>172</v>
      </c>
    </row>
    <row r="582" spans="1:6">
      <c r="A582" t="str">
        <f>"E926-149"</f>
        <v>E926-149</v>
      </c>
      <c r="B582" t="str">
        <f t="shared" si="77"/>
        <v>VIA CESARE PAVESE  9-</v>
      </c>
      <c r="C582" t="str">
        <f t="shared" si="78"/>
        <v>PRA</v>
      </c>
      <c r="D582">
        <v>8</v>
      </c>
      <c r="E582" t="str">
        <f t="shared" si="76"/>
        <v>771</v>
      </c>
      <c r="F582" t="str">
        <f>"173"</f>
        <v>173</v>
      </c>
    </row>
    <row r="583" spans="1:6">
      <c r="A583" t="str">
        <f>"E926-150"</f>
        <v>E926-150</v>
      </c>
      <c r="B583" t="str">
        <f t="shared" si="77"/>
        <v>VIA CESARE PAVESE  9-</v>
      </c>
      <c r="C583" t="str">
        <f t="shared" si="78"/>
        <v>PRA</v>
      </c>
      <c r="D583">
        <v>8</v>
      </c>
      <c r="E583" t="str">
        <f t="shared" si="76"/>
        <v>771</v>
      </c>
      <c r="F583" t="str">
        <f>"174"</f>
        <v>174</v>
      </c>
    </row>
    <row r="584" spans="1:6">
      <c r="A584" t="str">
        <f>"E926-151"</f>
        <v>E926-151</v>
      </c>
      <c r="B584" t="str">
        <f t="shared" si="77"/>
        <v>VIA CESARE PAVESE  9-</v>
      </c>
      <c r="C584" t="str">
        <f t="shared" si="78"/>
        <v>PRA</v>
      </c>
      <c r="D584">
        <v>8</v>
      </c>
      <c r="E584" t="str">
        <f t="shared" si="76"/>
        <v>771</v>
      </c>
      <c r="F584" t="str">
        <f>"175"</f>
        <v>175</v>
      </c>
    </row>
    <row r="585" spans="1:6">
      <c r="A585" t="str">
        <f>"E926-152"</f>
        <v>E926-152</v>
      </c>
      <c r="B585" t="str">
        <f t="shared" si="77"/>
        <v>VIA CESARE PAVESE  9-</v>
      </c>
      <c r="C585" t="str">
        <f t="shared" si="78"/>
        <v>PRA</v>
      </c>
      <c r="D585">
        <v>8</v>
      </c>
      <c r="E585" t="str">
        <f t="shared" si="76"/>
        <v>771</v>
      </c>
      <c r="F585" t="str">
        <f>"176"</f>
        <v>176</v>
      </c>
    </row>
    <row r="586" spans="1:6">
      <c r="A586" t="str">
        <f>"E926-153"</f>
        <v>E926-153</v>
      </c>
      <c r="B586" t="str">
        <f t="shared" si="77"/>
        <v>VIA CESARE PAVESE  9-</v>
      </c>
      <c r="C586" t="str">
        <f t="shared" si="78"/>
        <v>PRA</v>
      </c>
      <c r="D586">
        <v>8</v>
      </c>
      <c r="E586" t="str">
        <f t="shared" si="76"/>
        <v>771</v>
      </c>
      <c r="F586" t="str">
        <f>"177"</f>
        <v>177</v>
      </c>
    </row>
    <row r="587" spans="1:6">
      <c r="A587" t="str">
        <f>"E926-154"</f>
        <v>E926-154</v>
      </c>
      <c r="B587" t="str">
        <f t="shared" si="77"/>
        <v>VIA CESARE PAVESE  9-</v>
      </c>
      <c r="C587" t="str">
        <f t="shared" si="78"/>
        <v>PRA</v>
      </c>
      <c r="D587">
        <v>8</v>
      </c>
      <c r="E587" t="str">
        <f t="shared" si="76"/>
        <v>771</v>
      </c>
      <c r="F587" t="str">
        <f>"178"</f>
        <v>178</v>
      </c>
    </row>
    <row r="588" spans="1:6">
      <c r="A588" t="str">
        <f>"E926-155"</f>
        <v>E926-155</v>
      </c>
      <c r="B588" t="str">
        <f t="shared" si="77"/>
        <v>VIA CESARE PAVESE  9-</v>
      </c>
      <c r="C588" t="str">
        <f t="shared" si="78"/>
        <v>PRA</v>
      </c>
      <c r="D588">
        <v>8</v>
      </c>
      <c r="E588" t="str">
        <f t="shared" si="76"/>
        <v>771</v>
      </c>
      <c r="F588" t="str">
        <f>"179"</f>
        <v>179</v>
      </c>
    </row>
    <row r="589" spans="1:6">
      <c r="A589" t="str">
        <f>"E926-156"</f>
        <v>E926-156</v>
      </c>
      <c r="B589" t="str">
        <f t="shared" si="77"/>
        <v>VIA CESARE PAVESE  9-</v>
      </c>
      <c r="C589" t="str">
        <f t="shared" si="78"/>
        <v>PRA</v>
      </c>
      <c r="D589">
        <v>8</v>
      </c>
      <c r="E589" t="str">
        <f t="shared" si="76"/>
        <v>771</v>
      </c>
      <c r="F589" t="str">
        <f>"180"</f>
        <v>180</v>
      </c>
    </row>
    <row r="590" spans="1:6">
      <c r="A590" t="str">
        <f>"E926-157"</f>
        <v>E926-157</v>
      </c>
      <c r="B590" t="str">
        <f t="shared" ref="B590:B613" si="79">"VIA CESARE PAVESE  7-"</f>
        <v>VIA CESARE PAVESE  7-</v>
      </c>
      <c r="C590" t="str">
        <f t="shared" ref="C590:C613" si="80">"3"</f>
        <v>3</v>
      </c>
      <c r="D590">
        <v>8</v>
      </c>
      <c r="E590" t="str">
        <f t="shared" si="76"/>
        <v>771</v>
      </c>
      <c r="F590" t="str">
        <f t="shared" ref="F590:F613" si="81">"0000"</f>
        <v>0000</v>
      </c>
    </row>
    <row r="591" spans="1:6">
      <c r="A591" t="str">
        <f>"E926-158"</f>
        <v>E926-158</v>
      </c>
      <c r="B591" t="str">
        <f t="shared" si="79"/>
        <v>VIA CESARE PAVESE  7-</v>
      </c>
      <c r="C591" t="str">
        <f t="shared" si="80"/>
        <v>3</v>
      </c>
      <c r="D591">
        <v>8</v>
      </c>
      <c r="E591" t="str">
        <f t="shared" ref="E591:E613" si="82">"771"</f>
        <v>771</v>
      </c>
      <c r="F591" t="str">
        <f t="shared" si="81"/>
        <v>0000</v>
      </c>
    </row>
    <row r="592" spans="1:6">
      <c r="A592" t="str">
        <f>"E926-159"</f>
        <v>E926-159</v>
      </c>
      <c r="B592" t="str">
        <f t="shared" si="79"/>
        <v>VIA CESARE PAVESE  7-</v>
      </c>
      <c r="C592" t="str">
        <f t="shared" si="80"/>
        <v>3</v>
      </c>
      <c r="D592">
        <v>8</v>
      </c>
      <c r="E592" t="str">
        <f t="shared" si="82"/>
        <v>771</v>
      </c>
      <c r="F592" t="str">
        <f t="shared" si="81"/>
        <v>0000</v>
      </c>
    </row>
    <row r="593" spans="1:6">
      <c r="A593" t="str">
        <f>"E926-160"</f>
        <v>E926-160</v>
      </c>
      <c r="B593" t="str">
        <f t="shared" si="79"/>
        <v>VIA CESARE PAVESE  7-</v>
      </c>
      <c r="C593" t="str">
        <f t="shared" si="80"/>
        <v>3</v>
      </c>
      <c r="D593">
        <v>8</v>
      </c>
      <c r="E593" t="str">
        <f t="shared" si="82"/>
        <v>771</v>
      </c>
      <c r="F593" t="str">
        <f t="shared" si="81"/>
        <v>0000</v>
      </c>
    </row>
    <row r="594" spans="1:6">
      <c r="A594" t="str">
        <f>"E926-161"</f>
        <v>E926-161</v>
      </c>
      <c r="B594" t="str">
        <f t="shared" si="79"/>
        <v>VIA CESARE PAVESE  7-</v>
      </c>
      <c r="C594" t="str">
        <f t="shared" si="80"/>
        <v>3</v>
      </c>
      <c r="D594">
        <v>8</v>
      </c>
      <c r="E594" t="str">
        <f t="shared" si="82"/>
        <v>771</v>
      </c>
      <c r="F594" t="str">
        <f t="shared" si="81"/>
        <v>0000</v>
      </c>
    </row>
    <row r="595" spans="1:6">
      <c r="A595" t="str">
        <f>"E926-162"</f>
        <v>E926-162</v>
      </c>
      <c r="B595" t="str">
        <f t="shared" si="79"/>
        <v>VIA CESARE PAVESE  7-</v>
      </c>
      <c r="C595" t="str">
        <f t="shared" si="80"/>
        <v>3</v>
      </c>
      <c r="D595">
        <v>8</v>
      </c>
      <c r="E595" t="str">
        <f t="shared" si="82"/>
        <v>771</v>
      </c>
      <c r="F595" t="str">
        <f t="shared" si="81"/>
        <v>0000</v>
      </c>
    </row>
    <row r="596" spans="1:6">
      <c r="A596" t="str">
        <f>"E926-163"</f>
        <v>E926-163</v>
      </c>
      <c r="B596" t="str">
        <f t="shared" si="79"/>
        <v>VIA CESARE PAVESE  7-</v>
      </c>
      <c r="C596" t="str">
        <f t="shared" si="80"/>
        <v>3</v>
      </c>
      <c r="D596">
        <v>8</v>
      </c>
      <c r="E596" t="str">
        <f t="shared" si="82"/>
        <v>771</v>
      </c>
      <c r="F596" t="str">
        <f t="shared" si="81"/>
        <v>0000</v>
      </c>
    </row>
    <row r="597" spans="1:6">
      <c r="A597" t="str">
        <f>"E926-164"</f>
        <v>E926-164</v>
      </c>
      <c r="B597" t="str">
        <f t="shared" si="79"/>
        <v>VIA CESARE PAVESE  7-</v>
      </c>
      <c r="C597" t="str">
        <f t="shared" si="80"/>
        <v>3</v>
      </c>
      <c r="D597">
        <v>8</v>
      </c>
      <c r="E597" t="str">
        <f t="shared" si="82"/>
        <v>771</v>
      </c>
      <c r="F597" t="str">
        <f t="shared" si="81"/>
        <v>0000</v>
      </c>
    </row>
    <row r="598" spans="1:6">
      <c r="A598" t="str">
        <f>"E926-165"</f>
        <v>E926-165</v>
      </c>
      <c r="B598" t="str">
        <f t="shared" si="79"/>
        <v>VIA CESARE PAVESE  7-</v>
      </c>
      <c r="C598" t="str">
        <f t="shared" si="80"/>
        <v>3</v>
      </c>
      <c r="D598">
        <v>8</v>
      </c>
      <c r="E598" t="str">
        <f t="shared" si="82"/>
        <v>771</v>
      </c>
      <c r="F598" t="str">
        <f t="shared" si="81"/>
        <v>0000</v>
      </c>
    </row>
    <row r="599" spans="1:6">
      <c r="A599" t="str">
        <f>"E926-166"</f>
        <v>E926-166</v>
      </c>
      <c r="B599" t="str">
        <f t="shared" si="79"/>
        <v>VIA CESARE PAVESE  7-</v>
      </c>
      <c r="C599" t="str">
        <f t="shared" si="80"/>
        <v>3</v>
      </c>
      <c r="D599">
        <v>8</v>
      </c>
      <c r="E599" t="str">
        <f t="shared" si="82"/>
        <v>771</v>
      </c>
      <c r="F599" t="str">
        <f t="shared" si="81"/>
        <v>0000</v>
      </c>
    </row>
    <row r="600" spans="1:6">
      <c r="A600" t="str">
        <f>"E926-167"</f>
        <v>E926-167</v>
      </c>
      <c r="B600" t="str">
        <f t="shared" si="79"/>
        <v>VIA CESARE PAVESE  7-</v>
      </c>
      <c r="C600" t="str">
        <f t="shared" si="80"/>
        <v>3</v>
      </c>
      <c r="D600">
        <v>8</v>
      </c>
      <c r="E600" t="str">
        <f t="shared" si="82"/>
        <v>771</v>
      </c>
      <c r="F600" t="str">
        <f t="shared" si="81"/>
        <v>0000</v>
      </c>
    </row>
    <row r="601" spans="1:6">
      <c r="A601" t="str">
        <f>"E926-168"</f>
        <v>E926-168</v>
      </c>
      <c r="B601" t="str">
        <f t="shared" si="79"/>
        <v>VIA CESARE PAVESE  7-</v>
      </c>
      <c r="C601" t="str">
        <f t="shared" si="80"/>
        <v>3</v>
      </c>
      <c r="D601">
        <v>8</v>
      </c>
      <c r="E601" t="str">
        <f t="shared" si="82"/>
        <v>771</v>
      </c>
      <c r="F601" t="str">
        <f t="shared" si="81"/>
        <v>0000</v>
      </c>
    </row>
    <row r="602" spans="1:6">
      <c r="A602" t="str">
        <f>"E926-169"</f>
        <v>E926-169</v>
      </c>
      <c r="B602" t="str">
        <f t="shared" si="79"/>
        <v>VIA CESARE PAVESE  7-</v>
      </c>
      <c r="C602" t="str">
        <f t="shared" si="80"/>
        <v>3</v>
      </c>
      <c r="D602">
        <v>8</v>
      </c>
      <c r="E602" t="str">
        <f t="shared" si="82"/>
        <v>771</v>
      </c>
      <c r="F602" t="str">
        <f t="shared" si="81"/>
        <v>0000</v>
      </c>
    </row>
    <row r="603" spans="1:6">
      <c r="A603" t="str">
        <f>"E926-170"</f>
        <v>E926-170</v>
      </c>
      <c r="B603" t="str">
        <f t="shared" si="79"/>
        <v>VIA CESARE PAVESE  7-</v>
      </c>
      <c r="C603" t="str">
        <f t="shared" si="80"/>
        <v>3</v>
      </c>
      <c r="D603">
        <v>8</v>
      </c>
      <c r="E603" t="str">
        <f t="shared" si="82"/>
        <v>771</v>
      </c>
      <c r="F603" t="str">
        <f t="shared" si="81"/>
        <v>0000</v>
      </c>
    </row>
    <row r="604" spans="1:6">
      <c r="A604" t="str">
        <f>"E926-171"</f>
        <v>E926-171</v>
      </c>
      <c r="B604" t="str">
        <f t="shared" si="79"/>
        <v>VIA CESARE PAVESE  7-</v>
      </c>
      <c r="C604" t="str">
        <f t="shared" si="80"/>
        <v>3</v>
      </c>
      <c r="D604">
        <v>8</v>
      </c>
      <c r="E604" t="str">
        <f t="shared" si="82"/>
        <v>771</v>
      </c>
      <c r="F604" t="str">
        <f t="shared" si="81"/>
        <v>0000</v>
      </c>
    </row>
    <row r="605" spans="1:6">
      <c r="A605" t="str">
        <f>"E926-172"</f>
        <v>E926-172</v>
      </c>
      <c r="B605" t="str">
        <f t="shared" si="79"/>
        <v>VIA CESARE PAVESE  7-</v>
      </c>
      <c r="C605" t="str">
        <f t="shared" si="80"/>
        <v>3</v>
      </c>
      <c r="D605">
        <v>8</v>
      </c>
      <c r="E605" t="str">
        <f t="shared" si="82"/>
        <v>771</v>
      </c>
      <c r="F605" t="str">
        <f t="shared" si="81"/>
        <v>0000</v>
      </c>
    </row>
    <row r="606" spans="1:6">
      <c r="A606" t="str">
        <f>"E926-173"</f>
        <v>E926-173</v>
      </c>
      <c r="B606" t="str">
        <f t="shared" si="79"/>
        <v>VIA CESARE PAVESE  7-</v>
      </c>
      <c r="C606" t="str">
        <f t="shared" si="80"/>
        <v>3</v>
      </c>
      <c r="D606">
        <v>8</v>
      </c>
      <c r="E606" t="str">
        <f t="shared" si="82"/>
        <v>771</v>
      </c>
      <c r="F606" t="str">
        <f t="shared" si="81"/>
        <v>0000</v>
      </c>
    </row>
    <row r="607" spans="1:6">
      <c r="A607" t="str">
        <f>"E926-174"</f>
        <v>E926-174</v>
      </c>
      <c r="B607" t="str">
        <f t="shared" si="79"/>
        <v>VIA CESARE PAVESE  7-</v>
      </c>
      <c r="C607" t="str">
        <f t="shared" si="80"/>
        <v>3</v>
      </c>
      <c r="D607">
        <v>8</v>
      </c>
      <c r="E607" t="str">
        <f t="shared" si="82"/>
        <v>771</v>
      </c>
      <c r="F607" t="str">
        <f t="shared" si="81"/>
        <v>0000</v>
      </c>
    </row>
    <row r="608" spans="1:6">
      <c r="A608" t="str">
        <f>"E926-175"</f>
        <v>E926-175</v>
      </c>
      <c r="B608" t="str">
        <f t="shared" si="79"/>
        <v>VIA CESARE PAVESE  7-</v>
      </c>
      <c r="C608" t="str">
        <f t="shared" si="80"/>
        <v>3</v>
      </c>
      <c r="D608">
        <v>8</v>
      </c>
      <c r="E608" t="str">
        <f t="shared" si="82"/>
        <v>771</v>
      </c>
      <c r="F608" t="str">
        <f t="shared" si="81"/>
        <v>0000</v>
      </c>
    </row>
    <row r="609" spans="1:6">
      <c r="A609" t="str">
        <f>"E926-176"</f>
        <v>E926-176</v>
      </c>
      <c r="B609" t="str">
        <f t="shared" si="79"/>
        <v>VIA CESARE PAVESE  7-</v>
      </c>
      <c r="C609" t="str">
        <f t="shared" si="80"/>
        <v>3</v>
      </c>
      <c r="D609">
        <v>8</v>
      </c>
      <c r="E609" t="str">
        <f t="shared" si="82"/>
        <v>771</v>
      </c>
      <c r="F609" t="str">
        <f t="shared" si="81"/>
        <v>0000</v>
      </c>
    </row>
    <row r="610" spans="1:6">
      <c r="A610" t="str">
        <f>"E926-177"</f>
        <v>E926-177</v>
      </c>
      <c r="B610" t="str">
        <f t="shared" si="79"/>
        <v>VIA CESARE PAVESE  7-</v>
      </c>
      <c r="C610" t="str">
        <f t="shared" si="80"/>
        <v>3</v>
      </c>
      <c r="D610">
        <v>8</v>
      </c>
      <c r="E610" t="str">
        <f t="shared" si="82"/>
        <v>771</v>
      </c>
      <c r="F610" t="str">
        <f t="shared" si="81"/>
        <v>0000</v>
      </c>
    </row>
    <row r="611" spans="1:6">
      <c r="A611" t="str">
        <f>"E926-178"</f>
        <v>E926-178</v>
      </c>
      <c r="B611" t="str">
        <f t="shared" si="79"/>
        <v>VIA CESARE PAVESE  7-</v>
      </c>
      <c r="C611" t="str">
        <f t="shared" si="80"/>
        <v>3</v>
      </c>
      <c r="D611">
        <v>8</v>
      </c>
      <c r="E611" t="str">
        <f t="shared" si="82"/>
        <v>771</v>
      </c>
      <c r="F611" t="str">
        <f t="shared" si="81"/>
        <v>0000</v>
      </c>
    </row>
    <row r="612" spans="1:6">
      <c r="A612" t="str">
        <f>"E926-179"</f>
        <v>E926-179</v>
      </c>
      <c r="B612" t="str">
        <f t="shared" si="79"/>
        <v>VIA CESARE PAVESE  7-</v>
      </c>
      <c r="C612" t="str">
        <f t="shared" si="80"/>
        <v>3</v>
      </c>
      <c r="D612">
        <v>8</v>
      </c>
      <c r="E612" t="str">
        <f t="shared" si="82"/>
        <v>771</v>
      </c>
      <c r="F612" t="str">
        <f t="shared" si="81"/>
        <v>0000</v>
      </c>
    </row>
    <row r="613" spans="1:6">
      <c r="A613" t="str">
        <f>"E926-180"</f>
        <v>E926-180</v>
      </c>
      <c r="B613" t="str">
        <f t="shared" si="79"/>
        <v>VIA CESARE PAVESE  7-</v>
      </c>
      <c r="C613" t="str">
        <f t="shared" si="80"/>
        <v>3</v>
      </c>
      <c r="D613">
        <v>8</v>
      </c>
      <c r="E613" t="str">
        <f t="shared" si="82"/>
        <v>771</v>
      </c>
      <c r="F613" t="str">
        <f t="shared" si="81"/>
        <v>0000</v>
      </c>
    </row>
    <row r="614" spans="1:6">
      <c r="A614" t="str">
        <f>"E927-1"</f>
        <v>E927-1</v>
      </c>
      <c r="B614" t="str">
        <f t="shared" ref="B614:B627" si="83">"VIA CESARE PAVESE  14-"</f>
        <v>VIA CESARE PAVESE  14-</v>
      </c>
      <c r="C614" t="str">
        <f t="shared" ref="C614:C645" si="84">"PRA"</f>
        <v>PRA</v>
      </c>
      <c r="D614">
        <v>8</v>
      </c>
      <c r="E614" t="str">
        <f t="shared" ref="E614:E645" si="85">"772"</f>
        <v>772</v>
      </c>
      <c r="F614" t="str">
        <f>"12"</f>
        <v>12</v>
      </c>
    </row>
    <row r="615" spans="1:6">
      <c r="A615" t="str">
        <f>"E927-2"</f>
        <v>E927-2</v>
      </c>
      <c r="B615" t="str">
        <f t="shared" si="83"/>
        <v>VIA CESARE PAVESE  14-</v>
      </c>
      <c r="C615" t="str">
        <f t="shared" si="84"/>
        <v>PRA</v>
      </c>
      <c r="D615">
        <v>8</v>
      </c>
      <c r="E615" t="str">
        <f t="shared" si="85"/>
        <v>772</v>
      </c>
      <c r="F615" t="str">
        <f>"13"</f>
        <v>13</v>
      </c>
    </row>
    <row r="616" spans="1:6">
      <c r="A616" t="str">
        <f>"E927-3"</f>
        <v>E927-3</v>
      </c>
      <c r="B616" t="str">
        <f t="shared" si="83"/>
        <v>VIA CESARE PAVESE  14-</v>
      </c>
      <c r="C616" t="str">
        <f t="shared" si="84"/>
        <v>PRA</v>
      </c>
      <c r="D616">
        <v>8</v>
      </c>
      <c r="E616" t="str">
        <f t="shared" si="85"/>
        <v>772</v>
      </c>
      <c r="F616" t="str">
        <f>"14"</f>
        <v>14</v>
      </c>
    </row>
    <row r="617" spans="1:6">
      <c r="A617" t="str">
        <f>"E927-4"</f>
        <v>E927-4</v>
      </c>
      <c r="B617" t="str">
        <f t="shared" si="83"/>
        <v>VIA CESARE PAVESE  14-</v>
      </c>
      <c r="C617" t="str">
        <f t="shared" si="84"/>
        <v>PRA</v>
      </c>
      <c r="D617">
        <v>8</v>
      </c>
      <c r="E617" t="str">
        <f t="shared" si="85"/>
        <v>772</v>
      </c>
      <c r="F617" t="str">
        <f>"15"</f>
        <v>15</v>
      </c>
    </row>
    <row r="618" spans="1:6">
      <c r="A618" t="str">
        <f>"E927-5"</f>
        <v>E927-5</v>
      </c>
      <c r="B618" t="str">
        <f t="shared" si="83"/>
        <v>VIA CESARE PAVESE  14-</v>
      </c>
      <c r="C618" t="str">
        <f t="shared" si="84"/>
        <v>PRA</v>
      </c>
      <c r="D618">
        <v>8</v>
      </c>
      <c r="E618" t="str">
        <f t="shared" si="85"/>
        <v>772</v>
      </c>
      <c r="F618" t="str">
        <f>"16"</f>
        <v>16</v>
      </c>
    </row>
    <row r="619" spans="1:6">
      <c r="A619" t="str">
        <f>"E927-6"</f>
        <v>E927-6</v>
      </c>
      <c r="B619" t="str">
        <f t="shared" si="83"/>
        <v>VIA CESARE PAVESE  14-</v>
      </c>
      <c r="C619" t="str">
        <f t="shared" si="84"/>
        <v>PRA</v>
      </c>
      <c r="D619">
        <v>8</v>
      </c>
      <c r="E619" t="str">
        <f t="shared" si="85"/>
        <v>772</v>
      </c>
      <c r="F619" t="str">
        <f>"17"</f>
        <v>17</v>
      </c>
    </row>
    <row r="620" spans="1:6">
      <c r="A620" t="str">
        <f>"E927-7"</f>
        <v>E927-7</v>
      </c>
      <c r="B620" t="str">
        <f t="shared" si="83"/>
        <v>VIA CESARE PAVESE  14-</v>
      </c>
      <c r="C620" t="str">
        <f t="shared" si="84"/>
        <v>PRA</v>
      </c>
      <c r="D620">
        <v>8</v>
      </c>
      <c r="E620" t="str">
        <f t="shared" si="85"/>
        <v>772</v>
      </c>
      <c r="F620" t="str">
        <f>"18"</f>
        <v>18</v>
      </c>
    </row>
    <row r="621" spans="1:6">
      <c r="A621" t="str">
        <f>"E927-8"</f>
        <v>E927-8</v>
      </c>
      <c r="B621" t="str">
        <f t="shared" si="83"/>
        <v>VIA CESARE PAVESE  14-</v>
      </c>
      <c r="C621" t="str">
        <f t="shared" si="84"/>
        <v>PRA</v>
      </c>
      <c r="D621">
        <v>8</v>
      </c>
      <c r="E621" t="str">
        <f t="shared" si="85"/>
        <v>772</v>
      </c>
      <c r="F621" t="str">
        <f>"19"</f>
        <v>19</v>
      </c>
    </row>
    <row r="622" spans="1:6">
      <c r="A622" t="str">
        <f>"E927-9"</f>
        <v>E927-9</v>
      </c>
      <c r="B622" t="str">
        <f t="shared" si="83"/>
        <v>VIA CESARE PAVESE  14-</v>
      </c>
      <c r="C622" t="str">
        <f t="shared" si="84"/>
        <v>PRA</v>
      </c>
      <c r="D622">
        <v>8</v>
      </c>
      <c r="E622" t="str">
        <f t="shared" si="85"/>
        <v>772</v>
      </c>
      <c r="F622" t="str">
        <f>"20"</f>
        <v>20</v>
      </c>
    </row>
    <row r="623" spans="1:6">
      <c r="A623" t="str">
        <f>"E927-10"</f>
        <v>E927-10</v>
      </c>
      <c r="B623" t="str">
        <f t="shared" si="83"/>
        <v>VIA CESARE PAVESE  14-</v>
      </c>
      <c r="C623" t="str">
        <f t="shared" si="84"/>
        <v>PRA</v>
      </c>
      <c r="D623">
        <v>8</v>
      </c>
      <c r="E623" t="str">
        <f t="shared" si="85"/>
        <v>772</v>
      </c>
      <c r="F623" t="str">
        <f>"21"</f>
        <v>21</v>
      </c>
    </row>
    <row r="624" spans="1:6">
      <c r="A624" t="str">
        <f>"E927-11"</f>
        <v>E927-11</v>
      </c>
      <c r="B624" t="str">
        <f t="shared" si="83"/>
        <v>VIA CESARE PAVESE  14-</v>
      </c>
      <c r="C624" t="str">
        <f t="shared" si="84"/>
        <v>PRA</v>
      </c>
      <c r="D624">
        <v>8</v>
      </c>
      <c r="E624" t="str">
        <f t="shared" si="85"/>
        <v>772</v>
      </c>
      <c r="F624" t="str">
        <f>"22"</f>
        <v>22</v>
      </c>
    </row>
    <row r="625" spans="1:6">
      <c r="A625" t="str">
        <f>"E927-12"</f>
        <v>E927-12</v>
      </c>
      <c r="B625" t="str">
        <f t="shared" si="83"/>
        <v>VIA CESARE PAVESE  14-</v>
      </c>
      <c r="C625" t="str">
        <f t="shared" si="84"/>
        <v>PRA</v>
      </c>
      <c r="D625">
        <v>8</v>
      </c>
      <c r="E625" t="str">
        <f t="shared" si="85"/>
        <v>772</v>
      </c>
      <c r="F625" t="str">
        <f>"23"</f>
        <v>23</v>
      </c>
    </row>
    <row r="626" spans="1:6">
      <c r="A626" t="str">
        <f>"E927-13"</f>
        <v>E927-13</v>
      </c>
      <c r="B626" t="str">
        <f t="shared" si="83"/>
        <v>VIA CESARE PAVESE  14-</v>
      </c>
      <c r="C626" t="str">
        <f t="shared" si="84"/>
        <v>PRA</v>
      </c>
      <c r="D626">
        <v>8</v>
      </c>
      <c r="E626" t="str">
        <f t="shared" si="85"/>
        <v>772</v>
      </c>
      <c r="F626" t="str">
        <f>"24"</f>
        <v>24</v>
      </c>
    </row>
    <row r="627" spans="1:6">
      <c r="A627" t="str">
        <f>"E927-14"</f>
        <v>E927-14</v>
      </c>
      <c r="B627" t="str">
        <f t="shared" si="83"/>
        <v>VIA CESARE PAVESE  14-</v>
      </c>
      <c r="C627" t="str">
        <f t="shared" si="84"/>
        <v>PRA</v>
      </c>
      <c r="D627">
        <v>8</v>
      </c>
      <c r="E627" t="str">
        <f t="shared" si="85"/>
        <v>772</v>
      </c>
      <c r="F627" t="str">
        <f>"25"</f>
        <v>25</v>
      </c>
    </row>
    <row r="628" spans="1:6">
      <c r="A628" t="str">
        <f>"E927-15"</f>
        <v>E927-15</v>
      </c>
      <c r="B628" t="str">
        <f t="shared" ref="B628:B640" si="86">"VIA CESARE PAVESE  16-"</f>
        <v>VIA CESARE PAVESE  16-</v>
      </c>
      <c r="C628" t="str">
        <f t="shared" si="84"/>
        <v>PRA</v>
      </c>
      <c r="D628">
        <v>8</v>
      </c>
      <c r="E628" t="str">
        <f t="shared" si="85"/>
        <v>772</v>
      </c>
      <c r="F628" t="str">
        <f>"26"</f>
        <v>26</v>
      </c>
    </row>
    <row r="629" spans="1:6">
      <c r="A629" t="str">
        <f>"E927-16"</f>
        <v>E927-16</v>
      </c>
      <c r="B629" t="str">
        <f t="shared" si="86"/>
        <v>VIA CESARE PAVESE  16-</v>
      </c>
      <c r="C629" t="str">
        <f t="shared" si="84"/>
        <v>PRA</v>
      </c>
      <c r="D629">
        <v>8</v>
      </c>
      <c r="E629" t="str">
        <f t="shared" si="85"/>
        <v>772</v>
      </c>
      <c r="F629" t="str">
        <f>"27"</f>
        <v>27</v>
      </c>
    </row>
    <row r="630" spans="1:6">
      <c r="A630" t="str">
        <f>"E927-17"</f>
        <v>E927-17</v>
      </c>
      <c r="B630" t="str">
        <f t="shared" si="86"/>
        <v>VIA CESARE PAVESE  16-</v>
      </c>
      <c r="C630" t="str">
        <f t="shared" si="84"/>
        <v>PRA</v>
      </c>
      <c r="D630">
        <v>8</v>
      </c>
      <c r="E630" t="str">
        <f t="shared" si="85"/>
        <v>772</v>
      </c>
      <c r="F630" t="str">
        <f>"28"</f>
        <v>28</v>
      </c>
    </row>
    <row r="631" spans="1:6">
      <c r="A631" t="str">
        <f>"E927-18"</f>
        <v>E927-18</v>
      </c>
      <c r="B631" t="str">
        <f t="shared" si="86"/>
        <v>VIA CESARE PAVESE  16-</v>
      </c>
      <c r="C631" t="str">
        <f t="shared" si="84"/>
        <v>PRA</v>
      </c>
      <c r="D631">
        <v>8</v>
      </c>
      <c r="E631" t="str">
        <f t="shared" si="85"/>
        <v>772</v>
      </c>
      <c r="F631" t="str">
        <f>"29"</f>
        <v>29</v>
      </c>
    </row>
    <row r="632" spans="1:6">
      <c r="A632" t="str">
        <f>"E927-19"</f>
        <v>E927-19</v>
      </c>
      <c r="B632" t="str">
        <f t="shared" si="86"/>
        <v>VIA CESARE PAVESE  16-</v>
      </c>
      <c r="C632" t="str">
        <f t="shared" si="84"/>
        <v>PRA</v>
      </c>
      <c r="D632">
        <v>8</v>
      </c>
      <c r="E632" t="str">
        <f t="shared" si="85"/>
        <v>772</v>
      </c>
      <c r="F632" t="str">
        <f>"30"</f>
        <v>30</v>
      </c>
    </row>
    <row r="633" spans="1:6">
      <c r="A633" t="str">
        <f>"E927-20"</f>
        <v>E927-20</v>
      </c>
      <c r="B633" t="str">
        <f t="shared" si="86"/>
        <v>VIA CESARE PAVESE  16-</v>
      </c>
      <c r="C633" t="str">
        <f t="shared" si="84"/>
        <v>PRA</v>
      </c>
      <c r="D633">
        <v>8</v>
      </c>
      <c r="E633" t="str">
        <f t="shared" si="85"/>
        <v>772</v>
      </c>
      <c r="F633" t="str">
        <f>"31"</f>
        <v>31</v>
      </c>
    </row>
    <row r="634" spans="1:6">
      <c r="A634" t="str">
        <f>"E927-21"</f>
        <v>E927-21</v>
      </c>
      <c r="B634" t="str">
        <f t="shared" si="86"/>
        <v>VIA CESARE PAVESE  16-</v>
      </c>
      <c r="C634" t="str">
        <f t="shared" si="84"/>
        <v>PRA</v>
      </c>
      <c r="D634">
        <v>8</v>
      </c>
      <c r="E634" t="str">
        <f t="shared" si="85"/>
        <v>772</v>
      </c>
      <c r="F634" t="str">
        <f>"32"</f>
        <v>32</v>
      </c>
    </row>
    <row r="635" spans="1:6">
      <c r="A635" t="str">
        <f>"E927-22"</f>
        <v>E927-22</v>
      </c>
      <c r="B635" t="str">
        <f t="shared" si="86"/>
        <v>VIA CESARE PAVESE  16-</v>
      </c>
      <c r="C635" t="str">
        <f t="shared" si="84"/>
        <v>PRA</v>
      </c>
      <c r="D635">
        <v>8</v>
      </c>
      <c r="E635" t="str">
        <f t="shared" si="85"/>
        <v>772</v>
      </c>
      <c r="F635" t="str">
        <f>"33"</f>
        <v>33</v>
      </c>
    </row>
    <row r="636" spans="1:6">
      <c r="A636" t="str">
        <f>"E927-23"</f>
        <v>E927-23</v>
      </c>
      <c r="B636" t="str">
        <f t="shared" si="86"/>
        <v>VIA CESARE PAVESE  16-</v>
      </c>
      <c r="C636" t="str">
        <f t="shared" si="84"/>
        <v>PRA</v>
      </c>
      <c r="D636">
        <v>8</v>
      </c>
      <c r="E636" t="str">
        <f t="shared" si="85"/>
        <v>772</v>
      </c>
      <c r="F636" t="str">
        <f>"34"</f>
        <v>34</v>
      </c>
    </row>
    <row r="637" spans="1:6">
      <c r="A637" t="str">
        <f>"E927-24"</f>
        <v>E927-24</v>
      </c>
      <c r="B637" t="str">
        <f t="shared" si="86"/>
        <v>VIA CESARE PAVESE  16-</v>
      </c>
      <c r="C637" t="str">
        <f t="shared" si="84"/>
        <v>PRA</v>
      </c>
      <c r="D637">
        <v>8</v>
      </c>
      <c r="E637" t="str">
        <f t="shared" si="85"/>
        <v>772</v>
      </c>
      <c r="F637" t="str">
        <f>"35"</f>
        <v>35</v>
      </c>
    </row>
    <row r="638" spans="1:6">
      <c r="A638" t="str">
        <f>"E927-25"</f>
        <v>E927-25</v>
      </c>
      <c r="B638" t="str">
        <f t="shared" si="86"/>
        <v>VIA CESARE PAVESE  16-</v>
      </c>
      <c r="C638" t="str">
        <f t="shared" si="84"/>
        <v>PRA</v>
      </c>
      <c r="D638">
        <v>8</v>
      </c>
      <c r="E638" t="str">
        <f t="shared" si="85"/>
        <v>772</v>
      </c>
      <c r="F638" t="str">
        <f>"36"</f>
        <v>36</v>
      </c>
    </row>
    <row r="639" spans="1:6">
      <c r="A639" t="str">
        <f>"E927-26"</f>
        <v>E927-26</v>
      </c>
      <c r="B639" t="str">
        <f t="shared" si="86"/>
        <v>VIA CESARE PAVESE  16-</v>
      </c>
      <c r="C639" t="str">
        <f t="shared" si="84"/>
        <v>PRA</v>
      </c>
      <c r="D639">
        <v>8</v>
      </c>
      <c r="E639" t="str">
        <f t="shared" si="85"/>
        <v>772</v>
      </c>
      <c r="F639" t="str">
        <f>"37"</f>
        <v>37</v>
      </c>
    </row>
    <row r="640" spans="1:6">
      <c r="A640" t="str">
        <f>"E927-27"</f>
        <v>E927-27</v>
      </c>
      <c r="B640" t="str">
        <f t="shared" si="86"/>
        <v>VIA CESARE PAVESE  16-</v>
      </c>
      <c r="C640" t="str">
        <f t="shared" si="84"/>
        <v>PRA</v>
      </c>
      <c r="D640">
        <v>8</v>
      </c>
      <c r="E640" t="str">
        <f t="shared" si="85"/>
        <v>772</v>
      </c>
      <c r="F640" t="str">
        <f>"38"</f>
        <v>38</v>
      </c>
    </row>
    <row r="641" spans="1:6">
      <c r="A641" t="str">
        <f>"E927-28"</f>
        <v>E927-28</v>
      </c>
      <c r="B641" t="str">
        <f t="shared" ref="B641:B652" si="87">"VIA CESARE PAVESE  18-"</f>
        <v>VIA CESARE PAVESE  18-</v>
      </c>
      <c r="C641" t="str">
        <f t="shared" si="84"/>
        <v>PRA</v>
      </c>
      <c r="D641">
        <v>8</v>
      </c>
      <c r="E641" t="str">
        <f t="shared" si="85"/>
        <v>772</v>
      </c>
      <c r="F641" t="str">
        <f>"39"</f>
        <v>39</v>
      </c>
    </row>
    <row r="642" spans="1:6">
      <c r="A642" t="str">
        <f>"E927-29"</f>
        <v>E927-29</v>
      </c>
      <c r="B642" t="str">
        <f t="shared" si="87"/>
        <v>VIA CESARE PAVESE  18-</v>
      </c>
      <c r="C642" t="str">
        <f t="shared" si="84"/>
        <v>PRA</v>
      </c>
      <c r="D642">
        <v>8</v>
      </c>
      <c r="E642" t="str">
        <f t="shared" si="85"/>
        <v>772</v>
      </c>
      <c r="F642" t="str">
        <f>"40"</f>
        <v>40</v>
      </c>
    </row>
    <row r="643" spans="1:6">
      <c r="A643" t="str">
        <f>"E927-30"</f>
        <v>E927-30</v>
      </c>
      <c r="B643" t="str">
        <f t="shared" si="87"/>
        <v>VIA CESARE PAVESE  18-</v>
      </c>
      <c r="C643" t="str">
        <f t="shared" si="84"/>
        <v>PRA</v>
      </c>
      <c r="D643">
        <v>8</v>
      </c>
      <c r="E643" t="str">
        <f t="shared" si="85"/>
        <v>772</v>
      </c>
      <c r="F643" t="str">
        <f>"41"</f>
        <v>41</v>
      </c>
    </row>
    <row r="644" spans="1:6">
      <c r="A644" t="str">
        <f>"E927-31"</f>
        <v>E927-31</v>
      </c>
      <c r="B644" t="str">
        <f t="shared" si="87"/>
        <v>VIA CESARE PAVESE  18-</v>
      </c>
      <c r="C644" t="str">
        <f t="shared" si="84"/>
        <v>PRA</v>
      </c>
      <c r="D644">
        <v>8</v>
      </c>
      <c r="E644" t="str">
        <f t="shared" si="85"/>
        <v>772</v>
      </c>
      <c r="F644" t="str">
        <f>"42"</f>
        <v>42</v>
      </c>
    </row>
    <row r="645" spans="1:6">
      <c r="A645" t="str">
        <f>"E927-32"</f>
        <v>E927-32</v>
      </c>
      <c r="B645" t="str">
        <f t="shared" si="87"/>
        <v>VIA CESARE PAVESE  18-</v>
      </c>
      <c r="C645" t="str">
        <f t="shared" si="84"/>
        <v>PRA</v>
      </c>
      <c r="D645">
        <v>8</v>
      </c>
      <c r="E645" t="str">
        <f t="shared" si="85"/>
        <v>772</v>
      </c>
      <c r="F645" t="str">
        <f>"43"</f>
        <v>43</v>
      </c>
    </row>
    <row r="646" spans="1:6">
      <c r="A646" t="str">
        <f>"E927-33"</f>
        <v>E927-33</v>
      </c>
      <c r="B646" t="str">
        <f t="shared" si="87"/>
        <v>VIA CESARE PAVESE  18-</v>
      </c>
      <c r="C646" t="str">
        <f t="shared" ref="C646:C677" si="88">"PRA"</f>
        <v>PRA</v>
      </c>
      <c r="D646">
        <v>8</v>
      </c>
      <c r="E646" t="str">
        <f t="shared" ref="E646:E677" si="89">"772"</f>
        <v>772</v>
      </c>
      <c r="F646" t="str">
        <f>"44"</f>
        <v>44</v>
      </c>
    </row>
    <row r="647" spans="1:6">
      <c r="A647" t="str">
        <f>"E927-34"</f>
        <v>E927-34</v>
      </c>
      <c r="B647" t="str">
        <f t="shared" si="87"/>
        <v>VIA CESARE PAVESE  18-</v>
      </c>
      <c r="C647" t="str">
        <f t="shared" si="88"/>
        <v>PRA</v>
      </c>
      <c r="D647">
        <v>8</v>
      </c>
      <c r="E647" t="str">
        <f t="shared" si="89"/>
        <v>772</v>
      </c>
      <c r="F647" t="str">
        <f>"45"</f>
        <v>45</v>
      </c>
    </row>
    <row r="648" spans="1:6">
      <c r="A648" t="str">
        <f>"E927-35"</f>
        <v>E927-35</v>
      </c>
      <c r="B648" t="str">
        <f t="shared" si="87"/>
        <v>VIA CESARE PAVESE  18-</v>
      </c>
      <c r="C648" t="str">
        <f t="shared" si="88"/>
        <v>PRA</v>
      </c>
      <c r="D648">
        <v>8</v>
      </c>
      <c r="E648" t="str">
        <f t="shared" si="89"/>
        <v>772</v>
      </c>
      <c r="F648" t="str">
        <f>"46"</f>
        <v>46</v>
      </c>
    </row>
    <row r="649" spans="1:6">
      <c r="A649" t="str">
        <f>"E927-36"</f>
        <v>E927-36</v>
      </c>
      <c r="B649" t="str">
        <f t="shared" si="87"/>
        <v>VIA CESARE PAVESE  18-</v>
      </c>
      <c r="C649" t="str">
        <f t="shared" si="88"/>
        <v>PRA</v>
      </c>
      <c r="D649">
        <v>8</v>
      </c>
      <c r="E649" t="str">
        <f t="shared" si="89"/>
        <v>772</v>
      </c>
      <c r="F649" t="str">
        <f>"47"</f>
        <v>47</v>
      </c>
    </row>
    <row r="650" spans="1:6">
      <c r="A650" t="str">
        <f>"E927-37"</f>
        <v>E927-37</v>
      </c>
      <c r="B650" t="str">
        <f t="shared" si="87"/>
        <v>VIA CESARE PAVESE  18-</v>
      </c>
      <c r="C650" t="str">
        <f t="shared" si="88"/>
        <v>PRA</v>
      </c>
      <c r="D650">
        <v>8</v>
      </c>
      <c r="E650" t="str">
        <f t="shared" si="89"/>
        <v>772</v>
      </c>
      <c r="F650" t="str">
        <f>"48"</f>
        <v>48</v>
      </c>
    </row>
    <row r="651" spans="1:6">
      <c r="A651" t="str">
        <f>"E927-38"</f>
        <v>E927-38</v>
      </c>
      <c r="B651" t="str">
        <f t="shared" si="87"/>
        <v>VIA CESARE PAVESE  18-</v>
      </c>
      <c r="C651" t="str">
        <f t="shared" si="88"/>
        <v>PRA</v>
      </c>
      <c r="D651">
        <v>8</v>
      </c>
      <c r="E651" t="str">
        <f t="shared" si="89"/>
        <v>772</v>
      </c>
      <c r="F651" t="str">
        <f>"49"</f>
        <v>49</v>
      </c>
    </row>
    <row r="652" spans="1:6">
      <c r="A652" t="str">
        <f>"E927-39"</f>
        <v>E927-39</v>
      </c>
      <c r="B652" t="str">
        <f t="shared" si="87"/>
        <v>VIA CESARE PAVESE  18-</v>
      </c>
      <c r="C652" t="str">
        <f t="shared" si="88"/>
        <v>PRA</v>
      </c>
      <c r="D652">
        <v>8</v>
      </c>
      <c r="E652" t="str">
        <f t="shared" si="89"/>
        <v>772</v>
      </c>
      <c r="F652" t="str">
        <f>"50"</f>
        <v>50</v>
      </c>
    </row>
    <row r="653" spans="1:6">
      <c r="A653" t="str">
        <f>"E927-40"</f>
        <v>E927-40</v>
      </c>
      <c r="B653" t="str">
        <f t="shared" ref="B653:B665" si="90">"VIA CESARE PAVESE  20-"</f>
        <v>VIA CESARE PAVESE  20-</v>
      </c>
      <c r="C653" t="str">
        <f t="shared" si="88"/>
        <v>PRA</v>
      </c>
      <c r="D653">
        <v>8</v>
      </c>
      <c r="E653" t="str">
        <f t="shared" si="89"/>
        <v>772</v>
      </c>
      <c r="F653" t="str">
        <f>"51"</f>
        <v>51</v>
      </c>
    </row>
    <row r="654" spans="1:6">
      <c r="A654" t="str">
        <f>"E927-41"</f>
        <v>E927-41</v>
      </c>
      <c r="B654" t="str">
        <f t="shared" si="90"/>
        <v>VIA CESARE PAVESE  20-</v>
      </c>
      <c r="C654" t="str">
        <f t="shared" si="88"/>
        <v>PRA</v>
      </c>
      <c r="D654">
        <v>8</v>
      </c>
      <c r="E654" t="str">
        <f t="shared" si="89"/>
        <v>772</v>
      </c>
      <c r="F654" t="str">
        <f>"52"</f>
        <v>52</v>
      </c>
    </row>
    <row r="655" spans="1:6">
      <c r="A655" t="str">
        <f>"E927-42"</f>
        <v>E927-42</v>
      </c>
      <c r="B655" t="str">
        <f t="shared" si="90"/>
        <v>VIA CESARE PAVESE  20-</v>
      </c>
      <c r="C655" t="str">
        <f t="shared" si="88"/>
        <v>PRA</v>
      </c>
      <c r="D655">
        <v>8</v>
      </c>
      <c r="E655" t="str">
        <f t="shared" si="89"/>
        <v>772</v>
      </c>
      <c r="F655" t="str">
        <f>"53"</f>
        <v>53</v>
      </c>
    </row>
    <row r="656" spans="1:6">
      <c r="A656" t="str">
        <f>"E927-43"</f>
        <v>E927-43</v>
      </c>
      <c r="B656" t="str">
        <f t="shared" si="90"/>
        <v>VIA CESARE PAVESE  20-</v>
      </c>
      <c r="C656" t="str">
        <f t="shared" si="88"/>
        <v>PRA</v>
      </c>
      <c r="D656">
        <v>8</v>
      </c>
      <c r="E656" t="str">
        <f t="shared" si="89"/>
        <v>772</v>
      </c>
      <c r="F656" t="str">
        <f>"54"</f>
        <v>54</v>
      </c>
    </row>
    <row r="657" spans="1:6">
      <c r="A657" t="str">
        <f>"E927-44"</f>
        <v>E927-44</v>
      </c>
      <c r="B657" t="str">
        <f t="shared" si="90"/>
        <v>VIA CESARE PAVESE  20-</v>
      </c>
      <c r="C657" t="str">
        <f t="shared" si="88"/>
        <v>PRA</v>
      </c>
      <c r="D657">
        <v>8</v>
      </c>
      <c r="E657" t="str">
        <f t="shared" si="89"/>
        <v>772</v>
      </c>
      <c r="F657" t="str">
        <f>"55"</f>
        <v>55</v>
      </c>
    </row>
    <row r="658" spans="1:6">
      <c r="A658" t="str">
        <f>"E927-45"</f>
        <v>E927-45</v>
      </c>
      <c r="B658" t="str">
        <f t="shared" si="90"/>
        <v>VIA CESARE PAVESE  20-</v>
      </c>
      <c r="C658" t="str">
        <f t="shared" si="88"/>
        <v>PRA</v>
      </c>
      <c r="D658">
        <v>8</v>
      </c>
      <c r="E658" t="str">
        <f t="shared" si="89"/>
        <v>772</v>
      </c>
      <c r="F658" t="str">
        <f>"56"</f>
        <v>56</v>
      </c>
    </row>
    <row r="659" spans="1:6">
      <c r="A659" t="str">
        <f>"E927-46"</f>
        <v>E927-46</v>
      </c>
      <c r="B659" t="str">
        <f t="shared" si="90"/>
        <v>VIA CESARE PAVESE  20-</v>
      </c>
      <c r="C659" t="str">
        <f t="shared" si="88"/>
        <v>PRA</v>
      </c>
      <c r="D659">
        <v>8</v>
      </c>
      <c r="E659" t="str">
        <f t="shared" si="89"/>
        <v>772</v>
      </c>
      <c r="F659" t="str">
        <f>"57"</f>
        <v>57</v>
      </c>
    </row>
    <row r="660" spans="1:6">
      <c r="A660" t="str">
        <f>"E927-47"</f>
        <v>E927-47</v>
      </c>
      <c r="B660" t="str">
        <f t="shared" si="90"/>
        <v>VIA CESARE PAVESE  20-</v>
      </c>
      <c r="C660" t="str">
        <f t="shared" si="88"/>
        <v>PRA</v>
      </c>
      <c r="D660">
        <v>8</v>
      </c>
      <c r="E660" t="str">
        <f t="shared" si="89"/>
        <v>772</v>
      </c>
      <c r="F660" t="str">
        <f>"58"</f>
        <v>58</v>
      </c>
    </row>
    <row r="661" spans="1:6">
      <c r="A661" t="str">
        <f>"E927-48"</f>
        <v>E927-48</v>
      </c>
      <c r="B661" t="str">
        <f t="shared" si="90"/>
        <v>VIA CESARE PAVESE  20-</v>
      </c>
      <c r="C661" t="str">
        <f t="shared" si="88"/>
        <v>PRA</v>
      </c>
      <c r="D661">
        <v>8</v>
      </c>
      <c r="E661" t="str">
        <f t="shared" si="89"/>
        <v>772</v>
      </c>
      <c r="F661" t="str">
        <f>"59"</f>
        <v>59</v>
      </c>
    </row>
    <row r="662" spans="1:6">
      <c r="A662" t="str">
        <f>"E927-49"</f>
        <v>E927-49</v>
      </c>
      <c r="B662" t="str">
        <f t="shared" si="90"/>
        <v>VIA CESARE PAVESE  20-</v>
      </c>
      <c r="C662" t="str">
        <f t="shared" si="88"/>
        <v>PRA</v>
      </c>
      <c r="D662">
        <v>8</v>
      </c>
      <c r="E662" t="str">
        <f t="shared" si="89"/>
        <v>772</v>
      </c>
      <c r="F662" t="str">
        <f>"60"</f>
        <v>60</v>
      </c>
    </row>
    <row r="663" spans="1:6">
      <c r="A663" t="str">
        <f>"E927-50"</f>
        <v>E927-50</v>
      </c>
      <c r="B663" t="str">
        <f t="shared" si="90"/>
        <v>VIA CESARE PAVESE  20-</v>
      </c>
      <c r="C663" t="str">
        <f t="shared" si="88"/>
        <v>PRA</v>
      </c>
      <c r="D663">
        <v>8</v>
      </c>
      <c r="E663" t="str">
        <f t="shared" si="89"/>
        <v>772</v>
      </c>
      <c r="F663" t="str">
        <f>"61"</f>
        <v>61</v>
      </c>
    </row>
    <row r="664" spans="1:6">
      <c r="A664" t="str">
        <f>"E927-51"</f>
        <v>E927-51</v>
      </c>
      <c r="B664" t="str">
        <f t="shared" si="90"/>
        <v>VIA CESARE PAVESE  20-</v>
      </c>
      <c r="C664" t="str">
        <f t="shared" si="88"/>
        <v>PRA</v>
      </c>
      <c r="D664">
        <v>8</v>
      </c>
      <c r="E664" t="str">
        <f t="shared" si="89"/>
        <v>772</v>
      </c>
      <c r="F664" t="str">
        <f>"62"</f>
        <v>62</v>
      </c>
    </row>
    <row r="665" spans="1:6">
      <c r="A665" t="str">
        <f>"E927-52"</f>
        <v>E927-52</v>
      </c>
      <c r="B665" t="str">
        <f t="shared" si="90"/>
        <v>VIA CESARE PAVESE  20-</v>
      </c>
      <c r="C665" t="str">
        <f t="shared" si="88"/>
        <v>PRA</v>
      </c>
      <c r="D665">
        <v>8</v>
      </c>
      <c r="E665" t="str">
        <f t="shared" si="89"/>
        <v>772</v>
      </c>
      <c r="F665" t="str">
        <f>"63"</f>
        <v>63</v>
      </c>
    </row>
    <row r="666" spans="1:6">
      <c r="A666" t="str">
        <f>"E927-53"</f>
        <v>E927-53</v>
      </c>
      <c r="B666" t="str">
        <f t="shared" ref="B666:B679" si="91">"VIA CESARE PAVESE  22-"</f>
        <v>VIA CESARE PAVESE  22-</v>
      </c>
      <c r="C666" t="str">
        <f t="shared" si="88"/>
        <v>PRA</v>
      </c>
      <c r="D666">
        <v>8</v>
      </c>
      <c r="E666" t="str">
        <f t="shared" si="89"/>
        <v>772</v>
      </c>
      <c r="F666" t="str">
        <f>"64"</f>
        <v>64</v>
      </c>
    </row>
    <row r="667" spans="1:6">
      <c r="A667" t="str">
        <f>"E927-54"</f>
        <v>E927-54</v>
      </c>
      <c r="B667" t="str">
        <f t="shared" si="91"/>
        <v>VIA CESARE PAVESE  22-</v>
      </c>
      <c r="C667" t="str">
        <f t="shared" si="88"/>
        <v>PRA</v>
      </c>
      <c r="D667">
        <v>8</v>
      </c>
      <c r="E667" t="str">
        <f t="shared" si="89"/>
        <v>772</v>
      </c>
      <c r="F667" t="str">
        <f>"65"</f>
        <v>65</v>
      </c>
    </row>
    <row r="668" spans="1:6">
      <c r="A668" t="str">
        <f>"E927-55"</f>
        <v>E927-55</v>
      </c>
      <c r="B668" t="str">
        <f t="shared" si="91"/>
        <v>VIA CESARE PAVESE  22-</v>
      </c>
      <c r="C668" t="str">
        <f t="shared" si="88"/>
        <v>PRA</v>
      </c>
      <c r="D668">
        <v>8</v>
      </c>
      <c r="E668" t="str">
        <f t="shared" si="89"/>
        <v>772</v>
      </c>
      <c r="F668" t="str">
        <f>"66"</f>
        <v>66</v>
      </c>
    </row>
    <row r="669" spans="1:6">
      <c r="A669" t="str">
        <f>"E927-56"</f>
        <v>E927-56</v>
      </c>
      <c r="B669" t="str">
        <f t="shared" si="91"/>
        <v>VIA CESARE PAVESE  22-</v>
      </c>
      <c r="C669" t="str">
        <f t="shared" si="88"/>
        <v>PRA</v>
      </c>
      <c r="D669">
        <v>8</v>
      </c>
      <c r="E669" t="str">
        <f t="shared" si="89"/>
        <v>772</v>
      </c>
      <c r="F669" t="str">
        <f>"67"</f>
        <v>67</v>
      </c>
    </row>
    <row r="670" spans="1:6">
      <c r="A670" t="str">
        <f>"E927-57"</f>
        <v>E927-57</v>
      </c>
      <c r="B670" t="str">
        <f t="shared" si="91"/>
        <v>VIA CESARE PAVESE  22-</v>
      </c>
      <c r="C670" t="str">
        <f t="shared" si="88"/>
        <v>PRA</v>
      </c>
      <c r="D670">
        <v>8</v>
      </c>
      <c r="E670" t="str">
        <f t="shared" si="89"/>
        <v>772</v>
      </c>
      <c r="F670" t="str">
        <f>"68"</f>
        <v>68</v>
      </c>
    </row>
    <row r="671" spans="1:6">
      <c r="A671" t="str">
        <f>"E927-58"</f>
        <v>E927-58</v>
      </c>
      <c r="B671" t="str">
        <f t="shared" si="91"/>
        <v>VIA CESARE PAVESE  22-</v>
      </c>
      <c r="C671" t="str">
        <f t="shared" si="88"/>
        <v>PRA</v>
      </c>
      <c r="D671">
        <v>8</v>
      </c>
      <c r="E671" t="str">
        <f t="shared" si="89"/>
        <v>772</v>
      </c>
      <c r="F671" t="str">
        <f>"69"</f>
        <v>69</v>
      </c>
    </row>
    <row r="672" spans="1:6">
      <c r="A672" t="str">
        <f>"E927-59"</f>
        <v>E927-59</v>
      </c>
      <c r="B672" t="str">
        <f t="shared" si="91"/>
        <v>VIA CESARE PAVESE  22-</v>
      </c>
      <c r="C672" t="str">
        <f t="shared" si="88"/>
        <v>PRA</v>
      </c>
      <c r="D672">
        <v>8</v>
      </c>
      <c r="E672" t="str">
        <f t="shared" si="89"/>
        <v>772</v>
      </c>
      <c r="F672" t="str">
        <f>"70"</f>
        <v>70</v>
      </c>
    </row>
    <row r="673" spans="1:6">
      <c r="A673" t="str">
        <f>"E927-60"</f>
        <v>E927-60</v>
      </c>
      <c r="B673" t="str">
        <f t="shared" si="91"/>
        <v>VIA CESARE PAVESE  22-</v>
      </c>
      <c r="C673" t="str">
        <f t="shared" si="88"/>
        <v>PRA</v>
      </c>
      <c r="D673">
        <v>8</v>
      </c>
      <c r="E673" t="str">
        <f t="shared" si="89"/>
        <v>772</v>
      </c>
      <c r="F673" t="str">
        <f>"71"</f>
        <v>71</v>
      </c>
    </row>
    <row r="674" spans="1:6">
      <c r="A674" t="str">
        <f>"E927-61"</f>
        <v>E927-61</v>
      </c>
      <c r="B674" t="str">
        <f t="shared" si="91"/>
        <v>VIA CESARE PAVESE  22-</v>
      </c>
      <c r="C674" t="str">
        <f t="shared" si="88"/>
        <v>PRA</v>
      </c>
      <c r="D674">
        <v>8</v>
      </c>
      <c r="E674" t="str">
        <f t="shared" si="89"/>
        <v>772</v>
      </c>
      <c r="F674" t="str">
        <f>"72"</f>
        <v>72</v>
      </c>
    </row>
    <row r="675" spans="1:6">
      <c r="A675" t="str">
        <f>"E927-62"</f>
        <v>E927-62</v>
      </c>
      <c r="B675" t="str">
        <f t="shared" si="91"/>
        <v>VIA CESARE PAVESE  22-</v>
      </c>
      <c r="C675" t="str">
        <f t="shared" si="88"/>
        <v>PRA</v>
      </c>
      <c r="D675">
        <v>8</v>
      </c>
      <c r="E675" t="str">
        <f t="shared" si="89"/>
        <v>772</v>
      </c>
      <c r="F675" t="str">
        <f>"73"</f>
        <v>73</v>
      </c>
    </row>
    <row r="676" spans="1:6">
      <c r="A676" t="str">
        <f>"E927-63"</f>
        <v>E927-63</v>
      </c>
      <c r="B676" t="str">
        <f t="shared" si="91"/>
        <v>VIA CESARE PAVESE  22-</v>
      </c>
      <c r="C676" t="str">
        <f t="shared" si="88"/>
        <v>PRA</v>
      </c>
      <c r="D676">
        <v>8</v>
      </c>
      <c r="E676" t="str">
        <f t="shared" si="89"/>
        <v>772</v>
      </c>
      <c r="F676" t="str">
        <f>"74"</f>
        <v>74</v>
      </c>
    </row>
    <row r="677" spans="1:6">
      <c r="A677" t="str">
        <f>"E927-64"</f>
        <v>E927-64</v>
      </c>
      <c r="B677" t="str">
        <f t="shared" si="91"/>
        <v>VIA CESARE PAVESE  22-</v>
      </c>
      <c r="C677" t="str">
        <f t="shared" si="88"/>
        <v>PRA</v>
      </c>
      <c r="D677">
        <v>8</v>
      </c>
      <c r="E677" t="str">
        <f t="shared" si="89"/>
        <v>772</v>
      </c>
      <c r="F677" t="str">
        <f>"75"</f>
        <v>75</v>
      </c>
    </row>
    <row r="678" spans="1:6">
      <c r="A678" t="str">
        <f>"E927-65"</f>
        <v>E927-65</v>
      </c>
      <c r="B678" t="str">
        <f t="shared" si="91"/>
        <v>VIA CESARE PAVESE  22-</v>
      </c>
      <c r="C678" t="str">
        <f t="shared" ref="C678:C693" si="92">"PRA"</f>
        <v>PRA</v>
      </c>
      <c r="D678">
        <v>8</v>
      </c>
      <c r="E678" t="str">
        <f t="shared" ref="E678:E694" si="93">"772"</f>
        <v>772</v>
      </c>
      <c r="F678" t="str">
        <f>"76"</f>
        <v>76</v>
      </c>
    </row>
    <row r="679" spans="1:6">
      <c r="A679" t="str">
        <f>"E927-66"</f>
        <v>E927-66</v>
      </c>
      <c r="B679" t="str">
        <f t="shared" si="91"/>
        <v>VIA CESARE PAVESE  22-</v>
      </c>
      <c r="C679" t="str">
        <f t="shared" si="92"/>
        <v>PRA</v>
      </c>
      <c r="D679">
        <v>8</v>
      </c>
      <c r="E679" t="str">
        <f t="shared" si="93"/>
        <v>772</v>
      </c>
      <c r="F679" t="str">
        <f>"77"</f>
        <v>77</v>
      </c>
    </row>
    <row r="680" spans="1:6">
      <c r="A680" t="str">
        <f>"E927-67"</f>
        <v>E927-67</v>
      </c>
      <c r="B680" t="str">
        <f t="shared" ref="B680:B693" si="94">"VIA CESARE PAVESE  24-"</f>
        <v>VIA CESARE PAVESE  24-</v>
      </c>
      <c r="C680" t="str">
        <f t="shared" si="92"/>
        <v>PRA</v>
      </c>
      <c r="D680">
        <v>8</v>
      </c>
      <c r="E680" t="str">
        <f t="shared" si="93"/>
        <v>772</v>
      </c>
      <c r="F680" t="str">
        <f>"78"</f>
        <v>78</v>
      </c>
    </row>
    <row r="681" spans="1:6">
      <c r="A681" t="str">
        <f>"E927-68"</f>
        <v>E927-68</v>
      </c>
      <c r="B681" t="str">
        <f t="shared" si="94"/>
        <v>VIA CESARE PAVESE  24-</v>
      </c>
      <c r="C681" t="str">
        <f t="shared" si="92"/>
        <v>PRA</v>
      </c>
      <c r="D681">
        <v>8</v>
      </c>
      <c r="E681" t="str">
        <f t="shared" si="93"/>
        <v>772</v>
      </c>
      <c r="F681" t="str">
        <f>"79"</f>
        <v>79</v>
      </c>
    </row>
    <row r="682" spans="1:6">
      <c r="A682" t="str">
        <f>"E927-69"</f>
        <v>E927-69</v>
      </c>
      <c r="B682" t="str">
        <f t="shared" si="94"/>
        <v>VIA CESARE PAVESE  24-</v>
      </c>
      <c r="C682" t="str">
        <f t="shared" si="92"/>
        <v>PRA</v>
      </c>
      <c r="D682">
        <v>8</v>
      </c>
      <c r="E682" t="str">
        <f t="shared" si="93"/>
        <v>772</v>
      </c>
      <c r="F682" t="str">
        <f>"80"</f>
        <v>80</v>
      </c>
    </row>
    <row r="683" spans="1:6">
      <c r="A683" t="str">
        <f>"E927-70"</f>
        <v>E927-70</v>
      </c>
      <c r="B683" t="str">
        <f t="shared" si="94"/>
        <v>VIA CESARE PAVESE  24-</v>
      </c>
      <c r="C683" t="str">
        <f t="shared" si="92"/>
        <v>PRA</v>
      </c>
      <c r="D683">
        <v>8</v>
      </c>
      <c r="E683" t="str">
        <f t="shared" si="93"/>
        <v>772</v>
      </c>
      <c r="F683" t="str">
        <f>"81"</f>
        <v>81</v>
      </c>
    </row>
    <row r="684" spans="1:6">
      <c r="A684" t="str">
        <f>"E927-71"</f>
        <v>E927-71</v>
      </c>
      <c r="B684" t="str">
        <f t="shared" si="94"/>
        <v>VIA CESARE PAVESE  24-</v>
      </c>
      <c r="C684" t="str">
        <f t="shared" si="92"/>
        <v>PRA</v>
      </c>
      <c r="D684">
        <v>8</v>
      </c>
      <c r="E684" t="str">
        <f t="shared" si="93"/>
        <v>772</v>
      </c>
      <c r="F684" t="str">
        <f>"82"</f>
        <v>82</v>
      </c>
    </row>
    <row r="685" spans="1:6">
      <c r="A685" t="str">
        <f>"E927-72"</f>
        <v>E927-72</v>
      </c>
      <c r="B685" t="str">
        <f t="shared" si="94"/>
        <v>VIA CESARE PAVESE  24-</v>
      </c>
      <c r="C685" t="str">
        <f t="shared" si="92"/>
        <v>PRA</v>
      </c>
      <c r="D685">
        <v>8</v>
      </c>
      <c r="E685" t="str">
        <f t="shared" si="93"/>
        <v>772</v>
      </c>
      <c r="F685" t="str">
        <f>"83"</f>
        <v>83</v>
      </c>
    </row>
    <row r="686" spans="1:6">
      <c r="A686" t="str">
        <f>"E927-73"</f>
        <v>E927-73</v>
      </c>
      <c r="B686" t="str">
        <f t="shared" si="94"/>
        <v>VIA CESARE PAVESE  24-</v>
      </c>
      <c r="C686" t="str">
        <f t="shared" si="92"/>
        <v>PRA</v>
      </c>
      <c r="D686">
        <v>8</v>
      </c>
      <c r="E686" t="str">
        <f t="shared" si="93"/>
        <v>772</v>
      </c>
      <c r="F686" t="str">
        <f>"84"</f>
        <v>84</v>
      </c>
    </row>
    <row r="687" spans="1:6">
      <c r="A687" t="str">
        <f>"E927-74"</f>
        <v>E927-74</v>
      </c>
      <c r="B687" t="str">
        <f t="shared" si="94"/>
        <v>VIA CESARE PAVESE  24-</v>
      </c>
      <c r="C687" t="str">
        <f t="shared" si="92"/>
        <v>PRA</v>
      </c>
      <c r="D687">
        <v>8</v>
      </c>
      <c r="E687" t="str">
        <f t="shared" si="93"/>
        <v>772</v>
      </c>
      <c r="F687" t="str">
        <f>"85"</f>
        <v>85</v>
      </c>
    </row>
    <row r="688" spans="1:6">
      <c r="A688" t="str">
        <f>"E927-75"</f>
        <v>E927-75</v>
      </c>
      <c r="B688" t="str">
        <f t="shared" si="94"/>
        <v>VIA CESARE PAVESE  24-</v>
      </c>
      <c r="C688" t="str">
        <f t="shared" si="92"/>
        <v>PRA</v>
      </c>
      <c r="D688">
        <v>8</v>
      </c>
      <c r="E688" t="str">
        <f t="shared" si="93"/>
        <v>772</v>
      </c>
      <c r="F688" t="str">
        <f>"86"</f>
        <v>86</v>
      </c>
    </row>
    <row r="689" spans="1:6">
      <c r="A689" t="str">
        <f>"E927-76"</f>
        <v>E927-76</v>
      </c>
      <c r="B689" t="str">
        <f t="shared" si="94"/>
        <v>VIA CESARE PAVESE  24-</v>
      </c>
      <c r="C689" t="str">
        <f t="shared" si="92"/>
        <v>PRA</v>
      </c>
      <c r="D689">
        <v>8</v>
      </c>
      <c r="E689" t="str">
        <f t="shared" si="93"/>
        <v>772</v>
      </c>
      <c r="F689" t="str">
        <f>"87"</f>
        <v>87</v>
      </c>
    </row>
    <row r="690" spans="1:6">
      <c r="A690" t="str">
        <f>"E927-77"</f>
        <v>E927-77</v>
      </c>
      <c r="B690" t="str">
        <f t="shared" si="94"/>
        <v>VIA CESARE PAVESE  24-</v>
      </c>
      <c r="C690" t="str">
        <f t="shared" si="92"/>
        <v>PRA</v>
      </c>
      <c r="D690">
        <v>8</v>
      </c>
      <c r="E690" t="str">
        <f t="shared" si="93"/>
        <v>772</v>
      </c>
      <c r="F690" t="str">
        <f>"88"</f>
        <v>88</v>
      </c>
    </row>
    <row r="691" spans="1:6">
      <c r="A691" t="str">
        <f>"E927-78"</f>
        <v>E927-78</v>
      </c>
      <c r="B691" t="str">
        <f t="shared" si="94"/>
        <v>VIA CESARE PAVESE  24-</v>
      </c>
      <c r="C691" t="str">
        <f t="shared" si="92"/>
        <v>PRA</v>
      </c>
      <c r="D691">
        <v>8</v>
      </c>
      <c r="E691" t="str">
        <f t="shared" si="93"/>
        <v>772</v>
      </c>
      <c r="F691" t="str">
        <f>"89"</f>
        <v>89</v>
      </c>
    </row>
    <row r="692" spans="1:6">
      <c r="A692" t="str">
        <f>"E927-79"</f>
        <v>E927-79</v>
      </c>
      <c r="B692" t="str">
        <f t="shared" si="94"/>
        <v>VIA CESARE PAVESE  24-</v>
      </c>
      <c r="C692" t="str">
        <f t="shared" si="92"/>
        <v>PRA</v>
      </c>
      <c r="D692">
        <v>8</v>
      </c>
      <c r="E692" t="str">
        <f t="shared" si="93"/>
        <v>772</v>
      </c>
      <c r="F692" t="str">
        <f>"90"</f>
        <v>90</v>
      </c>
    </row>
    <row r="693" spans="1:6">
      <c r="A693" t="str">
        <f>"E927-80"</f>
        <v>E927-80</v>
      </c>
      <c r="B693" t="str">
        <f t="shared" si="94"/>
        <v>VIA CESARE PAVESE  24-</v>
      </c>
      <c r="C693" t="str">
        <f t="shared" si="92"/>
        <v>PRA</v>
      </c>
      <c r="D693">
        <v>8</v>
      </c>
      <c r="E693" t="str">
        <f t="shared" si="93"/>
        <v>772</v>
      </c>
      <c r="F693" t="str">
        <f>"91"</f>
        <v>91</v>
      </c>
    </row>
    <row r="694" spans="1:6">
      <c r="A694" t="str">
        <f>"E927-81"</f>
        <v>E927-81</v>
      </c>
      <c r="B694" t="str">
        <f>"VIA CESARE PAVESE  18-"</f>
        <v>VIA CESARE PAVESE  18-</v>
      </c>
      <c r="C694" t="str">
        <f>"3"</f>
        <v>3</v>
      </c>
      <c r="D694">
        <v>8</v>
      </c>
      <c r="E694" t="str">
        <f t="shared" si="93"/>
        <v>772</v>
      </c>
      <c r="F694" t="str">
        <f>"0000"</f>
        <v>0000</v>
      </c>
    </row>
    <row r="695" spans="1:6">
      <c r="A695" t="str">
        <f>"E928-1"</f>
        <v>E928-1</v>
      </c>
      <c r="B695" t="str">
        <f t="shared" ref="B695:B708" si="95">"VIA ELIO VITTORINI  17-"</f>
        <v>VIA ELIO VITTORINI  17-</v>
      </c>
      <c r="C695" t="str">
        <f t="shared" ref="C695:C726" si="96">"PRA"</f>
        <v>PRA</v>
      </c>
      <c r="D695">
        <v>8</v>
      </c>
      <c r="E695" t="str">
        <f t="shared" ref="E695:E726" si="97">"773"</f>
        <v>773</v>
      </c>
      <c r="F695" t="str">
        <f>"11"</f>
        <v>11</v>
      </c>
    </row>
    <row r="696" spans="1:6">
      <c r="A696" t="str">
        <f>"E928-2"</f>
        <v>E928-2</v>
      </c>
      <c r="B696" t="str">
        <f t="shared" si="95"/>
        <v>VIA ELIO VITTORINI  17-</v>
      </c>
      <c r="C696" t="str">
        <f t="shared" si="96"/>
        <v>PRA</v>
      </c>
      <c r="D696">
        <v>8</v>
      </c>
      <c r="E696" t="str">
        <f t="shared" si="97"/>
        <v>773</v>
      </c>
      <c r="F696" t="str">
        <f>"12"</f>
        <v>12</v>
      </c>
    </row>
    <row r="697" spans="1:6">
      <c r="A697" t="str">
        <f>"E928-3"</f>
        <v>E928-3</v>
      </c>
      <c r="B697" t="str">
        <f t="shared" si="95"/>
        <v>VIA ELIO VITTORINI  17-</v>
      </c>
      <c r="C697" t="str">
        <f t="shared" si="96"/>
        <v>PRA</v>
      </c>
      <c r="D697">
        <v>8</v>
      </c>
      <c r="E697" t="str">
        <f t="shared" si="97"/>
        <v>773</v>
      </c>
      <c r="F697" t="str">
        <f>"13"</f>
        <v>13</v>
      </c>
    </row>
    <row r="698" spans="1:6">
      <c r="A698" t="str">
        <f>"E928-4"</f>
        <v>E928-4</v>
      </c>
      <c r="B698" t="str">
        <f t="shared" si="95"/>
        <v>VIA ELIO VITTORINI  17-</v>
      </c>
      <c r="C698" t="str">
        <f t="shared" si="96"/>
        <v>PRA</v>
      </c>
      <c r="D698">
        <v>8</v>
      </c>
      <c r="E698" t="str">
        <f t="shared" si="97"/>
        <v>773</v>
      </c>
      <c r="F698" t="str">
        <f>"14"</f>
        <v>14</v>
      </c>
    </row>
    <row r="699" spans="1:6">
      <c r="A699" t="str">
        <f>"E928-5"</f>
        <v>E928-5</v>
      </c>
      <c r="B699" t="str">
        <f t="shared" si="95"/>
        <v>VIA ELIO VITTORINI  17-</v>
      </c>
      <c r="C699" t="str">
        <f t="shared" si="96"/>
        <v>PRA</v>
      </c>
      <c r="D699">
        <v>8</v>
      </c>
      <c r="E699" t="str">
        <f t="shared" si="97"/>
        <v>773</v>
      </c>
      <c r="F699" t="str">
        <f>"15"</f>
        <v>15</v>
      </c>
    </row>
    <row r="700" spans="1:6">
      <c r="A700" t="str">
        <f>"E928-6"</f>
        <v>E928-6</v>
      </c>
      <c r="B700" t="str">
        <f t="shared" si="95"/>
        <v>VIA ELIO VITTORINI  17-</v>
      </c>
      <c r="C700" t="str">
        <f t="shared" si="96"/>
        <v>PRA</v>
      </c>
      <c r="D700">
        <v>8</v>
      </c>
      <c r="E700" t="str">
        <f t="shared" si="97"/>
        <v>773</v>
      </c>
      <c r="F700" t="str">
        <f>"16"</f>
        <v>16</v>
      </c>
    </row>
    <row r="701" spans="1:6">
      <c r="A701" t="str">
        <f>"E928-7"</f>
        <v>E928-7</v>
      </c>
      <c r="B701" t="str">
        <f t="shared" si="95"/>
        <v>VIA ELIO VITTORINI  17-</v>
      </c>
      <c r="C701" t="str">
        <f t="shared" si="96"/>
        <v>PRA</v>
      </c>
      <c r="D701">
        <v>8</v>
      </c>
      <c r="E701" t="str">
        <f t="shared" si="97"/>
        <v>773</v>
      </c>
      <c r="F701" t="str">
        <f>"17"</f>
        <v>17</v>
      </c>
    </row>
    <row r="702" spans="1:6">
      <c r="A702" t="str">
        <f>"E928-8"</f>
        <v>E928-8</v>
      </c>
      <c r="B702" t="str">
        <f t="shared" si="95"/>
        <v>VIA ELIO VITTORINI  17-</v>
      </c>
      <c r="C702" t="str">
        <f t="shared" si="96"/>
        <v>PRA</v>
      </c>
      <c r="D702">
        <v>8</v>
      </c>
      <c r="E702" t="str">
        <f t="shared" si="97"/>
        <v>773</v>
      </c>
      <c r="F702" t="str">
        <f>"18"</f>
        <v>18</v>
      </c>
    </row>
    <row r="703" spans="1:6">
      <c r="A703" t="str">
        <f>"E928-9"</f>
        <v>E928-9</v>
      </c>
      <c r="B703" t="str">
        <f t="shared" si="95"/>
        <v>VIA ELIO VITTORINI  17-</v>
      </c>
      <c r="C703" t="str">
        <f t="shared" si="96"/>
        <v>PRA</v>
      </c>
      <c r="D703">
        <v>8</v>
      </c>
      <c r="E703" t="str">
        <f t="shared" si="97"/>
        <v>773</v>
      </c>
      <c r="F703" t="str">
        <f>"19"</f>
        <v>19</v>
      </c>
    </row>
    <row r="704" spans="1:6">
      <c r="A704" t="str">
        <f>"E928-10"</f>
        <v>E928-10</v>
      </c>
      <c r="B704" t="str">
        <f t="shared" si="95"/>
        <v>VIA ELIO VITTORINI  17-</v>
      </c>
      <c r="C704" t="str">
        <f t="shared" si="96"/>
        <v>PRA</v>
      </c>
      <c r="D704">
        <v>8</v>
      </c>
      <c r="E704" t="str">
        <f t="shared" si="97"/>
        <v>773</v>
      </c>
      <c r="F704" t="str">
        <f>"20"</f>
        <v>20</v>
      </c>
    </row>
    <row r="705" spans="1:6">
      <c r="A705" t="str">
        <f>"E928-11"</f>
        <v>E928-11</v>
      </c>
      <c r="B705" t="str">
        <f t="shared" si="95"/>
        <v>VIA ELIO VITTORINI  17-</v>
      </c>
      <c r="C705" t="str">
        <f t="shared" si="96"/>
        <v>PRA</v>
      </c>
      <c r="D705">
        <v>8</v>
      </c>
      <c r="E705" t="str">
        <f t="shared" si="97"/>
        <v>773</v>
      </c>
      <c r="F705" t="str">
        <f>"21"</f>
        <v>21</v>
      </c>
    </row>
    <row r="706" spans="1:6">
      <c r="A706" t="str">
        <f>"E928-12"</f>
        <v>E928-12</v>
      </c>
      <c r="B706" t="str">
        <f t="shared" si="95"/>
        <v>VIA ELIO VITTORINI  17-</v>
      </c>
      <c r="C706" t="str">
        <f t="shared" si="96"/>
        <v>PRA</v>
      </c>
      <c r="D706">
        <v>8</v>
      </c>
      <c r="E706" t="str">
        <f t="shared" si="97"/>
        <v>773</v>
      </c>
      <c r="F706" t="str">
        <f>"22"</f>
        <v>22</v>
      </c>
    </row>
    <row r="707" spans="1:6">
      <c r="A707" t="str">
        <f>"E928-13"</f>
        <v>E928-13</v>
      </c>
      <c r="B707" t="str">
        <f t="shared" si="95"/>
        <v>VIA ELIO VITTORINI  17-</v>
      </c>
      <c r="C707" t="str">
        <f t="shared" si="96"/>
        <v>PRA</v>
      </c>
      <c r="D707">
        <v>8</v>
      </c>
      <c r="E707" t="str">
        <f t="shared" si="97"/>
        <v>773</v>
      </c>
      <c r="F707" t="str">
        <f>"23"</f>
        <v>23</v>
      </c>
    </row>
    <row r="708" spans="1:6">
      <c r="A708" t="str">
        <f>"E928-14"</f>
        <v>E928-14</v>
      </c>
      <c r="B708" t="str">
        <f t="shared" si="95"/>
        <v>VIA ELIO VITTORINI  17-</v>
      </c>
      <c r="C708" t="str">
        <f t="shared" si="96"/>
        <v>PRA</v>
      </c>
      <c r="D708">
        <v>8</v>
      </c>
      <c r="E708" t="str">
        <f t="shared" si="97"/>
        <v>773</v>
      </c>
      <c r="F708" t="str">
        <f>"24"</f>
        <v>24</v>
      </c>
    </row>
    <row r="709" spans="1:6">
      <c r="A709" t="str">
        <f>"E928-15"</f>
        <v>E928-15</v>
      </c>
      <c r="B709" t="str">
        <f t="shared" ref="B709:B722" si="98">"VIA ELIO VITTORINI  19-"</f>
        <v>VIA ELIO VITTORINI  19-</v>
      </c>
      <c r="C709" t="str">
        <f t="shared" si="96"/>
        <v>PRA</v>
      </c>
      <c r="D709">
        <v>8</v>
      </c>
      <c r="E709" t="str">
        <f t="shared" si="97"/>
        <v>773</v>
      </c>
      <c r="F709" t="str">
        <f>"25"</f>
        <v>25</v>
      </c>
    </row>
    <row r="710" spans="1:6">
      <c r="A710" t="str">
        <f>"E928-16"</f>
        <v>E928-16</v>
      </c>
      <c r="B710" t="str">
        <f t="shared" si="98"/>
        <v>VIA ELIO VITTORINI  19-</v>
      </c>
      <c r="C710" t="str">
        <f t="shared" si="96"/>
        <v>PRA</v>
      </c>
      <c r="D710">
        <v>8</v>
      </c>
      <c r="E710" t="str">
        <f t="shared" si="97"/>
        <v>773</v>
      </c>
      <c r="F710" t="str">
        <f>"26"</f>
        <v>26</v>
      </c>
    </row>
    <row r="711" spans="1:6">
      <c r="A711" t="str">
        <f>"E928-17"</f>
        <v>E928-17</v>
      </c>
      <c r="B711" t="str">
        <f t="shared" si="98"/>
        <v>VIA ELIO VITTORINI  19-</v>
      </c>
      <c r="C711" t="str">
        <f t="shared" si="96"/>
        <v>PRA</v>
      </c>
      <c r="D711">
        <v>8</v>
      </c>
      <c r="E711" t="str">
        <f t="shared" si="97"/>
        <v>773</v>
      </c>
      <c r="F711" t="str">
        <f>"27"</f>
        <v>27</v>
      </c>
    </row>
    <row r="712" spans="1:6">
      <c r="A712" t="str">
        <f>"E928-18"</f>
        <v>E928-18</v>
      </c>
      <c r="B712" t="str">
        <f t="shared" si="98"/>
        <v>VIA ELIO VITTORINI  19-</v>
      </c>
      <c r="C712" t="str">
        <f t="shared" si="96"/>
        <v>PRA</v>
      </c>
      <c r="D712">
        <v>8</v>
      </c>
      <c r="E712" t="str">
        <f t="shared" si="97"/>
        <v>773</v>
      </c>
      <c r="F712" t="str">
        <f>"28"</f>
        <v>28</v>
      </c>
    </row>
    <row r="713" spans="1:6">
      <c r="A713" t="str">
        <f>"E928-19"</f>
        <v>E928-19</v>
      </c>
      <c r="B713" t="str">
        <f t="shared" si="98"/>
        <v>VIA ELIO VITTORINI  19-</v>
      </c>
      <c r="C713" t="str">
        <f t="shared" si="96"/>
        <v>PRA</v>
      </c>
      <c r="D713">
        <v>8</v>
      </c>
      <c r="E713" t="str">
        <f t="shared" si="97"/>
        <v>773</v>
      </c>
      <c r="F713" t="str">
        <f>"29"</f>
        <v>29</v>
      </c>
    </row>
    <row r="714" spans="1:6">
      <c r="A714" t="str">
        <f>"E928-20"</f>
        <v>E928-20</v>
      </c>
      <c r="B714" t="str">
        <f t="shared" si="98"/>
        <v>VIA ELIO VITTORINI  19-</v>
      </c>
      <c r="C714" t="str">
        <f t="shared" si="96"/>
        <v>PRA</v>
      </c>
      <c r="D714">
        <v>8</v>
      </c>
      <c r="E714" t="str">
        <f t="shared" si="97"/>
        <v>773</v>
      </c>
      <c r="F714" t="str">
        <f>"30"</f>
        <v>30</v>
      </c>
    </row>
    <row r="715" spans="1:6">
      <c r="A715" t="str">
        <f>"E928-21"</f>
        <v>E928-21</v>
      </c>
      <c r="B715" t="str">
        <f t="shared" si="98"/>
        <v>VIA ELIO VITTORINI  19-</v>
      </c>
      <c r="C715" t="str">
        <f t="shared" si="96"/>
        <v>PRA</v>
      </c>
      <c r="D715">
        <v>8</v>
      </c>
      <c r="E715" t="str">
        <f t="shared" si="97"/>
        <v>773</v>
      </c>
      <c r="F715" t="str">
        <f>"31"</f>
        <v>31</v>
      </c>
    </row>
    <row r="716" spans="1:6">
      <c r="A716" t="str">
        <f>"E928-22"</f>
        <v>E928-22</v>
      </c>
      <c r="B716" t="str">
        <f t="shared" si="98"/>
        <v>VIA ELIO VITTORINI  19-</v>
      </c>
      <c r="C716" t="str">
        <f t="shared" si="96"/>
        <v>PRA</v>
      </c>
      <c r="D716">
        <v>8</v>
      </c>
      <c r="E716" t="str">
        <f t="shared" si="97"/>
        <v>773</v>
      </c>
      <c r="F716" t="str">
        <f>"32"</f>
        <v>32</v>
      </c>
    </row>
    <row r="717" spans="1:6">
      <c r="A717" t="str">
        <f>"E928-23"</f>
        <v>E928-23</v>
      </c>
      <c r="B717" t="str">
        <f t="shared" si="98"/>
        <v>VIA ELIO VITTORINI  19-</v>
      </c>
      <c r="C717" t="str">
        <f t="shared" si="96"/>
        <v>PRA</v>
      </c>
      <c r="D717">
        <v>8</v>
      </c>
      <c r="E717" t="str">
        <f t="shared" si="97"/>
        <v>773</v>
      </c>
      <c r="F717" t="str">
        <f>"33"</f>
        <v>33</v>
      </c>
    </row>
    <row r="718" spans="1:6">
      <c r="A718" t="str">
        <f>"E928-24"</f>
        <v>E928-24</v>
      </c>
      <c r="B718" t="str">
        <f t="shared" si="98"/>
        <v>VIA ELIO VITTORINI  19-</v>
      </c>
      <c r="C718" t="str">
        <f t="shared" si="96"/>
        <v>PRA</v>
      </c>
      <c r="D718">
        <v>8</v>
      </c>
      <c r="E718" t="str">
        <f t="shared" si="97"/>
        <v>773</v>
      </c>
      <c r="F718" t="str">
        <f>"34"</f>
        <v>34</v>
      </c>
    </row>
    <row r="719" spans="1:6">
      <c r="A719" t="str">
        <f>"E928-25"</f>
        <v>E928-25</v>
      </c>
      <c r="B719" t="str">
        <f t="shared" si="98"/>
        <v>VIA ELIO VITTORINI  19-</v>
      </c>
      <c r="C719" t="str">
        <f t="shared" si="96"/>
        <v>PRA</v>
      </c>
      <c r="D719">
        <v>8</v>
      </c>
      <c r="E719" t="str">
        <f t="shared" si="97"/>
        <v>773</v>
      </c>
      <c r="F719" t="str">
        <f>"35"</f>
        <v>35</v>
      </c>
    </row>
    <row r="720" spans="1:6">
      <c r="A720" t="str">
        <f>"E928-26"</f>
        <v>E928-26</v>
      </c>
      <c r="B720" t="str">
        <f t="shared" si="98"/>
        <v>VIA ELIO VITTORINI  19-</v>
      </c>
      <c r="C720" t="str">
        <f t="shared" si="96"/>
        <v>PRA</v>
      </c>
      <c r="D720">
        <v>8</v>
      </c>
      <c r="E720" t="str">
        <f t="shared" si="97"/>
        <v>773</v>
      </c>
      <c r="F720" t="str">
        <f>"36"</f>
        <v>36</v>
      </c>
    </row>
    <row r="721" spans="1:6">
      <c r="A721" t="str">
        <f>"E928-27"</f>
        <v>E928-27</v>
      </c>
      <c r="B721" t="str">
        <f t="shared" si="98"/>
        <v>VIA ELIO VITTORINI  19-</v>
      </c>
      <c r="C721" t="str">
        <f t="shared" si="96"/>
        <v>PRA</v>
      </c>
      <c r="D721">
        <v>8</v>
      </c>
      <c r="E721" t="str">
        <f t="shared" si="97"/>
        <v>773</v>
      </c>
      <c r="F721" t="str">
        <f>"37"</f>
        <v>37</v>
      </c>
    </row>
    <row r="722" spans="1:6">
      <c r="A722" t="str">
        <f>"E928-28"</f>
        <v>E928-28</v>
      </c>
      <c r="B722" t="str">
        <f t="shared" si="98"/>
        <v>VIA ELIO VITTORINI  19-</v>
      </c>
      <c r="C722" t="str">
        <f t="shared" si="96"/>
        <v>PRA</v>
      </c>
      <c r="D722">
        <v>8</v>
      </c>
      <c r="E722" t="str">
        <f t="shared" si="97"/>
        <v>773</v>
      </c>
      <c r="F722" t="str">
        <f>"38"</f>
        <v>38</v>
      </c>
    </row>
    <row r="723" spans="1:6">
      <c r="A723" t="str">
        <f>"E928-29"</f>
        <v>E928-29</v>
      </c>
      <c r="B723" t="str">
        <f t="shared" ref="B723:B735" si="99">"VIA ELIO VITTORINI  21-"</f>
        <v>VIA ELIO VITTORINI  21-</v>
      </c>
      <c r="C723" t="str">
        <f t="shared" si="96"/>
        <v>PRA</v>
      </c>
      <c r="D723">
        <v>8</v>
      </c>
      <c r="E723" t="str">
        <f t="shared" si="97"/>
        <v>773</v>
      </c>
      <c r="F723" t="str">
        <f>"39"</f>
        <v>39</v>
      </c>
    </row>
    <row r="724" spans="1:6">
      <c r="A724" t="str">
        <f>"E928-30"</f>
        <v>E928-30</v>
      </c>
      <c r="B724" t="str">
        <f t="shared" si="99"/>
        <v>VIA ELIO VITTORINI  21-</v>
      </c>
      <c r="C724" t="str">
        <f t="shared" si="96"/>
        <v>PRA</v>
      </c>
      <c r="D724">
        <v>8</v>
      </c>
      <c r="E724" t="str">
        <f t="shared" si="97"/>
        <v>773</v>
      </c>
      <c r="F724" t="str">
        <f>"40"</f>
        <v>40</v>
      </c>
    </row>
    <row r="725" spans="1:6">
      <c r="A725" t="str">
        <f>"E928-31"</f>
        <v>E928-31</v>
      </c>
      <c r="B725" t="str">
        <f t="shared" si="99"/>
        <v>VIA ELIO VITTORINI  21-</v>
      </c>
      <c r="C725" t="str">
        <f t="shared" si="96"/>
        <v>PRA</v>
      </c>
      <c r="D725">
        <v>8</v>
      </c>
      <c r="E725" t="str">
        <f t="shared" si="97"/>
        <v>773</v>
      </c>
      <c r="F725" t="str">
        <f>"41"</f>
        <v>41</v>
      </c>
    </row>
    <row r="726" spans="1:6">
      <c r="A726" t="str">
        <f>"E928-32"</f>
        <v>E928-32</v>
      </c>
      <c r="B726" t="str">
        <f t="shared" si="99"/>
        <v>VIA ELIO VITTORINI  21-</v>
      </c>
      <c r="C726" t="str">
        <f t="shared" si="96"/>
        <v>PRA</v>
      </c>
      <c r="D726">
        <v>8</v>
      </c>
      <c r="E726" t="str">
        <f t="shared" si="97"/>
        <v>773</v>
      </c>
      <c r="F726" t="str">
        <f>"42"</f>
        <v>42</v>
      </c>
    </row>
    <row r="727" spans="1:6">
      <c r="A727" t="str">
        <f>"E928-33"</f>
        <v>E928-33</v>
      </c>
      <c r="B727" t="str">
        <f t="shared" si="99"/>
        <v>VIA ELIO VITTORINI  21-</v>
      </c>
      <c r="C727" t="str">
        <f t="shared" ref="C727:C758" si="100">"PRA"</f>
        <v>PRA</v>
      </c>
      <c r="D727">
        <v>8</v>
      </c>
      <c r="E727" t="str">
        <f t="shared" ref="E727:E758" si="101">"773"</f>
        <v>773</v>
      </c>
      <c r="F727" t="str">
        <f>"43"</f>
        <v>43</v>
      </c>
    </row>
    <row r="728" spans="1:6">
      <c r="A728" t="str">
        <f>"E928-34"</f>
        <v>E928-34</v>
      </c>
      <c r="B728" t="str">
        <f t="shared" si="99"/>
        <v>VIA ELIO VITTORINI  21-</v>
      </c>
      <c r="C728" t="str">
        <f t="shared" si="100"/>
        <v>PRA</v>
      </c>
      <c r="D728">
        <v>8</v>
      </c>
      <c r="E728" t="str">
        <f t="shared" si="101"/>
        <v>773</v>
      </c>
      <c r="F728" t="str">
        <f>"44"</f>
        <v>44</v>
      </c>
    </row>
    <row r="729" spans="1:6">
      <c r="A729" t="str">
        <f>"E928-35"</f>
        <v>E928-35</v>
      </c>
      <c r="B729" t="str">
        <f t="shared" si="99"/>
        <v>VIA ELIO VITTORINI  21-</v>
      </c>
      <c r="C729" t="str">
        <f t="shared" si="100"/>
        <v>PRA</v>
      </c>
      <c r="D729">
        <v>8</v>
      </c>
      <c r="E729" t="str">
        <f t="shared" si="101"/>
        <v>773</v>
      </c>
      <c r="F729" t="str">
        <f>"45"</f>
        <v>45</v>
      </c>
    </row>
    <row r="730" spans="1:6">
      <c r="A730" t="str">
        <f>"E928-36"</f>
        <v>E928-36</v>
      </c>
      <c r="B730" t="str">
        <f t="shared" si="99"/>
        <v>VIA ELIO VITTORINI  21-</v>
      </c>
      <c r="C730" t="str">
        <f t="shared" si="100"/>
        <v>PRA</v>
      </c>
      <c r="D730">
        <v>8</v>
      </c>
      <c r="E730" t="str">
        <f t="shared" si="101"/>
        <v>773</v>
      </c>
      <c r="F730" t="str">
        <f>"46"</f>
        <v>46</v>
      </c>
    </row>
    <row r="731" spans="1:6">
      <c r="A731" t="str">
        <f>"E928-37"</f>
        <v>E928-37</v>
      </c>
      <c r="B731" t="str">
        <f t="shared" si="99"/>
        <v>VIA ELIO VITTORINI  21-</v>
      </c>
      <c r="C731" t="str">
        <f t="shared" si="100"/>
        <v>PRA</v>
      </c>
      <c r="D731">
        <v>8</v>
      </c>
      <c r="E731" t="str">
        <f t="shared" si="101"/>
        <v>773</v>
      </c>
      <c r="F731" t="str">
        <f>"47"</f>
        <v>47</v>
      </c>
    </row>
    <row r="732" spans="1:6">
      <c r="A732" t="str">
        <f>"E928-38"</f>
        <v>E928-38</v>
      </c>
      <c r="B732" t="str">
        <f t="shared" si="99"/>
        <v>VIA ELIO VITTORINI  21-</v>
      </c>
      <c r="C732" t="str">
        <f t="shared" si="100"/>
        <v>PRA</v>
      </c>
      <c r="D732">
        <v>8</v>
      </c>
      <c r="E732" t="str">
        <f t="shared" si="101"/>
        <v>773</v>
      </c>
      <c r="F732" t="str">
        <f>"48"</f>
        <v>48</v>
      </c>
    </row>
    <row r="733" spans="1:6">
      <c r="A733" t="str">
        <f>"E928-39"</f>
        <v>E928-39</v>
      </c>
      <c r="B733" t="str">
        <f t="shared" si="99"/>
        <v>VIA ELIO VITTORINI  21-</v>
      </c>
      <c r="C733" t="str">
        <f t="shared" si="100"/>
        <v>PRA</v>
      </c>
      <c r="D733">
        <v>8</v>
      </c>
      <c r="E733" t="str">
        <f t="shared" si="101"/>
        <v>773</v>
      </c>
      <c r="F733" t="str">
        <f>"49"</f>
        <v>49</v>
      </c>
    </row>
    <row r="734" spans="1:6">
      <c r="A734" t="str">
        <f>"E928-40"</f>
        <v>E928-40</v>
      </c>
      <c r="B734" t="str">
        <f t="shared" si="99"/>
        <v>VIA ELIO VITTORINI  21-</v>
      </c>
      <c r="C734" t="str">
        <f t="shared" si="100"/>
        <v>PRA</v>
      </c>
      <c r="D734">
        <v>8</v>
      </c>
      <c r="E734" t="str">
        <f t="shared" si="101"/>
        <v>773</v>
      </c>
      <c r="F734" t="str">
        <f>"50"</f>
        <v>50</v>
      </c>
    </row>
    <row r="735" spans="1:6">
      <c r="A735" t="str">
        <f>"E928-41"</f>
        <v>E928-41</v>
      </c>
      <c r="B735" t="str">
        <f t="shared" si="99"/>
        <v>VIA ELIO VITTORINI  21-</v>
      </c>
      <c r="C735" t="str">
        <f t="shared" si="100"/>
        <v>PRA</v>
      </c>
      <c r="D735">
        <v>8</v>
      </c>
      <c r="E735" t="str">
        <f t="shared" si="101"/>
        <v>773</v>
      </c>
      <c r="F735" t="str">
        <f>"51"</f>
        <v>51</v>
      </c>
    </row>
    <row r="736" spans="1:6">
      <c r="A736" t="str">
        <f>"E928-42"</f>
        <v>E928-42</v>
      </c>
      <c r="B736" t="str">
        <f t="shared" ref="B736:B747" si="102">"VIA ELIO VITTORINI  23-"</f>
        <v>VIA ELIO VITTORINI  23-</v>
      </c>
      <c r="C736" t="str">
        <f t="shared" si="100"/>
        <v>PRA</v>
      </c>
      <c r="D736">
        <v>8</v>
      </c>
      <c r="E736" t="str">
        <f t="shared" si="101"/>
        <v>773</v>
      </c>
      <c r="F736" t="str">
        <f>"52"</f>
        <v>52</v>
      </c>
    </row>
    <row r="737" spans="1:6">
      <c r="A737" t="str">
        <f>"E928-43"</f>
        <v>E928-43</v>
      </c>
      <c r="B737" t="str">
        <f t="shared" si="102"/>
        <v>VIA ELIO VITTORINI  23-</v>
      </c>
      <c r="C737" t="str">
        <f t="shared" si="100"/>
        <v>PRA</v>
      </c>
      <c r="D737">
        <v>8</v>
      </c>
      <c r="E737" t="str">
        <f t="shared" si="101"/>
        <v>773</v>
      </c>
      <c r="F737" t="str">
        <f>"53"</f>
        <v>53</v>
      </c>
    </row>
    <row r="738" spans="1:6">
      <c r="A738" t="str">
        <f>"E928-44"</f>
        <v>E928-44</v>
      </c>
      <c r="B738" t="str">
        <f t="shared" si="102"/>
        <v>VIA ELIO VITTORINI  23-</v>
      </c>
      <c r="C738" t="str">
        <f t="shared" si="100"/>
        <v>PRA</v>
      </c>
      <c r="D738">
        <v>8</v>
      </c>
      <c r="E738" t="str">
        <f t="shared" si="101"/>
        <v>773</v>
      </c>
      <c r="F738" t="str">
        <f>"54"</f>
        <v>54</v>
      </c>
    </row>
    <row r="739" spans="1:6">
      <c r="A739" t="str">
        <f>"E928-45"</f>
        <v>E928-45</v>
      </c>
      <c r="B739" t="str">
        <f t="shared" si="102"/>
        <v>VIA ELIO VITTORINI  23-</v>
      </c>
      <c r="C739" t="str">
        <f t="shared" si="100"/>
        <v>PRA</v>
      </c>
      <c r="D739">
        <v>8</v>
      </c>
      <c r="E739" t="str">
        <f t="shared" si="101"/>
        <v>773</v>
      </c>
      <c r="F739" t="str">
        <f>"55"</f>
        <v>55</v>
      </c>
    </row>
    <row r="740" spans="1:6">
      <c r="A740" t="str">
        <f>"E928-46"</f>
        <v>E928-46</v>
      </c>
      <c r="B740" t="str">
        <f t="shared" si="102"/>
        <v>VIA ELIO VITTORINI  23-</v>
      </c>
      <c r="C740" t="str">
        <f t="shared" si="100"/>
        <v>PRA</v>
      </c>
      <c r="D740">
        <v>8</v>
      </c>
      <c r="E740" t="str">
        <f t="shared" si="101"/>
        <v>773</v>
      </c>
      <c r="F740" t="str">
        <f>"56"</f>
        <v>56</v>
      </c>
    </row>
    <row r="741" spans="1:6">
      <c r="A741" t="str">
        <f>"E928-47"</f>
        <v>E928-47</v>
      </c>
      <c r="B741" t="str">
        <f t="shared" si="102"/>
        <v>VIA ELIO VITTORINI  23-</v>
      </c>
      <c r="C741" t="str">
        <f t="shared" si="100"/>
        <v>PRA</v>
      </c>
      <c r="D741">
        <v>8</v>
      </c>
      <c r="E741" t="str">
        <f t="shared" si="101"/>
        <v>773</v>
      </c>
      <c r="F741" t="str">
        <f>"57"</f>
        <v>57</v>
      </c>
    </row>
    <row r="742" spans="1:6">
      <c r="A742" t="str">
        <f>"E928-48"</f>
        <v>E928-48</v>
      </c>
      <c r="B742" t="str">
        <f t="shared" si="102"/>
        <v>VIA ELIO VITTORINI  23-</v>
      </c>
      <c r="C742" t="str">
        <f t="shared" si="100"/>
        <v>PRA</v>
      </c>
      <c r="D742">
        <v>8</v>
      </c>
      <c r="E742" t="str">
        <f t="shared" si="101"/>
        <v>773</v>
      </c>
      <c r="F742" t="str">
        <f>"58"</f>
        <v>58</v>
      </c>
    </row>
    <row r="743" spans="1:6">
      <c r="A743" t="str">
        <f>"E928-49"</f>
        <v>E928-49</v>
      </c>
      <c r="B743" t="str">
        <f t="shared" si="102"/>
        <v>VIA ELIO VITTORINI  23-</v>
      </c>
      <c r="C743" t="str">
        <f t="shared" si="100"/>
        <v>PRA</v>
      </c>
      <c r="D743">
        <v>8</v>
      </c>
      <c r="E743" t="str">
        <f t="shared" si="101"/>
        <v>773</v>
      </c>
      <c r="F743" t="str">
        <f>"59"</f>
        <v>59</v>
      </c>
    </row>
    <row r="744" spans="1:6">
      <c r="A744" t="str">
        <f>"E928-50"</f>
        <v>E928-50</v>
      </c>
      <c r="B744" t="str">
        <f t="shared" si="102"/>
        <v>VIA ELIO VITTORINI  23-</v>
      </c>
      <c r="C744" t="str">
        <f t="shared" si="100"/>
        <v>PRA</v>
      </c>
      <c r="D744">
        <v>8</v>
      </c>
      <c r="E744" t="str">
        <f t="shared" si="101"/>
        <v>773</v>
      </c>
      <c r="F744" t="str">
        <f>"60"</f>
        <v>60</v>
      </c>
    </row>
    <row r="745" spans="1:6">
      <c r="A745" t="str">
        <f>"E928-51"</f>
        <v>E928-51</v>
      </c>
      <c r="B745" t="str">
        <f t="shared" si="102"/>
        <v>VIA ELIO VITTORINI  23-</v>
      </c>
      <c r="C745" t="str">
        <f t="shared" si="100"/>
        <v>PRA</v>
      </c>
      <c r="D745">
        <v>8</v>
      </c>
      <c r="E745" t="str">
        <f t="shared" si="101"/>
        <v>773</v>
      </c>
      <c r="F745" t="str">
        <f>"61"</f>
        <v>61</v>
      </c>
    </row>
    <row r="746" spans="1:6">
      <c r="A746" t="str">
        <f>"E928-52"</f>
        <v>E928-52</v>
      </c>
      <c r="B746" t="str">
        <f t="shared" si="102"/>
        <v>VIA ELIO VITTORINI  23-</v>
      </c>
      <c r="C746" t="str">
        <f t="shared" si="100"/>
        <v>PRA</v>
      </c>
      <c r="D746">
        <v>8</v>
      </c>
      <c r="E746" t="str">
        <f t="shared" si="101"/>
        <v>773</v>
      </c>
      <c r="F746" t="str">
        <f>"62"</f>
        <v>62</v>
      </c>
    </row>
    <row r="747" spans="1:6">
      <c r="A747" t="str">
        <f>"E928-53"</f>
        <v>E928-53</v>
      </c>
      <c r="B747" t="str">
        <f t="shared" si="102"/>
        <v>VIA ELIO VITTORINI  23-</v>
      </c>
      <c r="C747" t="str">
        <f t="shared" si="100"/>
        <v>PRA</v>
      </c>
      <c r="D747">
        <v>8</v>
      </c>
      <c r="E747" t="str">
        <f t="shared" si="101"/>
        <v>773</v>
      </c>
      <c r="F747" t="str">
        <f>"63"</f>
        <v>63</v>
      </c>
    </row>
    <row r="748" spans="1:6">
      <c r="A748" t="str">
        <f>"E928-54"</f>
        <v>E928-54</v>
      </c>
      <c r="B748" t="str">
        <f t="shared" ref="B748:B760" si="103">"VIA ELIO VITTORINI  25-"</f>
        <v>VIA ELIO VITTORINI  25-</v>
      </c>
      <c r="C748" t="str">
        <f t="shared" si="100"/>
        <v>PRA</v>
      </c>
      <c r="D748">
        <v>8</v>
      </c>
      <c r="E748" t="str">
        <f t="shared" si="101"/>
        <v>773</v>
      </c>
      <c r="F748" t="str">
        <f>"64"</f>
        <v>64</v>
      </c>
    </row>
    <row r="749" spans="1:6">
      <c r="A749" t="str">
        <f>"E928-55"</f>
        <v>E928-55</v>
      </c>
      <c r="B749" t="str">
        <f t="shared" si="103"/>
        <v>VIA ELIO VITTORINI  25-</v>
      </c>
      <c r="C749" t="str">
        <f t="shared" si="100"/>
        <v>PRA</v>
      </c>
      <c r="D749">
        <v>8</v>
      </c>
      <c r="E749" t="str">
        <f t="shared" si="101"/>
        <v>773</v>
      </c>
      <c r="F749" t="str">
        <f>"65"</f>
        <v>65</v>
      </c>
    </row>
    <row r="750" spans="1:6">
      <c r="A750" t="str">
        <f>"E928-56"</f>
        <v>E928-56</v>
      </c>
      <c r="B750" t="str">
        <f t="shared" si="103"/>
        <v>VIA ELIO VITTORINI  25-</v>
      </c>
      <c r="C750" t="str">
        <f t="shared" si="100"/>
        <v>PRA</v>
      </c>
      <c r="D750">
        <v>8</v>
      </c>
      <c r="E750" t="str">
        <f t="shared" si="101"/>
        <v>773</v>
      </c>
      <c r="F750" t="str">
        <f>"66"</f>
        <v>66</v>
      </c>
    </row>
    <row r="751" spans="1:6">
      <c r="A751" t="str">
        <f>"E928-57"</f>
        <v>E928-57</v>
      </c>
      <c r="B751" t="str">
        <f t="shared" si="103"/>
        <v>VIA ELIO VITTORINI  25-</v>
      </c>
      <c r="C751" t="str">
        <f t="shared" si="100"/>
        <v>PRA</v>
      </c>
      <c r="D751">
        <v>8</v>
      </c>
      <c r="E751" t="str">
        <f t="shared" si="101"/>
        <v>773</v>
      </c>
      <c r="F751" t="str">
        <f>"67"</f>
        <v>67</v>
      </c>
    </row>
    <row r="752" spans="1:6">
      <c r="A752" t="str">
        <f>"E928-58"</f>
        <v>E928-58</v>
      </c>
      <c r="B752" t="str">
        <f t="shared" si="103"/>
        <v>VIA ELIO VITTORINI  25-</v>
      </c>
      <c r="C752" t="str">
        <f t="shared" si="100"/>
        <v>PRA</v>
      </c>
      <c r="D752">
        <v>8</v>
      </c>
      <c r="E752" t="str">
        <f t="shared" si="101"/>
        <v>773</v>
      </c>
      <c r="F752" t="str">
        <f>"68"</f>
        <v>68</v>
      </c>
    </row>
    <row r="753" spans="1:6">
      <c r="A753" t="str">
        <f>"E928-59"</f>
        <v>E928-59</v>
      </c>
      <c r="B753" t="str">
        <f t="shared" si="103"/>
        <v>VIA ELIO VITTORINI  25-</v>
      </c>
      <c r="C753" t="str">
        <f t="shared" si="100"/>
        <v>PRA</v>
      </c>
      <c r="D753">
        <v>8</v>
      </c>
      <c r="E753" t="str">
        <f t="shared" si="101"/>
        <v>773</v>
      </c>
      <c r="F753" t="str">
        <f>"69"</f>
        <v>69</v>
      </c>
    </row>
    <row r="754" spans="1:6">
      <c r="A754" t="str">
        <f>"E928-60"</f>
        <v>E928-60</v>
      </c>
      <c r="B754" t="str">
        <f t="shared" si="103"/>
        <v>VIA ELIO VITTORINI  25-</v>
      </c>
      <c r="C754" t="str">
        <f t="shared" si="100"/>
        <v>PRA</v>
      </c>
      <c r="D754">
        <v>8</v>
      </c>
      <c r="E754" t="str">
        <f t="shared" si="101"/>
        <v>773</v>
      </c>
      <c r="F754" t="str">
        <f>"70"</f>
        <v>70</v>
      </c>
    </row>
    <row r="755" spans="1:6">
      <c r="A755" t="str">
        <f>"E928-61"</f>
        <v>E928-61</v>
      </c>
      <c r="B755" t="str">
        <f t="shared" si="103"/>
        <v>VIA ELIO VITTORINI  25-</v>
      </c>
      <c r="C755" t="str">
        <f t="shared" si="100"/>
        <v>PRA</v>
      </c>
      <c r="D755">
        <v>8</v>
      </c>
      <c r="E755" t="str">
        <f t="shared" si="101"/>
        <v>773</v>
      </c>
      <c r="F755" t="str">
        <f>"71"</f>
        <v>71</v>
      </c>
    </row>
    <row r="756" spans="1:6">
      <c r="A756" t="str">
        <f>"E928-62"</f>
        <v>E928-62</v>
      </c>
      <c r="B756" t="str">
        <f t="shared" si="103"/>
        <v>VIA ELIO VITTORINI  25-</v>
      </c>
      <c r="C756" t="str">
        <f t="shared" si="100"/>
        <v>PRA</v>
      </c>
      <c r="D756">
        <v>8</v>
      </c>
      <c r="E756" t="str">
        <f t="shared" si="101"/>
        <v>773</v>
      </c>
      <c r="F756" t="str">
        <f>"72"</f>
        <v>72</v>
      </c>
    </row>
    <row r="757" spans="1:6">
      <c r="A757" t="str">
        <f>"E928-63"</f>
        <v>E928-63</v>
      </c>
      <c r="B757" t="str">
        <f t="shared" si="103"/>
        <v>VIA ELIO VITTORINI  25-</v>
      </c>
      <c r="C757" t="str">
        <f t="shared" si="100"/>
        <v>PRA</v>
      </c>
      <c r="D757">
        <v>8</v>
      </c>
      <c r="E757" t="str">
        <f t="shared" si="101"/>
        <v>773</v>
      </c>
      <c r="F757" t="str">
        <f>"73"</f>
        <v>73</v>
      </c>
    </row>
    <row r="758" spans="1:6">
      <c r="A758" t="str">
        <f>"E928-64"</f>
        <v>E928-64</v>
      </c>
      <c r="B758" t="str">
        <f t="shared" si="103"/>
        <v>VIA ELIO VITTORINI  25-</v>
      </c>
      <c r="C758" t="str">
        <f t="shared" si="100"/>
        <v>PRA</v>
      </c>
      <c r="D758">
        <v>8</v>
      </c>
      <c r="E758" t="str">
        <f t="shared" si="101"/>
        <v>773</v>
      </c>
      <c r="F758" t="str">
        <f>"74"</f>
        <v>74</v>
      </c>
    </row>
    <row r="759" spans="1:6">
      <c r="A759" t="str">
        <f>"E928-65"</f>
        <v>E928-65</v>
      </c>
      <c r="B759" t="str">
        <f t="shared" si="103"/>
        <v>VIA ELIO VITTORINI  25-</v>
      </c>
      <c r="C759" t="str">
        <f t="shared" ref="C759:C790" si="104">"PRA"</f>
        <v>PRA</v>
      </c>
      <c r="D759">
        <v>8</v>
      </c>
      <c r="E759" t="str">
        <f t="shared" ref="E759:E774" si="105">"773"</f>
        <v>773</v>
      </c>
      <c r="F759" t="str">
        <f>"75"</f>
        <v>75</v>
      </c>
    </row>
    <row r="760" spans="1:6">
      <c r="A760" t="str">
        <f>"E928-66"</f>
        <v>E928-66</v>
      </c>
      <c r="B760" t="str">
        <f t="shared" si="103"/>
        <v>VIA ELIO VITTORINI  25-</v>
      </c>
      <c r="C760" t="str">
        <f t="shared" si="104"/>
        <v>PRA</v>
      </c>
      <c r="D760">
        <v>8</v>
      </c>
      <c r="E760" t="str">
        <f t="shared" si="105"/>
        <v>773</v>
      </c>
      <c r="F760" t="str">
        <f>"76"</f>
        <v>76</v>
      </c>
    </row>
    <row r="761" spans="1:6">
      <c r="A761" t="str">
        <f>"E928-67"</f>
        <v>E928-67</v>
      </c>
      <c r="B761" t="str">
        <f t="shared" ref="B761:B774" si="106">"VIA ELIO VITTORINI  27-"</f>
        <v>VIA ELIO VITTORINI  27-</v>
      </c>
      <c r="C761" t="str">
        <f t="shared" si="104"/>
        <v>PRA</v>
      </c>
      <c r="D761">
        <v>8</v>
      </c>
      <c r="E761" t="str">
        <f t="shared" si="105"/>
        <v>773</v>
      </c>
      <c r="F761" t="str">
        <f>"77"</f>
        <v>77</v>
      </c>
    </row>
    <row r="762" spans="1:6">
      <c r="A762" t="str">
        <f>"E928-68"</f>
        <v>E928-68</v>
      </c>
      <c r="B762" t="str">
        <f t="shared" si="106"/>
        <v>VIA ELIO VITTORINI  27-</v>
      </c>
      <c r="C762" t="str">
        <f t="shared" si="104"/>
        <v>PRA</v>
      </c>
      <c r="D762">
        <v>8</v>
      </c>
      <c r="E762" t="str">
        <f t="shared" si="105"/>
        <v>773</v>
      </c>
      <c r="F762" t="str">
        <f>"78"</f>
        <v>78</v>
      </c>
    </row>
    <row r="763" spans="1:6">
      <c r="A763" t="str">
        <f>"E928-69"</f>
        <v>E928-69</v>
      </c>
      <c r="B763" t="str">
        <f t="shared" si="106"/>
        <v>VIA ELIO VITTORINI  27-</v>
      </c>
      <c r="C763" t="str">
        <f t="shared" si="104"/>
        <v>PRA</v>
      </c>
      <c r="D763">
        <v>8</v>
      </c>
      <c r="E763" t="str">
        <f t="shared" si="105"/>
        <v>773</v>
      </c>
      <c r="F763" t="str">
        <f>"79"</f>
        <v>79</v>
      </c>
    </row>
    <row r="764" spans="1:6">
      <c r="A764" t="str">
        <f>"E928-70"</f>
        <v>E928-70</v>
      </c>
      <c r="B764" t="str">
        <f t="shared" si="106"/>
        <v>VIA ELIO VITTORINI  27-</v>
      </c>
      <c r="C764" t="str">
        <f t="shared" si="104"/>
        <v>PRA</v>
      </c>
      <c r="D764">
        <v>8</v>
      </c>
      <c r="E764" t="str">
        <f t="shared" si="105"/>
        <v>773</v>
      </c>
      <c r="F764" t="str">
        <f>"80"</f>
        <v>80</v>
      </c>
    </row>
    <row r="765" spans="1:6">
      <c r="A765" t="str">
        <f>"E928-71"</f>
        <v>E928-71</v>
      </c>
      <c r="B765" t="str">
        <f t="shared" si="106"/>
        <v>VIA ELIO VITTORINI  27-</v>
      </c>
      <c r="C765" t="str">
        <f t="shared" si="104"/>
        <v>PRA</v>
      </c>
      <c r="D765">
        <v>8</v>
      </c>
      <c r="E765" t="str">
        <f t="shared" si="105"/>
        <v>773</v>
      </c>
      <c r="F765" t="str">
        <f>"81"</f>
        <v>81</v>
      </c>
    </row>
    <row r="766" spans="1:6">
      <c r="A766" t="str">
        <f>"E928-72"</f>
        <v>E928-72</v>
      </c>
      <c r="B766" t="str">
        <f t="shared" si="106"/>
        <v>VIA ELIO VITTORINI  27-</v>
      </c>
      <c r="C766" t="str">
        <f t="shared" si="104"/>
        <v>PRA</v>
      </c>
      <c r="D766">
        <v>8</v>
      </c>
      <c r="E766" t="str">
        <f t="shared" si="105"/>
        <v>773</v>
      </c>
      <c r="F766" t="str">
        <f>"82"</f>
        <v>82</v>
      </c>
    </row>
    <row r="767" spans="1:6">
      <c r="A767" t="str">
        <f>"E928-73"</f>
        <v>E928-73</v>
      </c>
      <c r="B767" t="str">
        <f t="shared" si="106"/>
        <v>VIA ELIO VITTORINI  27-</v>
      </c>
      <c r="C767" t="str">
        <f t="shared" si="104"/>
        <v>PRA</v>
      </c>
      <c r="D767">
        <v>8</v>
      </c>
      <c r="E767" t="str">
        <f t="shared" si="105"/>
        <v>773</v>
      </c>
      <c r="F767" t="str">
        <f>"83"</f>
        <v>83</v>
      </c>
    </row>
    <row r="768" spans="1:6">
      <c r="A768" t="str">
        <f>"E928-74"</f>
        <v>E928-74</v>
      </c>
      <c r="B768" t="str">
        <f t="shared" si="106"/>
        <v>VIA ELIO VITTORINI  27-</v>
      </c>
      <c r="C768" t="str">
        <f t="shared" si="104"/>
        <v>PRA</v>
      </c>
      <c r="D768">
        <v>8</v>
      </c>
      <c r="E768" t="str">
        <f t="shared" si="105"/>
        <v>773</v>
      </c>
      <c r="F768" t="str">
        <f>"84"</f>
        <v>84</v>
      </c>
    </row>
    <row r="769" spans="1:6">
      <c r="A769" t="str">
        <f>"E928-75"</f>
        <v>E928-75</v>
      </c>
      <c r="B769" t="str">
        <f t="shared" si="106"/>
        <v>VIA ELIO VITTORINI  27-</v>
      </c>
      <c r="C769" t="str">
        <f t="shared" si="104"/>
        <v>PRA</v>
      </c>
      <c r="D769">
        <v>8</v>
      </c>
      <c r="E769" t="str">
        <f t="shared" si="105"/>
        <v>773</v>
      </c>
      <c r="F769" t="str">
        <f>"85"</f>
        <v>85</v>
      </c>
    </row>
    <row r="770" spans="1:6">
      <c r="A770" t="str">
        <f>"E928-76"</f>
        <v>E928-76</v>
      </c>
      <c r="B770" t="str">
        <f t="shared" si="106"/>
        <v>VIA ELIO VITTORINI  27-</v>
      </c>
      <c r="C770" t="str">
        <f t="shared" si="104"/>
        <v>PRA</v>
      </c>
      <c r="D770">
        <v>8</v>
      </c>
      <c r="E770" t="str">
        <f t="shared" si="105"/>
        <v>773</v>
      </c>
      <c r="F770" t="str">
        <f>"86"</f>
        <v>86</v>
      </c>
    </row>
    <row r="771" spans="1:6">
      <c r="A771" t="str">
        <f>"E928-77"</f>
        <v>E928-77</v>
      </c>
      <c r="B771" t="str">
        <f t="shared" si="106"/>
        <v>VIA ELIO VITTORINI  27-</v>
      </c>
      <c r="C771" t="str">
        <f t="shared" si="104"/>
        <v>PRA</v>
      </c>
      <c r="D771">
        <v>8</v>
      </c>
      <c r="E771" t="str">
        <f t="shared" si="105"/>
        <v>773</v>
      </c>
      <c r="F771" t="str">
        <f>"87"</f>
        <v>87</v>
      </c>
    </row>
    <row r="772" spans="1:6">
      <c r="A772" t="str">
        <f>"E928-78"</f>
        <v>E928-78</v>
      </c>
      <c r="B772" t="str">
        <f t="shared" si="106"/>
        <v>VIA ELIO VITTORINI  27-</v>
      </c>
      <c r="C772" t="str">
        <f t="shared" si="104"/>
        <v>PRA</v>
      </c>
      <c r="D772">
        <v>8</v>
      </c>
      <c r="E772" t="str">
        <f t="shared" si="105"/>
        <v>773</v>
      </c>
      <c r="F772" t="str">
        <f>"88"</f>
        <v>88</v>
      </c>
    </row>
    <row r="773" spans="1:6">
      <c r="A773" t="str">
        <f>"E928-79"</f>
        <v>E928-79</v>
      </c>
      <c r="B773" t="str">
        <f t="shared" si="106"/>
        <v>VIA ELIO VITTORINI  27-</v>
      </c>
      <c r="C773" t="str">
        <f t="shared" si="104"/>
        <v>PRA</v>
      </c>
      <c r="D773">
        <v>8</v>
      </c>
      <c r="E773" t="str">
        <f t="shared" si="105"/>
        <v>773</v>
      </c>
      <c r="F773" t="str">
        <f>"89"</f>
        <v>89</v>
      </c>
    </row>
    <row r="774" spans="1:6">
      <c r="A774" t="str">
        <f>"E928-80"</f>
        <v>E928-80</v>
      </c>
      <c r="B774" t="str">
        <f t="shared" si="106"/>
        <v>VIA ELIO VITTORINI  27-</v>
      </c>
      <c r="C774" t="str">
        <f t="shared" si="104"/>
        <v>PRA</v>
      </c>
      <c r="D774">
        <v>8</v>
      </c>
      <c r="E774" t="str">
        <f t="shared" si="105"/>
        <v>773</v>
      </c>
      <c r="F774" t="str">
        <f>"90"</f>
        <v>90</v>
      </c>
    </row>
    <row r="775" spans="1:6">
      <c r="A775" t="str">
        <f>"E929-1"</f>
        <v>E929-1</v>
      </c>
      <c r="B775" t="str">
        <f>"VIA ELIO VITTORINI  138-"</f>
        <v>VIA ELIO VITTORINI  138-</v>
      </c>
      <c r="C775" t="str">
        <f t="shared" si="104"/>
        <v>PRA</v>
      </c>
      <c r="D775">
        <v>8</v>
      </c>
      <c r="E775" t="str">
        <f t="shared" ref="E775:E806" si="107">"774"</f>
        <v>774</v>
      </c>
      <c r="F775" t="str">
        <f>"2"</f>
        <v>2</v>
      </c>
    </row>
    <row r="776" spans="1:6">
      <c r="A776" t="str">
        <f>"E929-2"</f>
        <v>E929-2</v>
      </c>
      <c r="B776" t="str">
        <f>"VIA ELIO VITTORINI  138-"</f>
        <v>VIA ELIO VITTORINI  138-</v>
      </c>
      <c r="C776" t="str">
        <f t="shared" si="104"/>
        <v>PRA</v>
      </c>
      <c r="D776">
        <v>8</v>
      </c>
      <c r="E776" t="str">
        <f t="shared" si="107"/>
        <v>774</v>
      </c>
      <c r="F776" t="str">
        <f>"3"</f>
        <v>3</v>
      </c>
    </row>
    <row r="777" spans="1:6">
      <c r="A777" t="str">
        <f>"E929-3"</f>
        <v>E929-3</v>
      </c>
      <c r="B777" t="str">
        <f>"VIA ELIO VITTORINI  138-"</f>
        <v>VIA ELIO VITTORINI  138-</v>
      </c>
      <c r="C777" t="str">
        <f t="shared" si="104"/>
        <v>PRA</v>
      </c>
      <c r="D777">
        <v>8</v>
      </c>
      <c r="E777" t="str">
        <f t="shared" si="107"/>
        <v>774</v>
      </c>
      <c r="F777" t="str">
        <f>"4"</f>
        <v>4</v>
      </c>
    </row>
    <row r="778" spans="1:6">
      <c r="A778" t="str">
        <f>"E929-4"</f>
        <v>E929-4</v>
      </c>
      <c r="B778" t="str">
        <f>"VIA ELIO VITTORINI  138-"</f>
        <v>VIA ELIO VITTORINI  138-</v>
      </c>
      <c r="C778" t="str">
        <f t="shared" si="104"/>
        <v>PRA</v>
      </c>
      <c r="D778">
        <v>8</v>
      </c>
      <c r="E778" t="str">
        <f t="shared" si="107"/>
        <v>774</v>
      </c>
      <c r="F778" t="str">
        <f>"5"</f>
        <v>5</v>
      </c>
    </row>
    <row r="779" spans="1:6">
      <c r="A779" t="str">
        <f>"E929-5"</f>
        <v>E929-5</v>
      </c>
      <c r="B779" t="str">
        <f>"VIA ELIO VITTORINI  140-"</f>
        <v>VIA ELIO VITTORINI  140-</v>
      </c>
      <c r="C779" t="str">
        <f t="shared" si="104"/>
        <v>PRA</v>
      </c>
      <c r="D779">
        <v>8</v>
      </c>
      <c r="E779" t="str">
        <f t="shared" si="107"/>
        <v>774</v>
      </c>
      <c r="F779" t="str">
        <f>"7"</f>
        <v>7</v>
      </c>
    </row>
    <row r="780" spans="1:6">
      <c r="A780" t="str">
        <f>"E929-6"</f>
        <v>E929-6</v>
      </c>
      <c r="B780" t="str">
        <f>"VIA ELIO VITTORINI  140-"</f>
        <v>VIA ELIO VITTORINI  140-</v>
      </c>
      <c r="C780" t="str">
        <f t="shared" si="104"/>
        <v>PRA</v>
      </c>
      <c r="D780">
        <v>8</v>
      </c>
      <c r="E780" t="str">
        <f t="shared" si="107"/>
        <v>774</v>
      </c>
      <c r="F780" t="str">
        <f>"8"</f>
        <v>8</v>
      </c>
    </row>
    <row r="781" spans="1:6">
      <c r="A781" t="str">
        <f>"E929-7"</f>
        <v>E929-7</v>
      </c>
      <c r="B781" t="str">
        <f>"VIA ELIO VITTORINI  140-"</f>
        <v>VIA ELIO VITTORINI  140-</v>
      </c>
      <c r="C781" t="str">
        <f t="shared" si="104"/>
        <v>PRA</v>
      </c>
      <c r="D781">
        <v>8</v>
      </c>
      <c r="E781" t="str">
        <f t="shared" si="107"/>
        <v>774</v>
      </c>
      <c r="F781" t="str">
        <f>"9"</f>
        <v>9</v>
      </c>
    </row>
    <row r="782" spans="1:6">
      <c r="A782" t="str">
        <f>"E929-8"</f>
        <v>E929-8</v>
      </c>
      <c r="B782" t="str">
        <f>"VIA ELIO VITTORINI  140-"</f>
        <v>VIA ELIO VITTORINI  140-</v>
      </c>
      <c r="C782" t="str">
        <f t="shared" si="104"/>
        <v>PRA</v>
      </c>
      <c r="D782">
        <v>8</v>
      </c>
      <c r="E782" t="str">
        <f t="shared" si="107"/>
        <v>774</v>
      </c>
      <c r="F782" t="str">
        <f>"10"</f>
        <v>10</v>
      </c>
    </row>
    <row r="783" spans="1:6">
      <c r="A783" t="str">
        <f>"E929-9"</f>
        <v>E929-9</v>
      </c>
      <c r="B783" t="str">
        <f t="shared" ref="B783:B788" si="108">"VIA ELIO VITTORINI  136-"</f>
        <v>VIA ELIO VITTORINI  136-</v>
      </c>
      <c r="C783" t="str">
        <f t="shared" si="104"/>
        <v>PRA</v>
      </c>
      <c r="D783">
        <v>8</v>
      </c>
      <c r="E783" t="str">
        <f t="shared" si="107"/>
        <v>774</v>
      </c>
      <c r="F783" t="str">
        <f>"12"</f>
        <v>12</v>
      </c>
    </row>
    <row r="784" spans="1:6">
      <c r="A784" t="str">
        <f>"E929-10"</f>
        <v>E929-10</v>
      </c>
      <c r="B784" t="str">
        <f t="shared" si="108"/>
        <v>VIA ELIO VITTORINI  136-</v>
      </c>
      <c r="C784" t="str">
        <f t="shared" si="104"/>
        <v>PRA</v>
      </c>
      <c r="D784">
        <v>8</v>
      </c>
      <c r="E784" t="str">
        <f t="shared" si="107"/>
        <v>774</v>
      </c>
      <c r="F784" t="str">
        <f>"13"</f>
        <v>13</v>
      </c>
    </row>
    <row r="785" spans="1:6">
      <c r="A785" t="str">
        <f>"E929-11"</f>
        <v>E929-11</v>
      </c>
      <c r="B785" t="str">
        <f t="shared" si="108"/>
        <v>VIA ELIO VITTORINI  136-</v>
      </c>
      <c r="C785" t="str">
        <f t="shared" si="104"/>
        <v>PRA</v>
      </c>
      <c r="D785">
        <v>8</v>
      </c>
      <c r="E785" t="str">
        <f t="shared" si="107"/>
        <v>774</v>
      </c>
      <c r="F785" t="str">
        <f>"14"</f>
        <v>14</v>
      </c>
    </row>
    <row r="786" spans="1:6">
      <c r="A786" t="str">
        <f>"E929-12"</f>
        <v>E929-12</v>
      </c>
      <c r="B786" t="str">
        <f t="shared" si="108"/>
        <v>VIA ELIO VITTORINI  136-</v>
      </c>
      <c r="C786" t="str">
        <f t="shared" si="104"/>
        <v>PRA</v>
      </c>
      <c r="D786">
        <v>8</v>
      </c>
      <c r="E786" t="str">
        <f t="shared" si="107"/>
        <v>774</v>
      </c>
      <c r="F786" t="str">
        <f>"15"</f>
        <v>15</v>
      </c>
    </row>
    <row r="787" spans="1:6">
      <c r="A787" t="str">
        <f>"E929-13"</f>
        <v>E929-13</v>
      </c>
      <c r="B787" t="str">
        <f t="shared" si="108"/>
        <v>VIA ELIO VITTORINI  136-</v>
      </c>
      <c r="C787" t="str">
        <f t="shared" si="104"/>
        <v>PRA</v>
      </c>
      <c r="D787">
        <v>8</v>
      </c>
      <c r="E787" t="str">
        <f t="shared" si="107"/>
        <v>774</v>
      </c>
      <c r="F787" t="str">
        <f>"16"</f>
        <v>16</v>
      </c>
    </row>
    <row r="788" spans="1:6">
      <c r="A788" t="str">
        <f>"E929-14"</f>
        <v>E929-14</v>
      </c>
      <c r="B788" t="str">
        <f t="shared" si="108"/>
        <v>VIA ELIO VITTORINI  136-</v>
      </c>
      <c r="C788" t="str">
        <f t="shared" si="104"/>
        <v>PRA</v>
      </c>
      <c r="D788">
        <v>8</v>
      </c>
      <c r="E788" t="str">
        <f t="shared" si="107"/>
        <v>774</v>
      </c>
      <c r="F788" t="str">
        <f>"17"</f>
        <v>17</v>
      </c>
    </row>
    <row r="789" spans="1:6">
      <c r="A789" t="str">
        <f>"E929-15"</f>
        <v>E929-15</v>
      </c>
      <c r="B789" t="str">
        <f t="shared" ref="B789:B794" si="109">"VIA ELIO VITTORINI  142-"</f>
        <v>VIA ELIO VITTORINI  142-</v>
      </c>
      <c r="C789" t="str">
        <f t="shared" si="104"/>
        <v>PRA</v>
      </c>
      <c r="D789">
        <v>8</v>
      </c>
      <c r="E789" t="str">
        <f t="shared" si="107"/>
        <v>774</v>
      </c>
      <c r="F789" t="str">
        <f>"19"</f>
        <v>19</v>
      </c>
    </row>
    <row r="790" spans="1:6">
      <c r="A790" t="str">
        <f>"E929-16"</f>
        <v>E929-16</v>
      </c>
      <c r="B790" t="str">
        <f t="shared" si="109"/>
        <v>VIA ELIO VITTORINI  142-</v>
      </c>
      <c r="C790" t="str">
        <f t="shared" si="104"/>
        <v>PRA</v>
      </c>
      <c r="D790">
        <v>8</v>
      </c>
      <c r="E790" t="str">
        <f t="shared" si="107"/>
        <v>774</v>
      </c>
      <c r="F790" t="str">
        <f>"20"</f>
        <v>20</v>
      </c>
    </row>
    <row r="791" spans="1:6">
      <c r="A791" t="str">
        <f>"E929-17"</f>
        <v>E929-17</v>
      </c>
      <c r="B791" t="str">
        <f t="shared" si="109"/>
        <v>VIA ELIO VITTORINI  142-</v>
      </c>
      <c r="C791" t="str">
        <f t="shared" ref="C791:C812" si="110">"PRA"</f>
        <v>PRA</v>
      </c>
      <c r="D791">
        <v>8</v>
      </c>
      <c r="E791" t="str">
        <f t="shared" si="107"/>
        <v>774</v>
      </c>
      <c r="F791" t="str">
        <f>"21"</f>
        <v>21</v>
      </c>
    </row>
    <row r="792" spans="1:6">
      <c r="A792" t="str">
        <f>"E929-18"</f>
        <v>E929-18</v>
      </c>
      <c r="B792" t="str">
        <f t="shared" si="109"/>
        <v>VIA ELIO VITTORINI  142-</v>
      </c>
      <c r="C792" t="str">
        <f t="shared" si="110"/>
        <v>PRA</v>
      </c>
      <c r="D792">
        <v>8</v>
      </c>
      <c r="E792" t="str">
        <f t="shared" si="107"/>
        <v>774</v>
      </c>
      <c r="F792" t="str">
        <f>"22"</f>
        <v>22</v>
      </c>
    </row>
    <row r="793" spans="1:6">
      <c r="A793" t="str">
        <f>"E929-19"</f>
        <v>E929-19</v>
      </c>
      <c r="B793" t="str">
        <f t="shared" si="109"/>
        <v>VIA ELIO VITTORINI  142-</v>
      </c>
      <c r="C793" t="str">
        <f t="shared" si="110"/>
        <v>PRA</v>
      </c>
      <c r="D793">
        <v>8</v>
      </c>
      <c r="E793" t="str">
        <f t="shared" si="107"/>
        <v>774</v>
      </c>
      <c r="F793" t="str">
        <f>"23"</f>
        <v>23</v>
      </c>
    </row>
    <row r="794" spans="1:6">
      <c r="A794" t="str">
        <f>"E929-20"</f>
        <v>E929-20</v>
      </c>
      <c r="B794" t="str">
        <f t="shared" si="109"/>
        <v>VIA ELIO VITTORINI  142-</v>
      </c>
      <c r="C794" t="str">
        <f t="shared" si="110"/>
        <v>PRA</v>
      </c>
      <c r="D794">
        <v>8</v>
      </c>
      <c r="E794" t="str">
        <f t="shared" si="107"/>
        <v>774</v>
      </c>
      <c r="F794" t="str">
        <f>"24"</f>
        <v>24</v>
      </c>
    </row>
    <row r="795" spans="1:6">
      <c r="A795" t="str">
        <f>"E929-21"</f>
        <v>E929-21</v>
      </c>
      <c r="B795" t="str">
        <f t="shared" ref="B795:B800" si="111">"VIA ELIO VITTORINI  134-"</f>
        <v>VIA ELIO VITTORINI  134-</v>
      </c>
      <c r="C795" t="str">
        <f t="shared" si="110"/>
        <v>PRA</v>
      </c>
      <c r="D795">
        <v>8</v>
      </c>
      <c r="E795" t="str">
        <f t="shared" si="107"/>
        <v>774</v>
      </c>
      <c r="F795" t="str">
        <f>"26"</f>
        <v>26</v>
      </c>
    </row>
    <row r="796" spans="1:6">
      <c r="A796" t="str">
        <f>"E929-22"</f>
        <v>E929-22</v>
      </c>
      <c r="B796" t="str">
        <f t="shared" si="111"/>
        <v>VIA ELIO VITTORINI  134-</v>
      </c>
      <c r="C796" t="str">
        <f t="shared" si="110"/>
        <v>PRA</v>
      </c>
      <c r="D796">
        <v>8</v>
      </c>
      <c r="E796" t="str">
        <f t="shared" si="107"/>
        <v>774</v>
      </c>
      <c r="F796" t="str">
        <f>"27"</f>
        <v>27</v>
      </c>
    </row>
    <row r="797" spans="1:6">
      <c r="A797" t="str">
        <f>"E929-23"</f>
        <v>E929-23</v>
      </c>
      <c r="B797" t="str">
        <f t="shared" si="111"/>
        <v>VIA ELIO VITTORINI  134-</v>
      </c>
      <c r="C797" t="str">
        <f t="shared" si="110"/>
        <v>PRA</v>
      </c>
      <c r="D797">
        <v>8</v>
      </c>
      <c r="E797" t="str">
        <f t="shared" si="107"/>
        <v>774</v>
      </c>
      <c r="F797" t="str">
        <f>"28"</f>
        <v>28</v>
      </c>
    </row>
    <row r="798" spans="1:6">
      <c r="A798" t="str">
        <f>"E929-24"</f>
        <v>E929-24</v>
      </c>
      <c r="B798" t="str">
        <f t="shared" si="111"/>
        <v>VIA ELIO VITTORINI  134-</v>
      </c>
      <c r="C798" t="str">
        <f t="shared" si="110"/>
        <v>PRA</v>
      </c>
      <c r="D798">
        <v>8</v>
      </c>
      <c r="E798" t="str">
        <f t="shared" si="107"/>
        <v>774</v>
      </c>
      <c r="F798" t="str">
        <f>"29"</f>
        <v>29</v>
      </c>
    </row>
    <row r="799" spans="1:6">
      <c r="A799" t="str">
        <f>"E929-25"</f>
        <v>E929-25</v>
      </c>
      <c r="B799" t="str">
        <f t="shared" si="111"/>
        <v>VIA ELIO VITTORINI  134-</v>
      </c>
      <c r="C799" t="str">
        <f t="shared" si="110"/>
        <v>PRA</v>
      </c>
      <c r="D799">
        <v>8</v>
      </c>
      <c r="E799" t="str">
        <f t="shared" si="107"/>
        <v>774</v>
      </c>
      <c r="F799" t="str">
        <f>"30"</f>
        <v>30</v>
      </c>
    </row>
    <row r="800" spans="1:6">
      <c r="A800" t="str">
        <f>"E929-26"</f>
        <v>E929-26</v>
      </c>
      <c r="B800" t="str">
        <f t="shared" si="111"/>
        <v>VIA ELIO VITTORINI  134-</v>
      </c>
      <c r="C800" t="str">
        <f t="shared" si="110"/>
        <v>PRA</v>
      </c>
      <c r="D800">
        <v>8</v>
      </c>
      <c r="E800" t="str">
        <f t="shared" si="107"/>
        <v>774</v>
      </c>
      <c r="F800" t="str">
        <f>"31"</f>
        <v>31</v>
      </c>
    </row>
    <row r="801" spans="1:6">
      <c r="A801" t="str">
        <f>"E929-27"</f>
        <v>E929-27</v>
      </c>
      <c r="B801" t="str">
        <f t="shared" ref="B801:B806" si="112">"VIA ELIO VITTORINI  144-"</f>
        <v>VIA ELIO VITTORINI  144-</v>
      </c>
      <c r="C801" t="str">
        <f t="shared" si="110"/>
        <v>PRA</v>
      </c>
      <c r="D801">
        <v>8</v>
      </c>
      <c r="E801" t="str">
        <f t="shared" si="107"/>
        <v>774</v>
      </c>
      <c r="F801" t="str">
        <f>"33"</f>
        <v>33</v>
      </c>
    </row>
    <row r="802" spans="1:6">
      <c r="A802" t="str">
        <f>"E929-28"</f>
        <v>E929-28</v>
      </c>
      <c r="B802" t="str">
        <f t="shared" si="112"/>
        <v>VIA ELIO VITTORINI  144-</v>
      </c>
      <c r="C802" t="str">
        <f t="shared" si="110"/>
        <v>PRA</v>
      </c>
      <c r="D802">
        <v>8</v>
      </c>
      <c r="E802" t="str">
        <f t="shared" si="107"/>
        <v>774</v>
      </c>
      <c r="F802" t="str">
        <f>"34"</f>
        <v>34</v>
      </c>
    </row>
    <row r="803" spans="1:6">
      <c r="A803" t="str">
        <f>"E929-29"</f>
        <v>E929-29</v>
      </c>
      <c r="B803" t="str">
        <f t="shared" si="112"/>
        <v>VIA ELIO VITTORINI  144-</v>
      </c>
      <c r="C803" t="str">
        <f t="shared" si="110"/>
        <v>PRA</v>
      </c>
      <c r="D803">
        <v>8</v>
      </c>
      <c r="E803" t="str">
        <f t="shared" si="107"/>
        <v>774</v>
      </c>
      <c r="F803" t="str">
        <f>"35"</f>
        <v>35</v>
      </c>
    </row>
    <row r="804" spans="1:6">
      <c r="A804" t="str">
        <f>"E929-30"</f>
        <v>E929-30</v>
      </c>
      <c r="B804" t="str">
        <f t="shared" si="112"/>
        <v>VIA ELIO VITTORINI  144-</v>
      </c>
      <c r="C804" t="str">
        <f t="shared" si="110"/>
        <v>PRA</v>
      </c>
      <c r="D804">
        <v>8</v>
      </c>
      <c r="E804" t="str">
        <f t="shared" si="107"/>
        <v>774</v>
      </c>
      <c r="F804" t="str">
        <f>"36"</f>
        <v>36</v>
      </c>
    </row>
    <row r="805" spans="1:6">
      <c r="A805" t="str">
        <f>"E929-31"</f>
        <v>E929-31</v>
      </c>
      <c r="B805" t="str">
        <f t="shared" si="112"/>
        <v>VIA ELIO VITTORINI  144-</v>
      </c>
      <c r="C805" t="str">
        <f t="shared" si="110"/>
        <v>PRA</v>
      </c>
      <c r="D805">
        <v>8</v>
      </c>
      <c r="E805" t="str">
        <f t="shared" si="107"/>
        <v>774</v>
      </c>
      <c r="F805" t="str">
        <f>"37"</f>
        <v>37</v>
      </c>
    </row>
    <row r="806" spans="1:6">
      <c r="A806" t="str">
        <f>"E929-32"</f>
        <v>E929-32</v>
      </c>
      <c r="B806" t="str">
        <f t="shared" si="112"/>
        <v>VIA ELIO VITTORINI  144-</v>
      </c>
      <c r="C806" t="str">
        <f t="shared" si="110"/>
        <v>PRA</v>
      </c>
      <c r="D806">
        <v>8</v>
      </c>
      <c r="E806" t="str">
        <f t="shared" si="107"/>
        <v>774</v>
      </c>
      <c r="F806" t="str">
        <f>"38"</f>
        <v>38</v>
      </c>
    </row>
    <row r="807" spans="1:6">
      <c r="A807" t="str">
        <f>"E929-33"</f>
        <v>E929-33</v>
      </c>
      <c r="B807" t="str">
        <f>"VIA ELIO VITTORINI  130-"</f>
        <v>VIA ELIO VITTORINI  130-</v>
      </c>
      <c r="C807" t="str">
        <f t="shared" si="110"/>
        <v>PRA</v>
      </c>
      <c r="D807">
        <v>8</v>
      </c>
      <c r="E807" t="str">
        <f t="shared" ref="E807:E838" si="113">"774"</f>
        <v>774</v>
      </c>
      <c r="F807" t="str">
        <f>"139"</f>
        <v>139</v>
      </c>
    </row>
    <row r="808" spans="1:6">
      <c r="A808" t="str">
        <f>"E929-36"</f>
        <v>E929-36</v>
      </c>
      <c r="B808" t="str">
        <f t="shared" ref="B808:B819" si="114">"VIA ELIO VITTORINI  148-"</f>
        <v>VIA ELIO VITTORINI  148-</v>
      </c>
      <c r="C808" t="str">
        <f t="shared" si="110"/>
        <v>PRA</v>
      </c>
      <c r="D808">
        <v>8</v>
      </c>
      <c r="E808" t="str">
        <f t="shared" si="113"/>
        <v>774</v>
      </c>
      <c r="F808" t="str">
        <f>"85"</f>
        <v>85</v>
      </c>
    </row>
    <row r="809" spans="1:6">
      <c r="A809" t="str">
        <f>"E929-39"</f>
        <v>E929-39</v>
      </c>
      <c r="B809" t="str">
        <f t="shared" si="114"/>
        <v>VIA ELIO VITTORINI  148-</v>
      </c>
      <c r="C809" t="str">
        <f t="shared" si="110"/>
        <v>PRA</v>
      </c>
      <c r="D809">
        <v>8</v>
      </c>
      <c r="E809" t="str">
        <f t="shared" si="113"/>
        <v>774</v>
      </c>
      <c r="F809" t="str">
        <f>"83"</f>
        <v>83</v>
      </c>
    </row>
    <row r="810" spans="1:6">
      <c r="A810" t="str">
        <f>"E929-42"</f>
        <v>E929-42</v>
      </c>
      <c r="B810" t="str">
        <f t="shared" si="114"/>
        <v>VIA ELIO VITTORINI  148-</v>
      </c>
      <c r="C810" t="str">
        <f t="shared" si="110"/>
        <v>PRA</v>
      </c>
      <c r="D810">
        <v>8</v>
      </c>
      <c r="E810" t="str">
        <f t="shared" si="113"/>
        <v>774</v>
      </c>
      <c r="F810" t="str">
        <f>"81"</f>
        <v>81</v>
      </c>
    </row>
    <row r="811" spans="1:6">
      <c r="A811" t="str">
        <f>"E929-45"</f>
        <v>E929-45</v>
      </c>
      <c r="B811" t="str">
        <f t="shared" si="114"/>
        <v>VIA ELIO VITTORINI  148-</v>
      </c>
      <c r="C811" t="str">
        <f t="shared" si="110"/>
        <v>PRA</v>
      </c>
      <c r="D811">
        <v>8</v>
      </c>
      <c r="E811" t="str">
        <f t="shared" si="113"/>
        <v>774</v>
      </c>
      <c r="F811" t="str">
        <f>"79"</f>
        <v>79</v>
      </c>
    </row>
    <row r="812" spans="1:6">
      <c r="A812" t="str">
        <f>"E929-48"</f>
        <v>E929-48</v>
      </c>
      <c r="B812" t="str">
        <f t="shared" si="114"/>
        <v>VIA ELIO VITTORINI  148-</v>
      </c>
      <c r="C812" t="str">
        <f t="shared" si="110"/>
        <v>PRA</v>
      </c>
      <c r="D812">
        <v>8</v>
      </c>
      <c r="E812" t="str">
        <f t="shared" si="113"/>
        <v>774</v>
      </c>
      <c r="F812" t="str">
        <f>"77"</f>
        <v>77</v>
      </c>
    </row>
    <row r="813" spans="1:6">
      <c r="A813" t="str">
        <f>"E929-51"</f>
        <v>E929-51</v>
      </c>
      <c r="B813" t="str">
        <f t="shared" si="114"/>
        <v>VIA ELIO VITTORINI  148-</v>
      </c>
      <c r="C813" t="str">
        <f>"3"</f>
        <v>3</v>
      </c>
      <c r="D813">
        <v>8</v>
      </c>
      <c r="E813" t="str">
        <f t="shared" si="113"/>
        <v>774</v>
      </c>
      <c r="F813" t="str">
        <f>"0000"</f>
        <v>0000</v>
      </c>
    </row>
    <row r="814" spans="1:6">
      <c r="A814" t="str">
        <f>"E929-52"</f>
        <v>E929-52</v>
      </c>
      <c r="B814" t="str">
        <f t="shared" si="114"/>
        <v>VIA ELIO VITTORINI  148-</v>
      </c>
      <c r="C814" t="str">
        <f>"3"</f>
        <v>3</v>
      </c>
      <c r="D814">
        <v>8</v>
      </c>
      <c r="E814" t="str">
        <f t="shared" si="113"/>
        <v>774</v>
      </c>
      <c r="F814" t="str">
        <f>"0000"</f>
        <v>0000</v>
      </c>
    </row>
    <row r="815" spans="1:6">
      <c r="A815" t="str">
        <f>"E929-55"</f>
        <v>E929-55</v>
      </c>
      <c r="B815" t="str">
        <f t="shared" si="114"/>
        <v>VIA ELIO VITTORINI  148-</v>
      </c>
      <c r="C815" t="str">
        <f t="shared" ref="C815:C846" si="115">"PRA"</f>
        <v>PRA</v>
      </c>
      <c r="D815">
        <v>8</v>
      </c>
      <c r="E815" t="str">
        <f t="shared" si="113"/>
        <v>774</v>
      </c>
      <c r="F815" t="str">
        <f>"74"</f>
        <v>74</v>
      </c>
    </row>
    <row r="816" spans="1:6">
      <c r="A816" t="str">
        <f>"E929-58"</f>
        <v>E929-58</v>
      </c>
      <c r="B816" t="str">
        <f t="shared" si="114"/>
        <v>VIA ELIO VITTORINI  148-</v>
      </c>
      <c r="C816" t="str">
        <f t="shared" si="115"/>
        <v>PRA</v>
      </c>
      <c r="D816">
        <v>8</v>
      </c>
      <c r="E816" t="str">
        <f t="shared" si="113"/>
        <v>774</v>
      </c>
      <c r="F816" t="str">
        <f>"72"</f>
        <v>72</v>
      </c>
    </row>
    <row r="817" spans="1:6">
      <c r="A817" t="str">
        <f>"E929-61"</f>
        <v>E929-61</v>
      </c>
      <c r="B817" t="str">
        <f t="shared" si="114"/>
        <v>VIA ELIO VITTORINI  148-</v>
      </c>
      <c r="C817" t="str">
        <f t="shared" si="115"/>
        <v>PRA</v>
      </c>
      <c r="D817">
        <v>8</v>
      </c>
      <c r="E817" t="str">
        <f t="shared" si="113"/>
        <v>774</v>
      </c>
      <c r="F817" t="str">
        <f>"70"</f>
        <v>70</v>
      </c>
    </row>
    <row r="818" spans="1:6">
      <c r="A818" t="str">
        <f>"E929-64"</f>
        <v>E929-64</v>
      </c>
      <c r="B818" t="str">
        <f t="shared" si="114"/>
        <v>VIA ELIO VITTORINI  148-</v>
      </c>
      <c r="C818" t="str">
        <f t="shared" si="115"/>
        <v>PRA</v>
      </c>
      <c r="D818">
        <v>8</v>
      </c>
      <c r="E818" t="str">
        <f t="shared" si="113"/>
        <v>774</v>
      </c>
      <c r="F818" t="str">
        <f>"68"</f>
        <v>68</v>
      </c>
    </row>
    <row r="819" spans="1:6">
      <c r="A819" t="str">
        <f>"E929-67"</f>
        <v>E929-67</v>
      </c>
      <c r="B819" t="str">
        <f t="shared" si="114"/>
        <v>VIA ELIO VITTORINI  148-</v>
      </c>
      <c r="C819" t="str">
        <f t="shared" si="115"/>
        <v>PRA</v>
      </c>
      <c r="D819">
        <v>8</v>
      </c>
      <c r="E819" t="str">
        <f t="shared" si="113"/>
        <v>774</v>
      </c>
      <c r="F819" t="str">
        <f>"66"</f>
        <v>66</v>
      </c>
    </row>
    <row r="820" spans="1:6">
      <c r="A820" t="str">
        <f>"E929-70"</f>
        <v>E929-70</v>
      </c>
      <c r="B820" t="str">
        <f>"VIA ELIO VITTORINI  150-"</f>
        <v>VIA ELIO VITTORINI  150-</v>
      </c>
      <c r="C820" t="str">
        <f t="shared" si="115"/>
        <v>PRA</v>
      </c>
      <c r="D820">
        <v>8</v>
      </c>
      <c r="E820" t="str">
        <f t="shared" si="113"/>
        <v>774</v>
      </c>
      <c r="F820" t="str">
        <f>"140"</f>
        <v>140</v>
      </c>
    </row>
    <row r="821" spans="1:6">
      <c r="A821" t="str">
        <f>"E929-71"</f>
        <v>E929-71</v>
      </c>
      <c r="B821" t="str">
        <f>"VIA ELIO VITTORINI  148-"</f>
        <v>VIA ELIO VITTORINI  148-</v>
      </c>
      <c r="C821" t="str">
        <f t="shared" si="115"/>
        <v>PRA</v>
      </c>
      <c r="D821">
        <v>8</v>
      </c>
      <c r="E821" t="str">
        <f t="shared" si="113"/>
        <v>774</v>
      </c>
      <c r="F821" t="str">
        <f>"42"</f>
        <v>42</v>
      </c>
    </row>
    <row r="822" spans="1:6">
      <c r="A822" t="str">
        <f>"E929-72"</f>
        <v>E929-72</v>
      </c>
      <c r="B822" t="str">
        <f>"VIA ELIO VITTORINI  148-"</f>
        <v>VIA ELIO VITTORINI  148-</v>
      </c>
      <c r="C822" t="str">
        <f t="shared" si="115"/>
        <v>PRA</v>
      </c>
      <c r="D822">
        <v>8</v>
      </c>
      <c r="E822" t="str">
        <f t="shared" si="113"/>
        <v>774</v>
      </c>
      <c r="F822" t="str">
        <f>"43"</f>
        <v>43</v>
      </c>
    </row>
    <row r="823" spans="1:6">
      <c r="A823" t="str">
        <f>"E929-75"</f>
        <v>E929-75</v>
      </c>
      <c r="B823" t="str">
        <f>"VIA ELIO VITTORINI  148-"</f>
        <v>VIA ELIO VITTORINI  148-</v>
      </c>
      <c r="C823" t="str">
        <f t="shared" si="115"/>
        <v>PRA</v>
      </c>
      <c r="D823">
        <v>8</v>
      </c>
      <c r="E823" t="str">
        <f t="shared" si="113"/>
        <v>774</v>
      </c>
      <c r="F823" t="str">
        <f>"45"</f>
        <v>45</v>
      </c>
    </row>
    <row r="824" spans="1:6">
      <c r="A824" t="str">
        <f>"E929-78"</f>
        <v>E929-78</v>
      </c>
      <c r="B824" t="str">
        <f>"VIA ELIO VITTORINI  148-"</f>
        <v>VIA ELIO VITTORINI  148-</v>
      </c>
      <c r="C824" t="str">
        <f t="shared" si="115"/>
        <v>PRA</v>
      </c>
      <c r="D824">
        <v>8</v>
      </c>
      <c r="E824" t="str">
        <f t="shared" si="113"/>
        <v>774</v>
      </c>
      <c r="F824" t="str">
        <f>"47"</f>
        <v>47</v>
      </c>
    </row>
    <row r="825" spans="1:6">
      <c r="A825" t="str">
        <f>"E929-79"</f>
        <v>E929-79</v>
      </c>
      <c r="B825" t="str">
        <f t="shared" ref="B825:B845" si="116">"VIA ELIO VITTORINI  132-"</f>
        <v>VIA ELIO VITTORINI  132-</v>
      </c>
      <c r="C825" t="str">
        <f t="shared" si="115"/>
        <v>PRA</v>
      </c>
      <c r="D825">
        <v>8</v>
      </c>
      <c r="E825" t="str">
        <f t="shared" si="113"/>
        <v>774</v>
      </c>
      <c r="F825" t="str">
        <f>"93"</f>
        <v>93</v>
      </c>
    </row>
    <row r="826" spans="1:6">
      <c r="A826" t="str">
        <f>"E929-80"</f>
        <v>E929-80</v>
      </c>
      <c r="B826" t="str">
        <f t="shared" si="116"/>
        <v>VIA ELIO VITTORINI  132-</v>
      </c>
      <c r="C826" t="str">
        <f t="shared" si="115"/>
        <v>PRA</v>
      </c>
      <c r="D826">
        <v>8</v>
      </c>
      <c r="E826" t="str">
        <f t="shared" si="113"/>
        <v>774</v>
      </c>
      <c r="F826" t="str">
        <f>"94"</f>
        <v>94</v>
      </c>
    </row>
    <row r="827" spans="1:6">
      <c r="A827" t="str">
        <f>"E929-81"</f>
        <v>E929-81</v>
      </c>
      <c r="B827" t="str">
        <f t="shared" si="116"/>
        <v>VIA ELIO VITTORINI  132-</v>
      </c>
      <c r="C827" t="str">
        <f t="shared" si="115"/>
        <v>PRA</v>
      </c>
      <c r="D827">
        <v>8</v>
      </c>
      <c r="E827" t="str">
        <f t="shared" si="113"/>
        <v>774</v>
      </c>
      <c r="F827" t="str">
        <f>"95"</f>
        <v>95</v>
      </c>
    </row>
    <row r="828" spans="1:6">
      <c r="A828" t="str">
        <f>"E929-82"</f>
        <v>E929-82</v>
      </c>
      <c r="B828" t="str">
        <f t="shared" si="116"/>
        <v>VIA ELIO VITTORINI  132-</v>
      </c>
      <c r="C828" t="str">
        <f t="shared" si="115"/>
        <v>PRA</v>
      </c>
      <c r="D828">
        <v>8</v>
      </c>
      <c r="E828" t="str">
        <f t="shared" si="113"/>
        <v>774</v>
      </c>
      <c r="F828" t="str">
        <f>"96"</f>
        <v>96</v>
      </c>
    </row>
    <row r="829" spans="1:6">
      <c r="A829" t="str">
        <f>"E929-83"</f>
        <v>E929-83</v>
      </c>
      <c r="B829" t="str">
        <f t="shared" si="116"/>
        <v>VIA ELIO VITTORINI  132-</v>
      </c>
      <c r="C829" t="str">
        <f t="shared" si="115"/>
        <v>PRA</v>
      </c>
      <c r="D829">
        <v>8</v>
      </c>
      <c r="E829" t="str">
        <f t="shared" si="113"/>
        <v>774</v>
      </c>
      <c r="F829" t="str">
        <f>"97"</f>
        <v>97</v>
      </c>
    </row>
    <row r="830" spans="1:6">
      <c r="A830" t="str">
        <f>"E929-84"</f>
        <v>E929-84</v>
      </c>
      <c r="B830" t="str">
        <f t="shared" si="116"/>
        <v>VIA ELIO VITTORINI  132-</v>
      </c>
      <c r="C830" t="str">
        <f t="shared" si="115"/>
        <v>PRA</v>
      </c>
      <c r="D830">
        <v>8</v>
      </c>
      <c r="E830" t="str">
        <f t="shared" si="113"/>
        <v>774</v>
      </c>
      <c r="F830" t="str">
        <f>"98"</f>
        <v>98</v>
      </c>
    </row>
    <row r="831" spans="1:6">
      <c r="A831" t="str">
        <f>"E929-85"</f>
        <v>E929-85</v>
      </c>
      <c r="B831" t="str">
        <f t="shared" si="116"/>
        <v>VIA ELIO VITTORINI  132-</v>
      </c>
      <c r="C831" t="str">
        <f t="shared" si="115"/>
        <v>PRA</v>
      </c>
      <c r="D831">
        <v>8</v>
      </c>
      <c r="E831" t="str">
        <f t="shared" si="113"/>
        <v>774</v>
      </c>
      <c r="F831" t="str">
        <f>"99"</f>
        <v>99</v>
      </c>
    </row>
    <row r="832" spans="1:6">
      <c r="A832" t="str">
        <f>"E929-86"</f>
        <v>E929-86</v>
      </c>
      <c r="B832" t="str">
        <f t="shared" si="116"/>
        <v>VIA ELIO VITTORINI  132-</v>
      </c>
      <c r="C832" t="str">
        <f t="shared" si="115"/>
        <v>PRA</v>
      </c>
      <c r="D832">
        <v>8</v>
      </c>
      <c r="E832" t="str">
        <f t="shared" si="113"/>
        <v>774</v>
      </c>
      <c r="F832" t="str">
        <f>"100"</f>
        <v>100</v>
      </c>
    </row>
    <row r="833" spans="1:6">
      <c r="A833" t="str">
        <f>"E929-87"</f>
        <v>E929-87</v>
      </c>
      <c r="B833" t="str">
        <f t="shared" si="116"/>
        <v>VIA ELIO VITTORINI  132-</v>
      </c>
      <c r="C833" t="str">
        <f t="shared" si="115"/>
        <v>PRA</v>
      </c>
      <c r="D833">
        <v>8</v>
      </c>
      <c r="E833" t="str">
        <f t="shared" si="113"/>
        <v>774</v>
      </c>
      <c r="F833" t="str">
        <f>"101"</f>
        <v>101</v>
      </c>
    </row>
    <row r="834" spans="1:6">
      <c r="A834" t="str">
        <f>"E929-88"</f>
        <v>E929-88</v>
      </c>
      <c r="B834" t="str">
        <f t="shared" si="116"/>
        <v>VIA ELIO VITTORINI  132-</v>
      </c>
      <c r="C834" t="str">
        <f t="shared" si="115"/>
        <v>PRA</v>
      </c>
      <c r="D834">
        <v>8</v>
      </c>
      <c r="E834" t="str">
        <f t="shared" si="113"/>
        <v>774</v>
      </c>
      <c r="F834" t="str">
        <f>"102"</f>
        <v>102</v>
      </c>
    </row>
    <row r="835" spans="1:6">
      <c r="A835" t="str">
        <f>"E929-89"</f>
        <v>E929-89</v>
      </c>
      <c r="B835" t="str">
        <f t="shared" si="116"/>
        <v>VIA ELIO VITTORINI  132-</v>
      </c>
      <c r="C835" t="str">
        <f t="shared" si="115"/>
        <v>PRA</v>
      </c>
      <c r="D835">
        <v>8</v>
      </c>
      <c r="E835" t="str">
        <f t="shared" si="113"/>
        <v>774</v>
      </c>
      <c r="F835" t="str">
        <f>"103"</f>
        <v>103</v>
      </c>
    </row>
    <row r="836" spans="1:6">
      <c r="A836" t="str">
        <f>"E929-90"</f>
        <v>E929-90</v>
      </c>
      <c r="B836" t="str">
        <f t="shared" si="116"/>
        <v>VIA ELIO VITTORINI  132-</v>
      </c>
      <c r="C836" t="str">
        <f t="shared" si="115"/>
        <v>PRA</v>
      </c>
      <c r="D836">
        <v>8</v>
      </c>
      <c r="E836" t="str">
        <f t="shared" si="113"/>
        <v>774</v>
      </c>
      <c r="F836" t="str">
        <f>"104"</f>
        <v>104</v>
      </c>
    </row>
    <row r="837" spans="1:6">
      <c r="A837" t="str">
        <f>"E929-91"</f>
        <v>E929-91</v>
      </c>
      <c r="B837" t="str">
        <f t="shared" si="116"/>
        <v>VIA ELIO VITTORINI  132-</v>
      </c>
      <c r="C837" t="str">
        <f t="shared" si="115"/>
        <v>PRA</v>
      </c>
      <c r="D837">
        <v>8</v>
      </c>
      <c r="E837" t="str">
        <f t="shared" si="113"/>
        <v>774</v>
      </c>
      <c r="F837" t="str">
        <f>"105"</f>
        <v>105</v>
      </c>
    </row>
    <row r="838" spans="1:6">
      <c r="A838" t="str">
        <f>"E929-92"</f>
        <v>E929-92</v>
      </c>
      <c r="B838" t="str">
        <f t="shared" si="116"/>
        <v>VIA ELIO VITTORINI  132-</v>
      </c>
      <c r="C838" t="str">
        <f t="shared" si="115"/>
        <v>PRA</v>
      </c>
      <c r="D838">
        <v>8</v>
      </c>
      <c r="E838" t="str">
        <f t="shared" si="113"/>
        <v>774</v>
      </c>
      <c r="F838" t="str">
        <f>"106"</f>
        <v>106</v>
      </c>
    </row>
    <row r="839" spans="1:6">
      <c r="A839" t="str">
        <f>"E929-93"</f>
        <v>E929-93</v>
      </c>
      <c r="B839" t="str">
        <f t="shared" si="116"/>
        <v>VIA ELIO VITTORINI  132-</v>
      </c>
      <c r="C839" t="str">
        <f t="shared" si="115"/>
        <v>PRA</v>
      </c>
      <c r="D839">
        <v>8</v>
      </c>
      <c r="E839" t="str">
        <f t="shared" ref="E839:E870" si="117">"774"</f>
        <v>774</v>
      </c>
      <c r="F839" t="str">
        <f>"107"</f>
        <v>107</v>
      </c>
    </row>
    <row r="840" spans="1:6">
      <c r="A840" t="str">
        <f>"E929-94"</f>
        <v>E929-94</v>
      </c>
      <c r="B840" t="str">
        <f t="shared" si="116"/>
        <v>VIA ELIO VITTORINI  132-</v>
      </c>
      <c r="C840" t="str">
        <f t="shared" si="115"/>
        <v>PRA</v>
      </c>
      <c r="D840">
        <v>8</v>
      </c>
      <c r="E840" t="str">
        <f t="shared" si="117"/>
        <v>774</v>
      </c>
      <c r="F840" t="str">
        <f>"108"</f>
        <v>108</v>
      </c>
    </row>
    <row r="841" spans="1:6">
      <c r="A841" t="str">
        <f>"E929-95"</f>
        <v>E929-95</v>
      </c>
      <c r="B841" t="str">
        <f t="shared" si="116"/>
        <v>VIA ELIO VITTORINI  132-</v>
      </c>
      <c r="C841" t="str">
        <f t="shared" si="115"/>
        <v>PRA</v>
      </c>
      <c r="D841">
        <v>8</v>
      </c>
      <c r="E841" t="str">
        <f t="shared" si="117"/>
        <v>774</v>
      </c>
      <c r="F841" t="str">
        <f>"109"</f>
        <v>109</v>
      </c>
    </row>
    <row r="842" spans="1:6">
      <c r="A842" t="str">
        <f>"E929-96"</f>
        <v>E929-96</v>
      </c>
      <c r="B842" t="str">
        <f t="shared" si="116"/>
        <v>VIA ELIO VITTORINI  132-</v>
      </c>
      <c r="C842" t="str">
        <f t="shared" si="115"/>
        <v>PRA</v>
      </c>
      <c r="D842">
        <v>8</v>
      </c>
      <c r="E842" t="str">
        <f t="shared" si="117"/>
        <v>774</v>
      </c>
      <c r="F842" t="str">
        <f>"110"</f>
        <v>110</v>
      </c>
    </row>
    <row r="843" spans="1:6">
      <c r="A843" t="str">
        <f>"E929-97"</f>
        <v>E929-97</v>
      </c>
      <c r="B843" t="str">
        <f t="shared" si="116"/>
        <v>VIA ELIO VITTORINI  132-</v>
      </c>
      <c r="C843" t="str">
        <f t="shared" si="115"/>
        <v>PRA</v>
      </c>
      <c r="D843">
        <v>8</v>
      </c>
      <c r="E843" t="str">
        <f t="shared" si="117"/>
        <v>774</v>
      </c>
      <c r="F843" t="str">
        <f>"111"</f>
        <v>111</v>
      </c>
    </row>
    <row r="844" spans="1:6">
      <c r="A844" t="str">
        <f>"E929-98"</f>
        <v>E929-98</v>
      </c>
      <c r="B844" t="str">
        <f t="shared" si="116"/>
        <v>VIA ELIO VITTORINI  132-</v>
      </c>
      <c r="C844" t="str">
        <f t="shared" si="115"/>
        <v>PRA</v>
      </c>
      <c r="D844">
        <v>8</v>
      </c>
      <c r="E844" t="str">
        <f t="shared" si="117"/>
        <v>774</v>
      </c>
      <c r="F844" t="str">
        <f>"112"</f>
        <v>112</v>
      </c>
    </row>
    <row r="845" spans="1:6">
      <c r="A845" t="str">
        <f>"E929-99"</f>
        <v>E929-99</v>
      </c>
      <c r="B845" t="str">
        <f t="shared" si="116"/>
        <v>VIA ELIO VITTORINI  132-</v>
      </c>
      <c r="C845" t="str">
        <f t="shared" si="115"/>
        <v>PRA</v>
      </c>
      <c r="D845">
        <v>8</v>
      </c>
      <c r="E845" t="str">
        <f t="shared" si="117"/>
        <v>774</v>
      </c>
      <c r="F845" t="str">
        <f>"113"</f>
        <v>113</v>
      </c>
    </row>
    <row r="846" spans="1:6">
      <c r="A846" t="str">
        <f>"E929-100"</f>
        <v>E929-100</v>
      </c>
      <c r="B846" t="str">
        <f t="shared" ref="B846:B866" si="118">"VIA ELIO VITTORINI  146-"</f>
        <v>VIA ELIO VITTORINI  146-</v>
      </c>
      <c r="C846" t="str">
        <f t="shared" si="115"/>
        <v>PRA</v>
      </c>
      <c r="D846">
        <v>8</v>
      </c>
      <c r="E846" t="str">
        <f t="shared" si="117"/>
        <v>774</v>
      </c>
      <c r="F846" t="str">
        <f>"115"</f>
        <v>115</v>
      </c>
    </row>
    <row r="847" spans="1:6">
      <c r="A847" t="str">
        <f>"E929-101"</f>
        <v>E929-101</v>
      </c>
      <c r="B847" t="str">
        <f t="shared" si="118"/>
        <v>VIA ELIO VITTORINI  146-</v>
      </c>
      <c r="C847" t="str">
        <f t="shared" ref="C847:C878" si="119">"PRA"</f>
        <v>PRA</v>
      </c>
      <c r="D847">
        <v>8</v>
      </c>
      <c r="E847" t="str">
        <f t="shared" si="117"/>
        <v>774</v>
      </c>
      <c r="F847" t="str">
        <f>"116"</f>
        <v>116</v>
      </c>
    </row>
    <row r="848" spans="1:6">
      <c r="A848" t="str">
        <f>"E929-102"</f>
        <v>E929-102</v>
      </c>
      <c r="B848" t="str">
        <f t="shared" si="118"/>
        <v>VIA ELIO VITTORINI  146-</v>
      </c>
      <c r="C848" t="str">
        <f t="shared" si="119"/>
        <v>PRA</v>
      </c>
      <c r="D848">
        <v>8</v>
      </c>
      <c r="E848" t="str">
        <f t="shared" si="117"/>
        <v>774</v>
      </c>
      <c r="F848" t="str">
        <f>"117"</f>
        <v>117</v>
      </c>
    </row>
    <row r="849" spans="1:6">
      <c r="A849" t="str">
        <f>"E929-103"</f>
        <v>E929-103</v>
      </c>
      <c r="B849" t="str">
        <f t="shared" si="118"/>
        <v>VIA ELIO VITTORINI  146-</v>
      </c>
      <c r="C849" t="str">
        <f t="shared" si="119"/>
        <v>PRA</v>
      </c>
      <c r="D849">
        <v>8</v>
      </c>
      <c r="E849" t="str">
        <f t="shared" si="117"/>
        <v>774</v>
      </c>
      <c r="F849" t="str">
        <f>"121"</f>
        <v>121</v>
      </c>
    </row>
    <row r="850" spans="1:6">
      <c r="A850" t="str">
        <f>"E929-104"</f>
        <v>E929-104</v>
      </c>
      <c r="B850" t="str">
        <f t="shared" si="118"/>
        <v>VIA ELIO VITTORINI  146-</v>
      </c>
      <c r="C850" t="str">
        <f t="shared" si="119"/>
        <v>PRA</v>
      </c>
      <c r="D850">
        <v>8</v>
      </c>
      <c r="E850" t="str">
        <f t="shared" si="117"/>
        <v>774</v>
      </c>
      <c r="F850" t="str">
        <f>"122"</f>
        <v>122</v>
      </c>
    </row>
    <row r="851" spans="1:6">
      <c r="A851" t="str">
        <f>"E929-105"</f>
        <v>E929-105</v>
      </c>
      <c r="B851" t="str">
        <f t="shared" si="118"/>
        <v>VIA ELIO VITTORINI  146-</v>
      </c>
      <c r="C851" t="str">
        <f t="shared" si="119"/>
        <v>PRA</v>
      </c>
      <c r="D851">
        <v>8</v>
      </c>
      <c r="E851" t="str">
        <f t="shared" si="117"/>
        <v>774</v>
      </c>
      <c r="F851" t="str">
        <f>"123"</f>
        <v>123</v>
      </c>
    </row>
    <row r="852" spans="1:6">
      <c r="A852" t="str">
        <f>"E929-106"</f>
        <v>E929-106</v>
      </c>
      <c r="B852" t="str">
        <f t="shared" si="118"/>
        <v>VIA ELIO VITTORINI  146-</v>
      </c>
      <c r="C852" t="str">
        <f t="shared" si="119"/>
        <v>PRA</v>
      </c>
      <c r="D852">
        <v>8</v>
      </c>
      <c r="E852" t="str">
        <f t="shared" si="117"/>
        <v>774</v>
      </c>
      <c r="F852" t="str">
        <f>"124"</f>
        <v>124</v>
      </c>
    </row>
    <row r="853" spans="1:6">
      <c r="A853" t="str">
        <f>"E929-107"</f>
        <v>E929-107</v>
      </c>
      <c r="B853" t="str">
        <f t="shared" si="118"/>
        <v>VIA ELIO VITTORINI  146-</v>
      </c>
      <c r="C853" t="str">
        <f t="shared" si="119"/>
        <v>PRA</v>
      </c>
      <c r="D853">
        <v>8</v>
      </c>
      <c r="E853" t="str">
        <f t="shared" si="117"/>
        <v>774</v>
      </c>
      <c r="F853" t="str">
        <f>"125"</f>
        <v>125</v>
      </c>
    </row>
    <row r="854" spans="1:6">
      <c r="A854" t="str">
        <f>"E929-108"</f>
        <v>E929-108</v>
      </c>
      <c r="B854" t="str">
        <f t="shared" si="118"/>
        <v>VIA ELIO VITTORINI  146-</v>
      </c>
      <c r="C854" t="str">
        <f t="shared" si="119"/>
        <v>PRA</v>
      </c>
      <c r="D854">
        <v>8</v>
      </c>
      <c r="E854" t="str">
        <f t="shared" si="117"/>
        <v>774</v>
      </c>
      <c r="F854" t="str">
        <f>"126"</f>
        <v>126</v>
      </c>
    </row>
    <row r="855" spans="1:6">
      <c r="A855" t="str">
        <f>"E929-109"</f>
        <v>E929-109</v>
      </c>
      <c r="B855" t="str">
        <f t="shared" si="118"/>
        <v>VIA ELIO VITTORINI  146-</v>
      </c>
      <c r="C855" t="str">
        <f t="shared" si="119"/>
        <v>PRA</v>
      </c>
      <c r="D855">
        <v>8</v>
      </c>
      <c r="E855" t="str">
        <f t="shared" si="117"/>
        <v>774</v>
      </c>
      <c r="F855" t="str">
        <f>"127"</f>
        <v>127</v>
      </c>
    </row>
    <row r="856" spans="1:6">
      <c r="A856" t="str">
        <f>"E929-110"</f>
        <v>E929-110</v>
      </c>
      <c r="B856" t="str">
        <f t="shared" si="118"/>
        <v>VIA ELIO VITTORINI  146-</v>
      </c>
      <c r="C856" t="str">
        <f t="shared" si="119"/>
        <v>PRA</v>
      </c>
      <c r="D856">
        <v>8</v>
      </c>
      <c r="E856" t="str">
        <f t="shared" si="117"/>
        <v>774</v>
      </c>
      <c r="F856" t="str">
        <f>"128"</f>
        <v>128</v>
      </c>
    </row>
    <row r="857" spans="1:6">
      <c r="A857" t="str">
        <f>"E929-111"</f>
        <v>E929-111</v>
      </c>
      <c r="B857" t="str">
        <f t="shared" si="118"/>
        <v>VIA ELIO VITTORINI  146-</v>
      </c>
      <c r="C857" t="str">
        <f t="shared" si="119"/>
        <v>PRA</v>
      </c>
      <c r="D857">
        <v>8</v>
      </c>
      <c r="E857" t="str">
        <f t="shared" si="117"/>
        <v>774</v>
      </c>
      <c r="F857" t="str">
        <f>"129"</f>
        <v>129</v>
      </c>
    </row>
    <row r="858" spans="1:6">
      <c r="A858" t="str">
        <f>"E929-112"</f>
        <v>E929-112</v>
      </c>
      <c r="B858" t="str">
        <f t="shared" si="118"/>
        <v>VIA ELIO VITTORINI  146-</v>
      </c>
      <c r="C858" t="str">
        <f t="shared" si="119"/>
        <v>PRA</v>
      </c>
      <c r="D858">
        <v>8</v>
      </c>
      <c r="E858" t="str">
        <f t="shared" si="117"/>
        <v>774</v>
      </c>
      <c r="F858" t="str">
        <f>"130"</f>
        <v>130</v>
      </c>
    </row>
    <row r="859" spans="1:6">
      <c r="A859" t="str">
        <f>"E929-113"</f>
        <v>E929-113</v>
      </c>
      <c r="B859" t="str">
        <f t="shared" si="118"/>
        <v>VIA ELIO VITTORINI  146-</v>
      </c>
      <c r="C859" t="str">
        <f t="shared" si="119"/>
        <v>PRA</v>
      </c>
      <c r="D859">
        <v>8</v>
      </c>
      <c r="E859" t="str">
        <f t="shared" si="117"/>
        <v>774</v>
      </c>
      <c r="F859" t="str">
        <f>"131"</f>
        <v>131</v>
      </c>
    </row>
    <row r="860" spans="1:6">
      <c r="A860" t="str">
        <f>"E929-114"</f>
        <v>E929-114</v>
      </c>
      <c r="B860" t="str">
        <f t="shared" si="118"/>
        <v>VIA ELIO VITTORINI  146-</v>
      </c>
      <c r="C860" t="str">
        <f t="shared" si="119"/>
        <v>PRA</v>
      </c>
      <c r="D860">
        <v>8</v>
      </c>
      <c r="E860" t="str">
        <f t="shared" si="117"/>
        <v>774</v>
      </c>
      <c r="F860" t="str">
        <f>"132"</f>
        <v>132</v>
      </c>
    </row>
    <row r="861" spans="1:6">
      <c r="A861" t="str">
        <f>"E929-115"</f>
        <v>E929-115</v>
      </c>
      <c r="B861" t="str">
        <f t="shared" si="118"/>
        <v>VIA ELIO VITTORINI  146-</v>
      </c>
      <c r="C861" t="str">
        <f t="shared" si="119"/>
        <v>PRA</v>
      </c>
      <c r="D861">
        <v>8</v>
      </c>
      <c r="E861" t="str">
        <f t="shared" si="117"/>
        <v>774</v>
      </c>
      <c r="F861" t="str">
        <f>"133"</f>
        <v>133</v>
      </c>
    </row>
    <row r="862" spans="1:6">
      <c r="A862" t="str">
        <f>"E929-116"</f>
        <v>E929-116</v>
      </c>
      <c r="B862" t="str">
        <f t="shared" si="118"/>
        <v>VIA ELIO VITTORINI  146-</v>
      </c>
      <c r="C862" t="str">
        <f t="shared" si="119"/>
        <v>PRA</v>
      </c>
      <c r="D862">
        <v>8</v>
      </c>
      <c r="E862" t="str">
        <f t="shared" si="117"/>
        <v>774</v>
      </c>
      <c r="F862" t="str">
        <f>"134"</f>
        <v>134</v>
      </c>
    </row>
    <row r="863" spans="1:6">
      <c r="A863" t="str">
        <f>"E929-117"</f>
        <v>E929-117</v>
      </c>
      <c r="B863" t="str">
        <f t="shared" si="118"/>
        <v>VIA ELIO VITTORINI  146-</v>
      </c>
      <c r="C863" t="str">
        <f t="shared" si="119"/>
        <v>PRA</v>
      </c>
      <c r="D863">
        <v>8</v>
      </c>
      <c r="E863" t="str">
        <f t="shared" si="117"/>
        <v>774</v>
      </c>
      <c r="F863" t="str">
        <f>"135"</f>
        <v>135</v>
      </c>
    </row>
    <row r="864" spans="1:6">
      <c r="A864" t="str">
        <f>"E929-118"</f>
        <v>E929-118</v>
      </c>
      <c r="B864" t="str">
        <f t="shared" si="118"/>
        <v>VIA ELIO VITTORINI  146-</v>
      </c>
      <c r="C864" t="str">
        <f t="shared" si="119"/>
        <v>PRA</v>
      </c>
      <c r="D864">
        <v>8</v>
      </c>
      <c r="E864" t="str">
        <f t="shared" si="117"/>
        <v>774</v>
      </c>
      <c r="F864" t="str">
        <f>"136"</f>
        <v>136</v>
      </c>
    </row>
    <row r="865" spans="1:6">
      <c r="A865" t="str">
        <f>"E929-119"</f>
        <v>E929-119</v>
      </c>
      <c r="B865" t="str">
        <f t="shared" si="118"/>
        <v>VIA ELIO VITTORINI  146-</v>
      </c>
      <c r="C865" t="str">
        <f t="shared" si="119"/>
        <v>PRA</v>
      </c>
      <c r="D865">
        <v>8</v>
      </c>
      <c r="E865" t="str">
        <f t="shared" si="117"/>
        <v>774</v>
      </c>
      <c r="F865" t="str">
        <f>"137"</f>
        <v>137</v>
      </c>
    </row>
    <row r="866" spans="1:6">
      <c r="A866" t="str">
        <f>"E929-120"</f>
        <v>E929-120</v>
      </c>
      <c r="B866" t="str">
        <f t="shared" si="118"/>
        <v>VIA ELIO VITTORINI  146-</v>
      </c>
      <c r="C866" t="str">
        <f t="shared" si="119"/>
        <v>PRA</v>
      </c>
      <c r="D866">
        <v>8</v>
      </c>
      <c r="E866" t="str">
        <f t="shared" si="117"/>
        <v>774</v>
      </c>
      <c r="F866" t="str">
        <f>"138"</f>
        <v>138</v>
      </c>
    </row>
    <row r="867" spans="1:6">
      <c r="A867" t="str">
        <f>"E929-125"</f>
        <v>E929-125</v>
      </c>
      <c r="B867" t="str">
        <f t="shared" ref="B867:B896" si="120">"VIA ELIO VITTORINI  148-"</f>
        <v>VIA ELIO VITTORINI  148-</v>
      </c>
      <c r="C867" t="str">
        <f t="shared" si="119"/>
        <v>PRA</v>
      </c>
      <c r="D867">
        <v>8</v>
      </c>
      <c r="E867" t="str">
        <f t="shared" si="117"/>
        <v>774</v>
      </c>
      <c r="F867" t="str">
        <f>"50"</f>
        <v>50</v>
      </c>
    </row>
    <row r="868" spans="1:6">
      <c r="A868" t="str">
        <f>"E929-128"</f>
        <v>E929-128</v>
      </c>
      <c r="B868" t="str">
        <f t="shared" si="120"/>
        <v>VIA ELIO VITTORINI  148-</v>
      </c>
      <c r="C868" t="str">
        <f t="shared" si="119"/>
        <v>PRA</v>
      </c>
      <c r="D868">
        <v>8</v>
      </c>
      <c r="E868" t="str">
        <f t="shared" si="117"/>
        <v>774</v>
      </c>
      <c r="F868" t="str">
        <f>"52"</f>
        <v>52</v>
      </c>
    </row>
    <row r="869" spans="1:6">
      <c r="A869" t="str">
        <f>"E929-129"</f>
        <v>E929-129</v>
      </c>
      <c r="B869" t="str">
        <f t="shared" si="120"/>
        <v>VIA ELIO VITTORINI  148-</v>
      </c>
      <c r="C869" t="str">
        <f t="shared" si="119"/>
        <v>PRA</v>
      </c>
      <c r="D869">
        <v>8</v>
      </c>
      <c r="E869" t="str">
        <f t="shared" si="117"/>
        <v>774</v>
      </c>
      <c r="F869" t="str">
        <f>"53"</f>
        <v>53</v>
      </c>
    </row>
    <row r="870" spans="1:6">
      <c r="A870" t="str">
        <f>"E929-132"</f>
        <v>E929-132</v>
      </c>
      <c r="B870" t="str">
        <f t="shared" si="120"/>
        <v>VIA ELIO VITTORINI  148-</v>
      </c>
      <c r="C870" t="str">
        <f t="shared" si="119"/>
        <v>PRA</v>
      </c>
      <c r="D870">
        <v>8</v>
      </c>
      <c r="E870" t="str">
        <f t="shared" si="117"/>
        <v>774</v>
      </c>
      <c r="F870" t="str">
        <f>"55"</f>
        <v>55</v>
      </c>
    </row>
    <row r="871" spans="1:6">
      <c r="A871" t="str">
        <f>"E929-137"</f>
        <v>E929-137</v>
      </c>
      <c r="B871" t="str">
        <f t="shared" si="120"/>
        <v>VIA ELIO VITTORINI  148-</v>
      </c>
      <c r="C871" t="str">
        <f t="shared" si="119"/>
        <v>PRA</v>
      </c>
      <c r="D871">
        <v>8</v>
      </c>
      <c r="E871" t="str">
        <f t="shared" ref="E871:E896" si="121">"774"</f>
        <v>774</v>
      </c>
      <c r="F871" t="str">
        <f>"58"</f>
        <v>58</v>
      </c>
    </row>
    <row r="872" spans="1:6">
      <c r="A872" t="str">
        <f>"E929-140"</f>
        <v>E929-140</v>
      </c>
      <c r="B872" t="str">
        <f t="shared" si="120"/>
        <v>VIA ELIO VITTORINI  148-</v>
      </c>
      <c r="C872" t="str">
        <f t="shared" si="119"/>
        <v>PRA</v>
      </c>
      <c r="D872">
        <v>8</v>
      </c>
      <c r="E872" t="str">
        <f t="shared" si="121"/>
        <v>774</v>
      </c>
      <c r="F872" t="str">
        <f>"60"</f>
        <v>60</v>
      </c>
    </row>
    <row r="873" spans="1:6">
      <c r="A873" t="str">
        <f>"E929-143"</f>
        <v>E929-143</v>
      </c>
      <c r="B873" t="str">
        <f t="shared" si="120"/>
        <v>VIA ELIO VITTORINI  148-</v>
      </c>
      <c r="C873" t="str">
        <f t="shared" si="119"/>
        <v>PRA</v>
      </c>
      <c r="D873">
        <v>8</v>
      </c>
      <c r="E873" t="str">
        <f t="shared" si="121"/>
        <v>774</v>
      </c>
      <c r="F873" t="str">
        <f>"62"</f>
        <v>62</v>
      </c>
    </row>
    <row r="874" spans="1:6">
      <c r="A874" t="str">
        <f>"E929-144"</f>
        <v>E929-144</v>
      </c>
      <c r="B874" t="str">
        <f t="shared" si="120"/>
        <v>VIA ELIO VITTORINI  148-</v>
      </c>
      <c r="C874" t="str">
        <f t="shared" si="119"/>
        <v>PRA</v>
      </c>
      <c r="D874">
        <v>8</v>
      </c>
      <c r="E874" t="str">
        <f t="shared" si="121"/>
        <v>774</v>
      </c>
      <c r="F874" t="str">
        <f>"63"</f>
        <v>63</v>
      </c>
    </row>
    <row r="875" spans="1:6">
      <c r="A875" t="str">
        <f>"E929-145"</f>
        <v>E929-145</v>
      </c>
      <c r="B875" t="str">
        <f t="shared" si="120"/>
        <v>VIA ELIO VITTORINI  148-</v>
      </c>
      <c r="C875" t="str">
        <f t="shared" si="119"/>
        <v>PRA</v>
      </c>
      <c r="D875">
        <v>8</v>
      </c>
      <c r="E875" t="str">
        <f t="shared" si="121"/>
        <v>774</v>
      </c>
      <c r="F875" t="str">
        <f>"86"</f>
        <v>86</v>
      </c>
    </row>
    <row r="876" spans="1:6">
      <c r="A876" t="str">
        <f>"E929-146"</f>
        <v>E929-146</v>
      </c>
      <c r="B876" t="str">
        <f t="shared" si="120"/>
        <v>VIA ELIO VITTORINI  148-</v>
      </c>
      <c r="C876" t="str">
        <f t="shared" si="119"/>
        <v>PRA</v>
      </c>
      <c r="D876">
        <v>8</v>
      </c>
      <c r="E876" t="str">
        <f t="shared" si="121"/>
        <v>774</v>
      </c>
      <c r="F876" t="str">
        <f>"84"</f>
        <v>84</v>
      </c>
    </row>
    <row r="877" spans="1:6">
      <c r="A877" t="str">
        <f>"E929-147"</f>
        <v>E929-147</v>
      </c>
      <c r="B877" t="str">
        <f t="shared" si="120"/>
        <v>VIA ELIO VITTORINI  148-</v>
      </c>
      <c r="C877" t="str">
        <f t="shared" si="119"/>
        <v>PRA</v>
      </c>
      <c r="D877">
        <v>8</v>
      </c>
      <c r="E877" t="str">
        <f t="shared" si="121"/>
        <v>774</v>
      </c>
      <c r="F877" t="str">
        <f>"82"</f>
        <v>82</v>
      </c>
    </row>
    <row r="878" spans="1:6">
      <c r="A878" t="str">
        <f>"E929-148"</f>
        <v>E929-148</v>
      </c>
      <c r="B878" t="str">
        <f t="shared" si="120"/>
        <v>VIA ELIO VITTORINI  148-</v>
      </c>
      <c r="C878" t="str">
        <f t="shared" si="119"/>
        <v>PRA</v>
      </c>
      <c r="D878">
        <v>8</v>
      </c>
      <c r="E878" t="str">
        <f t="shared" si="121"/>
        <v>774</v>
      </c>
      <c r="F878" t="str">
        <f>"80"</f>
        <v>80</v>
      </c>
    </row>
    <row r="879" spans="1:6">
      <c r="A879" t="str">
        <f>"E929-149"</f>
        <v>E929-149</v>
      </c>
      <c r="B879" t="str">
        <f t="shared" si="120"/>
        <v>VIA ELIO VITTORINI  148-</v>
      </c>
      <c r="C879" t="str">
        <f t="shared" ref="C879:C907" si="122">"PRA"</f>
        <v>PRA</v>
      </c>
      <c r="D879">
        <v>8</v>
      </c>
      <c r="E879" t="str">
        <f t="shared" si="121"/>
        <v>774</v>
      </c>
      <c r="F879" t="str">
        <f>"78"</f>
        <v>78</v>
      </c>
    </row>
    <row r="880" spans="1:6">
      <c r="A880" t="str">
        <f>"E929-150"</f>
        <v>E929-150</v>
      </c>
      <c r="B880" t="str">
        <f t="shared" si="120"/>
        <v>VIA ELIO VITTORINI  148-</v>
      </c>
      <c r="C880" t="str">
        <f t="shared" si="122"/>
        <v>PRA</v>
      </c>
      <c r="D880">
        <v>8</v>
      </c>
      <c r="E880" t="str">
        <f t="shared" si="121"/>
        <v>774</v>
      </c>
      <c r="F880" t="str">
        <f>"76"</f>
        <v>76</v>
      </c>
    </row>
    <row r="881" spans="1:6">
      <c r="A881" t="str">
        <f>"E929-151"</f>
        <v>E929-151</v>
      </c>
      <c r="B881" t="str">
        <f t="shared" si="120"/>
        <v>VIA ELIO VITTORINI  148-</v>
      </c>
      <c r="C881" t="str">
        <f t="shared" si="122"/>
        <v>PRA</v>
      </c>
      <c r="D881">
        <v>8</v>
      </c>
      <c r="E881" t="str">
        <f t="shared" si="121"/>
        <v>774</v>
      </c>
      <c r="F881" t="str">
        <f>"75"</f>
        <v>75</v>
      </c>
    </row>
    <row r="882" spans="1:6">
      <c r="A882" t="str">
        <f>"E929-152"</f>
        <v>E929-152</v>
      </c>
      <c r="B882" t="str">
        <f t="shared" si="120"/>
        <v>VIA ELIO VITTORINI  148-</v>
      </c>
      <c r="C882" t="str">
        <f t="shared" si="122"/>
        <v>PRA</v>
      </c>
      <c r="D882">
        <v>8</v>
      </c>
      <c r="E882" t="str">
        <f t="shared" si="121"/>
        <v>774</v>
      </c>
      <c r="F882" t="str">
        <f>"73"</f>
        <v>73</v>
      </c>
    </row>
    <row r="883" spans="1:6">
      <c r="A883" t="str">
        <f>"E929-153"</f>
        <v>E929-153</v>
      </c>
      <c r="B883" t="str">
        <f t="shared" si="120"/>
        <v>VIA ELIO VITTORINI  148-</v>
      </c>
      <c r="C883" t="str">
        <f t="shared" si="122"/>
        <v>PRA</v>
      </c>
      <c r="D883">
        <v>8</v>
      </c>
      <c r="E883" t="str">
        <f t="shared" si="121"/>
        <v>774</v>
      </c>
      <c r="F883" t="str">
        <f>"71"</f>
        <v>71</v>
      </c>
    </row>
    <row r="884" spans="1:6">
      <c r="A884" t="str">
        <f>"E929-154"</f>
        <v>E929-154</v>
      </c>
      <c r="B884" t="str">
        <f t="shared" si="120"/>
        <v>VIA ELIO VITTORINI  148-</v>
      </c>
      <c r="C884" t="str">
        <f t="shared" si="122"/>
        <v>PRA</v>
      </c>
      <c r="D884">
        <v>8</v>
      </c>
      <c r="E884" t="str">
        <f t="shared" si="121"/>
        <v>774</v>
      </c>
      <c r="F884" t="str">
        <f>"69"</f>
        <v>69</v>
      </c>
    </row>
    <row r="885" spans="1:6">
      <c r="A885" t="str">
        <f>"E929-155"</f>
        <v>E929-155</v>
      </c>
      <c r="B885" t="str">
        <f t="shared" si="120"/>
        <v>VIA ELIO VITTORINI  148-</v>
      </c>
      <c r="C885" t="str">
        <f t="shared" si="122"/>
        <v>PRA</v>
      </c>
      <c r="D885">
        <v>8</v>
      </c>
      <c r="E885" t="str">
        <f t="shared" si="121"/>
        <v>774</v>
      </c>
      <c r="F885" t="str">
        <f>"67"</f>
        <v>67</v>
      </c>
    </row>
    <row r="886" spans="1:6">
      <c r="A886" t="str">
        <f>"E929-156"</f>
        <v>E929-156</v>
      </c>
      <c r="B886" t="str">
        <f t="shared" si="120"/>
        <v>VIA ELIO VITTORINI  148-</v>
      </c>
      <c r="C886" t="str">
        <f t="shared" si="122"/>
        <v>PRA</v>
      </c>
      <c r="D886">
        <v>8</v>
      </c>
      <c r="E886" t="str">
        <f t="shared" si="121"/>
        <v>774</v>
      </c>
      <c r="F886" t="str">
        <f>"65"</f>
        <v>65</v>
      </c>
    </row>
    <row r="887" spans="1:6">
      <c r="A887" t="str">
        <f>"E929-157"</f>
        <v>E929-157</v>
      </c>
      <c r="B887" t="str">
        <f t="shared" si="120"/>
        <v>VIA ELIO VITTORINI  148-</v>
      </c>
      <c r="C887" t="str">
        <f t="shared" si="122"/>
        <v>PRA</v>
      </c>
      <c r="D887">
        <v>8</v>
      </c>
      <c r="E887" t="str">
        <f t="shared" si="121"/>
        <v>774</v>
      </c>
      <c r="F887" t="str">
        <f>"44"</f>
        <v>44</v>
      </c>
    </row>
    <row r="888" spans="1:6">
      <c r="A888" t="str">
        <f>"E929-158"</f>
        <v>E929-158</v>
      </c>
      <c r="B888" t="str">
        <f t="shared" si="120"/>
        <v>VIA ELIO VITTORINI  148-</v>
      </c>
      <c r="C888" t="str">
        <f t="shared" si="122"/>
        <v>PRA</v>
      </c>
      <c r="D888">
        <v>8</v>
      </c>
      <c r="E888" t="str">
        <f t="shared" si="121"/>
        <v>774</v>
      </c>
      <c r="F888" t="str">
        <f>"46"</f>
        <v>46</v>
      </c>
    </row>
    <row r="889" spans="1:6">
      <c r="A889" t="str">
        <f>"E929-159"</f>
        <v>E929-159</v>
      </c>
      <c r="B889" t="str">
        <f t="shared" si="120"/>
        <v>VIA ELIO VITTORINI  148-</v>
      </c>
      <c r="C889" t="str">
        <f t="shared" si="122"/>
        <v>PRA</v>
      </c>
      <c r="D889">
        <v>8</v>
      </c>
      <c r="E889" t="str">
        <f t="shared" si="121"/>
        <v>774</v>
      </c>
      <c r="F889" t="str">
        <f>"48"</f>
        <v>48</v>
      </c>
    </row>
    <row r="890" spans="1:6">
      <c r="A890" t="str">
        <f>"E929-160"</f>
        <v>E929-160</v>
      </c>
      <c r="B890" t="str">
        <f t="shared" si="120"/>
        <v>VIA ELIO VITTORINI  148-</v>
      </c>
      <c r="C890" t="str">
        <f t="shared" si="122"/>
        <v>PRA</v>
      </c>
      <c r="D890">
        <v>8</v>
      </c>
      <c r="E890" t="str">
        <f t="shared" si="121"/>
        <v>774</v>
      </c>
      <c r="F890" t="str">
        <f>"49"</f>
        <v>49</v>
      </c>
    </row>
    <row r="891" spans="1:6">
      <c r="A891" t="str">
        <f>"E929-161"</f>
        <v>E929-161</v>
      </c>
      <c r="B891" t="str">
        <f t="shared" si="120"/>
        <v>VIA ELIO VITTORINI  148-</v>
      </c>
      <c r="C891" t="str">
        <f t="shared" si="122"/>
        <v>PRA</v>
      </c>
      <c r="D891">
        <v>8</v>
      </c>
      <c r="E891" t="str">
        <f t="shared" si="121"/>
        <v>774</v>
      </c>
      <c r="F891" t="str">
        <f>"51"</f>
        <v>51</v>
      </c>
    </row>
    <row r="892" spans="1:6">
      <c r="A892" t="str">
        <f>"E929-162"</f>
        <v>E929-162</v>
      </c>
      <c r="B892" t="str">
        <f t="shared" si="120"/>
        <v>VIA ELIO VITTORINI  148-</v>
      </c>
      <c r="C892" t="str">
        <f t="shared" si="122"/>
        <v>PRA</v>
      </c>
      <c r="D892">
        <v>8</v>
      </c>
      <c r="E892" t="str">
        <f t="shared" si="121"/>
        <v>774</v>
      </c>
      <c r="F892" t="str">
        <f>"54"</f>
        <v>54</v>
      </c>
    </row>
    <row r="893" spans="1:6">
      <c r="A893" t="str">
        <f>"E929-163"</f>
        <v>E929-163</v>
      </c>
      <c r="B893" t="str">
        <f t="shared" si="120"/>
        <v>VIA ELIO VITTORINI  148-</v>
      </c>
      <c r="C893" t="str">
        <f t="shared" si="122"/>
        <v>PRA</v>
      </c>
      <c r="D893">
        <v>8</v>
      </c>
      <c r="E893" t="str">
        <f t="shared" si="121"/>
        <v>774</v>
      </c>
      <c r="F893" t="str">
        <f>"56"</f>
        <v>56</v>
      </c>
    </row>
    <row r="894" spans="1:6">
      <c r="A894" t="str">
        <f>"E929-164"</f>
        <v>E929-164</v>
      </c>
      <c r="B894" t="str">
        <f t="shared" si="120"/>
        <v>VIA ELIO VITTORINI  148-</v>
      </c>
      <c r="C894" t="str">
        <f t="shared" si="122"/>
        <v>PRA</v>
      </c>
      <c r="D894">
        <v>8</v>
      </c>
      <c r="E894" t="str">
        <f t="shared" si="121"/>
        <v>774</v>
      </c>
      <c r="F894" t="str">
        <f>"57"</f>
        <v>57</v>
      </c>
    </row>
    <row r="895" spans="1:6">
      <c r="A895" t="str">
        <f>"E929-165"</f>
        <v>E929-165</v>
      </c>
      <c r="B895" t="str">
        <f t="shared" si="120"/>
        <v>VIA ELIO VITTORINI  148-</v>
      </c>
      <c r="C895" t="str">
        <f t="shared" si="122"/>
        <v>PRA</v>
      </c>
      <c r="D895">
        <v>8</v>
      </c>
      <c r="E895" t="str">
        <f t="shared" si="121"/>
        <v>774</v>
      </c>
      <c r="F895" t="str">
        <f>"59"</f>
        <v>59</v>
      </c>
    </row>
    <row r="896" spans="1:6">
      <c r="A896" t="str">
        <f>"E929-166"</f>
        <v>E929-166</v>
      </c>
      <c r="B896" t="str">
        <f t="shared" si="120"/>
        <v>VIA ELIO VITTORINI  148-</v>
      </c>
      <c r="C896" t="str">
        <f t="shared" si="122"/>
        <v>PRA</v>
      </c>
      <c r="D896">
        <v>8</v>
      </c>
      <c r="E896" t="str">
        <f t="shared" si="121"/>
        <v>774</v>
      </c>
      <c r="F896" t="str">
        <f>"61"</f>
        <v>61</v>
      </c>
    </row>
    <row r="897" spans="1:6">
      <c r="A897" t="str">
        <f>"E931-1"</f>
        <v>E931-1</v>
      </c>
      <c r="B897" t="str">
        <f>"VIA CORDANIERI VICINO AL 6-"</f>
        <v>VIA CORDANIERI VICINO AL 6-</v>
      </c>
      <c r="C897" t="str">
        <f t="shared" si="122"/>
        <v>PRA</v>
      </c>
      <c r="D897">
        <v>13</v>
      </c>
      <c r="E897" t="str">
        <f>"45"</f>
        <v>45</v>
      </c>
      <c r="F897" t="str">
        <f t="shared" ref="F897:F902" si="123">"0000"</f>
        <v>0000</v>
      </c>
    </row>
    <row r="898" spans="1:6">
      <c r="C898" t="str">
        <f t="shared" si="122"/>
        <v>PRA</v>
      </c>
      <c r="D898">
        <v>13</v>
      </c>
      <c r="E898" t="str">
        <f>"46"</f>
        <v>46</v>
      </c>
      <c r="F898" t="str">
        <f t="shared" si="123"/>
        <v>0000</v>
      </c>
    </row>
    <row r="899" spans="1:6">
      <c r="C899" t="str">
        <f t="shared" si="122"/>
        <v>PRA</v>
      </c>
      <c r="D899">
        <v>13</v>
      </c>
      <c r="E899" t="str">
        <f>"52"</f>
        <v>52</v>
      </c>
      <c r="F899" t="str">
        <f t="shared" si="123"/>
        <v>0000</v>
      </c>
    </row>
    <row r="900" spans="1:6">
      <c r="C900" t="str">
        <f t="shared" si="122"/>
        <v>PRA</v>
      </c>
      <c r="D900">
        <v>13</v>
      </c>
      <c r="E900" t="str">
        <f>"49"</f>
        <v>49</v>
      </c>
      <c r="F900" t="str">
        <f t="shared" si="123"/>
        <v>0000</v>
      </c>
    </row>
    <row r="901" spans="1:6">
      <c r="C901" t="str">
        <f t="shared" si="122"/>
        <v>PRA</v>
      </c>
      <c r="D901">
        <v>13</v>
      </c>
      <c r="E901" t="str">
        <f>"48"</f>
        <v>48</v>
      </c>
      <c r="F901" t="str">
        <f t="shared" si="123"/>
        <v>0000</v>
      </c>
    </row>
    <row r="902" spans="1:6">
      <c r="C902" t="str">
        <f t="shared" si="122"/>
        <v>PRA</v>
      </c>
      <c r="D902">
        <v>13</v>
      </c>
      <c r="E902" t="str">
        <f>"47"</f>
        <v>47</v>
      </c>
      <c r="F902" t="str">
        <f t="shared" si="123"/>
        <v>0000</v>
      </c>
    </row>
    <row r="903" spans="1:6">
      <c r="A903" t="str">
        <f>"E932-1"</f>
        <v>E932-1</v>
      </c>
      <c r="B903" t="str">
        <f>"VIA CORDANIERI  14-"</f>
        <v>VIA CORDANIERI  14-</v>
      </c>
      <c r="C903" t="str">
        <f t="shared" si="122"/>
        <v>PRA</v>
      </c>
      <c r="D903">
        <v>13</v>
      </c>
      <c r="E903" t="str">
        <f>"39"</f>
        <v>39</v>
      </c>
      <c r="F903" t="str">
        <f>"1"</f>
        <v>1</v>
      </c>
    </row>
    <row r="904" spans="1:6">
      <c r="A904" t="str">
        <f>"E932-2"</f>
        <v>E932-2</v>
      </c>
      <c r="B904" t="str">
        <f>"VIA CORDANIERI  14-"</f>
        <v>VIA CORDANIERI  14-</v>
      </c>
      <c r="C904" t="str">
        <f t="shared" si="122"/>
        <v>PRA</v>
      </c>
      <c r="D904">
        <v>13</v>
      </c>
      <c r="E904" t="str">
        <f>"39"</f>
        <v>39</v>
      </c>
      <c r="F904" t="str">
        <f>"3"</f>
        <v>3</v>
      </c>
    </row>
    <row r="905" spans="1:6">
      <c r="A905" t="str">
        <f>"E932-3"</f>
        <v>E932-3</v>
      </c>
      <c r="B905" t="str">
        <f>"VIA CORDANIERI  14-"</f>
        <v>VIA CORDANIERI  14-</v>
      </c>
      <c r="C905" t="str">
        <f t="shared" si="122"/>
        <v>PRA</v>
      </c>
      <c r="D905">
        <v>13</v>
      </c>
      <c r="E905" t="str">
        <f>"39"</f>
        <v>39</v>
      </c>
      <c r="F905" t="str">
        <f>"2"</f>
        <v>2</v>
      </c>
    </row>
    <row r="906" spans="1:6">
      <c r="C906" t="str">
        <f t="shared" si="122"/>
        <v>PRA</v>
      </c>
      <c r="D906">
        <v>13</v>
      </c>
      <c r="E906" t="str">
        <f>"50"</f>
        <v>50</v>
      </c>
      <c r="F906" t="str">
        <f>"2"</f>
        <v>2</v>
      </c>
    </row>
    <row r="907" spans="1:6">
      <c r="A907" t="str">
        <f>"E933-4"</f>
        <v>E933-4</v>
      </c>
      <c r="B907" t="str">
        <f>"VIA CORDANIERI  6-"</f>
        <v>VIA CORDANIERI  6-</v>
      </c>
      <c r="C907" t="str">
        <f t="shared" si="122"/>
        <v>PRA</v>
      </c>
      <c r="D907">
        <v>13</v>
      </c>
      <c r="E907" t="str">
        <f>"50"</f>
        <v>50</v>
      </c>
      <c r="F907" t="str">
        <f>"1"</f>
        <v>1</v>
      </c>
    </row>
    <row r="908" spans="1:6">
      <c r="A908" t="str">
        <f>"E940-2"</f>
        <v>E940-2</v>
      </c>
      <c r="B908" t="str">
        <f>"VIA RONCHI  49-"</f>
        <v>VIA RONCHI  49-</v>
      </c>
      <c r="C908" t="str">
        <f t="shared" ref="C908:C914" si="124">"PEG"</f>
        <v>PEG</v>
      </c>
      <c r="D908">
        <v>46</v>
      </c>
      <c r="E908" t="str">
        <f>"110"</f>
        <v>110</v>
      </c>
      <c r="F908" t="str">
        <f>"3"</f>
        <v>3</v>
      </c>
    </row>
    <row r="909" spans="1:6">
      <c r="A909" t="str">
        <f>"E943-1"</f>
        <v>E943-1</v>
      </c>
      <c r="B909" t="str">
        <f>"VIA RONCHI  17-"</f>
        <v>VIA RONCHI  17-</v>
      </c>
      <c r="C909" t="str">
        <f t="shared" si="124"/>
        <v>PEG</v>
      </c>
      <c r="D909">
        <v>46</v>
      </c>
      <c r="E909" t="str">
        <f t="shared" ref="E909:E914" si="125">"109"</f>
        <v>109</v>
      </c>
      <c r="F909" t="str">
        <f>"1"</f>
        <v>1</v>
      </c>
    </row>
    <row r="910" spans="1:6">
      <c r="A910" t="str">
        <f>"E944-2"</f>
        <v>E944-2</v>
      </c>
      <c r="B910" t="str">
        <f>"VIA RONCHI  23-"</f>
        <v>VIA RONCHI  23-</v>
      </c>
      <c r="C910" t="str">
        <f t="shared" si="124"/>
        <v>PEG</v>
      </c>
      <c r="D910">
        <v>46</v>
      </c>
      <c r="E910" t="str">
        <f t="shared" si="125"/>
        <v>109</v>
      </c>
      <c r="F910" t="str">
        <f>"3"</f>
        <v>3</v>
      </c>
    </row>
    <row r="911" spans="1:6">
      <c r="A911" t="str">
        <f>"E944-3"</f>
        <v>E944-3</v>
      </c>
      <c r="B911" t="str">
        <f>"VIA RONCHI  25-"</f>
        <v>VIA RONCHI  25-</v>
      </c>
      <c r="C911" t="str">
        <f t="shared" si="124"/>
        <v>PEG</v>
      </c>
      <c r="D911">
        <v>46</v>
      </c>
      <c r="E911" t="str">
        <f t="shared" si="125"/>
        <v>109</v>
      </c>
      <c r="F911" t="str">
        <f>"4"</f>
        <v>4</v>
      </c>
    </row>
    <row r="912" spans="1:6">
      <c r="A912" t="str">
        <f>"E944-4"</f>
        <v>E944-4</v>
      </c>
      <c r="B912" t="str">
        <f>"VIA RONCHI  33-"</f>
        <v>VIA RONCHI  33-</v>
      </c>
      <c r="C912" t="str">
        <f t="shared" si="124"/>
        <v>PEG</v>
      </c>
      <c r="D912">
        <v>46</v>
      </c>
      <c r="E912" t="str">
        <f t="shared" si="125"/>
        <v>109</v>
      </c>
      <c r="F912" t="str">
        <f>"7"</f>
        <v>7</v>
      </c>
    </row>
    <row r="913" spans="1:6">
      <c r="A913" t="str">
        <f>"E944-6"</f>
        <v>E944-6</v>
      </c>
      <c r="B913" t="str">
        <f>"VIA RONCHI  29-"</f>
        <v>VIA RONCHI  29-</v>
      </c>
      <c r="C913" t="str">
        <f t="shared" si="124"/>
        <v>PEG</v>
      </c>
      <c r="D913">
        <v>46</v>
      </c>
      <c r="E913" t="str">
        <f t="shared" si="125"/>
        <v>109</v>
      </c>
      <c r="F913" t="str">
        <f>"5"</f>
        <v>5</v>
      </c>
    </row>
    <row r="914" spans="1:6">
      <c r="A914" t="str">
        <f>"E944-7"</f>
        <v>E944-7</v>
      </c>
      <c r="B914" t="str">
        <f>"VIA RONCHI  37-"</f>
        <v>VIA RONCHI  37-</v>
      </c>
      <c r="C914" t="str">
        <f t="shared" si="124"/>
        <v>PEG</v>
      </c>
      <c r="D914">
        <v>46</v>
      </c>
      <c r="E914" t="str">
        <f t="shared" si="125"/>
        <v>109</v>
      </c>
      <c r="F914" t="str">
        <f>"8"</f>
        <v>8</v>
      </c>
    </row>
    <row r="915" spans="1:6">
      <c r="A915" t="str">
        <f>"E945-1"</f>
        <v>E945-1</v>
      </c>
      <c r="B915" t="str">
        <f>"VIA DEI REGGIO  13-"</f>
        <v>VIA DEI REGGIO  13-</v>
      </c>
      <c r="C915" t="str">
        <f t="shared" ref="C915:C926" si="126">"3"</f>
        <v>3</v>
      </c>
      <c r="D915">
        <v>46</v>
      </c>
      <c r="E915" t="str">
        <f>"196"</f>
        <v>196</v>
      </c>
      <c r="F915" t="str">
        <f t="shared" ref="F915:F929" si="127">"0000"</f>
        <v>0000</v>
      </c>
    </row>
    <row r="916" spans="1:6">
      <c r="C916" t="str">
        <f t="shared" si="126"/>
        <v>3</v>
      </c>
      <c r="D916">
        <v>46</v>
      </c>
      <c r="E916" t="str">
        <f>"197"</f>
        <v>197</v>
      </c>
      <c r="F916" t="str">
        <f t="shared" si="127"/>
        <v>0000</v>
      </c>
    </row>
    <row r="917" spans="1:6">
      <c r="C917" t="str">
        <f t="shared" si="126"/>
        <v>3</v>
      </c>
      <c r="D917">
        <v>46</v>
      </c>
      <c r="E917" t="str">
        <f>"199"</f>
        <v>199</v>
      </c>
      <c r="F917" t="str">
        <f t="shared" si="127"/>
        <v>0000</v>
      </c>
    </row>
    <row r="918" spans="1:6">
      <c r="C918" t="str">
        <f t="shared" si="126"/>
        <v>3</v>
      </c>
      <c r="D918">
        <v>46</v>
      </c>
      <c r="E918" t="str">
        <f>"42"</f>
        <v>42</v>
      </c>
      <c r="F918" t="str">
        <f t="shared" si="127"/>
        <v>0000</v>
      </c>
    </row>
    <row r="919" spans="1:6">
      <c r="C919" t="str">
        <f t="shared" si="126"/>
        <v>3</v>
      </c>
      <c r="D919">
        <v>46</v>
      </c>
      <c r="E919" t="str">
        <f>"201"</f>
        <v>201</v>
      </c>
      <c r="F919" t="str">
        <f t="shared" si="127"/>
        <v>0000</v>
      </c>
    </row>
    <row r="920" spans="1:6">
      <c r="C920" t="str">
        <f t="shared" si="126"/>
        <v>3</v>
      </c>
      <c r="D920">
        <v>46</v>
      </c>
      <c r="E920" t="str">
        <f>"200"</f>
        <v>200</v>
      </c>
      <c r="F920" t="str">
        <f t="shared" si="127"/>
        <v>0000</v>
      </c>
    </row>
    <row r="921" spans="1:6">
      <c r="C921" t="str">
        <f t="shared" si="126"/>
        <v>3</v>
      </c>
      <c r="D921">
        <v>46</v>
      </c>
      <c r="E921" t="str">
        <f>"198"</f>
        <v>198</v>
      </c>
      <c r="F921" t="str">
        <f t="shared" si="127"/>
        <v>0000</v>
      </c>
    </row>
    <row r="922" spans="1:6">
      <c r="C922" t="str">
        <f t="shared" si="126"/>
        <v>3</v>
      </c>
      <c r="D922">
        <v>46</v>
      </c>
      <c r="E922" t="str">
        <f>"44"</f>
        <v>44</v>
      </c>
      <c r="F922" t="str">
        <f t="shared" si="127"/>
        <v>0000</v>
      </c>
    </row>
    <row r="923" spans="1:6">
      <c r="A923" t="str">
        <f>"E946-1"</f>
        <v>E946-1</v>
      </c>
      <c r="B923" t="str">
        <f>"GIARDINI JOHN LENNON  6-"</f>
        <v>GIARDINI JOHN LENNON  6-</v>
      </c>
      <c r="C923" t="str">
        <f t="shared" si="126"/>
        <v>3</v>
      </c>
      <c r="D923">
        <v>46</v>
      </c>
      <c r="E923" t="str">
        <f>"176"</f>
        <v>176</v>
      </c>
      <c r="F923" t="str">
        <f t="shared" si="127"/>
        <v>0000</v>
      </c>
    </row>
    <row r="924" spans="1:6">
      <c r="C924" t="str">
        <f t="shared" si="126"/>
        <v>3</v>
      </c>
      <c r="D924">
        <v>46</v>
      </c>
      <c r="E924" t="str">
        <f>"44"</f>
        <v>44</v>
      </c>
      <c r="F924" t="str">
        <f t="shared" si="127"/>
        <v>0000</v>
      </c>
    </row>
    <row r="925" spans="1:6">
      <c r="C925" t="str">
        <f t="shared" si="126"/>
        <v>3</v>
      </c>
      <c r="D925">
        <v>46</v>
      </c>
      <c r="E925" t="str">
        <f>"474"</f>
        <v>474</v>
      </c>
      <c r="F925" t="str">
        <f t="shared" si="127"/>
        <v>0000</v>
      </c>
    </row>
    <row r="926" spans="1:6">
      <c r="C926" t="str">
        <f t="shared" si="126"/>
        <v>3</v>
      </c>
      <c r="D926">
        <v>46</v>
      </c>
      <c r="E926" t="str">
        <f>"46"</f>
        <v>46</v>
      </c>
      <c r="F926" t="str">
        <f t="shared" si="127"/>
        <v>0000</v>
      </c>
    </row>
    <row r="927" spans="1:6">
      <c r="A927" t="str">
        <f>"E949-1"</f>
        <v>E949-1</v>
      </c>
      <c r="B927" t="str">
        <f>"VIA RONCHI VICINO AL 66-"</f>
        <v>VIA RONCHI VICINO AL 66-</v>
      </c>
      <c r="C927" t="str">
        <f>"PEG"</f>
        <v>PEG</v>
      </c>
      <c r="D927">
        <v>46</v>
      </c>
      <c r="E927" t="str">
        <f>"667"</f>
        <v>667</v>
      </c>
      <c r="F927" t="str">
        <f t="shared" si="127"/>
        <v>0000</v>
      </c>
    </row>
    <row r="928" spans="1:6">
      <c r="A928" t="str">
        <f>"E949-2"</f>
        <v>E949-2</v>
      </c>
      <c r="B928" t="str">
        <f>"VIA RONCHI VICINO AL 66-"</f>
        <v>VIA RONCHI VICINO AL 66-</v>
      </c>
      <c r="C928" t="str">
        <f>"3"</f>
        <v>3</v>
      </c>
      <c r="D928">
        <v>46</v>
      </c>
      <c r="E928" t="str">
        <f>"238"</f>
        <v>238</v>
      </c>
      <c r="F928" t="str">
        <f t="shared" si="127"/>
        <v>0000</v>
      </c>
    </row>
    <row r="929" spans="1:6">
      <c r="C929" t="str">
        <f>"3"</f>
        <v>3</v>
      </c>
      <c r="D929">
        <v>46</v>
      </c>
      <c r="E929" t="str">
        <f>"631"</f>
        <v>631</v>
      </c>
      <c r="F929" t="str">
        <f t="shared" si="127"/>
        <v>0000</v>
      </c>
    </row>
    <row r="930" spans="1:6">
      <c r="A930" t="str">
        <f>"E950-1"</f>
        <v>E950-1</v>
      </c>
      <c r="B930" t="str">
        <f>"VIA GRANARA  10-"</f>
        <v>VIA GRANARA  10-</v>
      </c>
      <c r="C930" t="str">
        <f t="shared" ref="C930:C939" si="128">"PEG"</f>
        <v>PEG</v>
      </c>
      <c r="D930">
        <v>43</v>
      </c>
      <c r="E930" t="str">
        <f>"7"</f>
        <v>7</v>
      </c>
      <c r="F930" t="str">
        <f>"1"</f>
        <v>1</v>
      </c>
    </row>
    <row r="931" spans="1:6">
      <c r="A931" t="str">
        <f>"E951-1"</f>
        <v>E951-1</v>
      </c>
      <c r="B931" t="str">
        <f>"VIA PEGLI  39-"</f>
        <v>VIA PEGLI  39-</v>
      </c>
      <c r="C931" t="str">
        <f t="shared" si="128"/>
        <v>PEG</v>
      </c>
      <c r="D931">
        <v>44</v>
      </c>
      <c r="E931" t="str">
        <f>"190"</f>
        <v>190</v>
      </c>
      <c r="F931" t="str">
        <f>"0000"</f>
        <v>0000</v>
      </c>
    </row>
    <row r="932" spans="1:6">
      <c r="A932" t="str">
        <f>"E952-1"</f>
        <v>E952-1</v>
      </c>
      <c r="B932" t="str">
        <f>"VIA PEGLI VICINO AL 39-"</f>
        <v>VIA PEGLI VICINO AL 39-</v>
      </c>
      <c r="C932" t="str">
        <f t="shared" si="128"/>
        <v>PEG</v>
      </c>
      <c r="D932">
        <v>44</v>
      </c>
      <c r="E932" t="str">
        <f>"192"</f>
        <v>192</v>
      </c>
      <c r="F932" t="str">
        <f>"2"</f>
        <v>2</v>
      </c>
    </row>
    <row r="933" spans="1:6">
      <c r="A933" t="str">
        <f>"E952-2"</f>
        <v>E952-2</v>
      </c>
      <c r="B933" t="str">
        <f>"VIA PEGLI VICINO AL 39-"</f>
        <v>VIA PEGLI VICINO AL 39-</v>
      </c>
      <c r="C933" t="str">
        <f t="shared" si="128"/>
        <v>PEG</v>
      </c>
      <c r="D933">
        <v>44</v>
      </c>
      <c r="E933" t="str">
        <f>"192"</f>
        <v>192</v>
      </c>
      <c r="F933" t="str">
        <f>"3"</f>
        <v>3</v>
      </c>
    </row>
    <row r="934" spans="1:6">
      <c r="A934" t="str">
        <f>"E953-1"</f>
        <v>E953-1</v>
      </c>
      <c r="B934" t="str">
        <f>"VIA PEGLI VICINO AL 39-"</f>
        <v>VIA PEGLI VICINO AL 39-</v>
      </c>
      <c r="C934" t="str">
        <f t="shared" si="128"/>
        <v>PEG</v>
      </c>
      <c r="D934">
        <v>44</v>
      </c>
      <c r="E934" t="str">
        <f>"683"</f>
        <v>683</v>
      </c>
      <c r="F934" t="str">
        <f>"0000"</f>
        <v>0000</v>
      </c>
    </row>
    <row r="935" spans="1:6">
      <c r="A935" t="str">
        <f>"E954-1"</f>
        <v>E954-1</v>
      </c>
      <c r="B935" t="str">
        <f>"VIA MULINETTI DI PEGLI VICINO AL 1-"</f>
        <v>VIA MULINETTI DI PEGLI VICINO AL 1-</v>
      </c>
      <c r="C935" t="str">
        <f t="shared" si="128"/>
        <v>PEG</v>
      </c>
      <c r="D935">
        <v>45</v>
      </c>
      <c r="E935" t="str">
        <f>"507"</f>
        <v>507</v>
      </c>
      <c r="F935" t="str">
        <f>"0000"</f>
        <v>0000</v>
      </c>
    </row>
    <row r="936" spans="1:6">
      <c r="A936" t="str">
        <f>"E956-1"</f>
        <v>E956-1</v>
      </c>
      <c r="B936" t="str">
        <f>"VIALE GIORGIO MODUGNO  20-"</f>
        <v>VIALE GIORGIO MODUGNO  20-</v>
      </c>
      <c r="C936" t="str">
        <f t="shared" si="128"/>
        <v>PEG</v>
      </c>
      <c r="D936">
        <v>44</v>
      </c>
      <c r="E936" t="str">
        <f>"8"</f>
        <v>8</v>
      </c>
      <c r="F936" t="str">
        <f>"0000"</f>
        <v>0000</v>
      </c>
    </row>
    <row r="937" spans="1:6">
      <c r="A937" t="str">
        <f>"E957-1"</f>
        <v>E957-1</v>
      </c>
      <c r="B937" t="str">
        <f>"VIALE GIORGIO MODUGNO  18-"</f>
        <v>VIALE GIORGIO MODUGNO  18-</v>
      </c>
      <c r="C937" t="str">
        <f t="shared" si="128"/>
        <v>PEG</v>
      </c>
      <c r="D937">
        <v>44</v>
      </c>
      <c r="E937" t="str">
        <f>"9"</f>
        <v>9</v>
      </c>
      <c r="F937" t="str">
        <f>"1"</f>
        <v>1</v>
      </c>
    </row>
    <row r="938" spans="1:6">
      <c r="A938" t="str">
        <f>"E957-2"</f>
        <v>E957-2</v>
      </c>
      <c r="B938" t="str">
        <f>"VIALE GIORGIO MODUGNO  18-"</f>
        <v>VIALE GIORGIO MODUGNO  18-</v>
      </c>
      <c r="C938" t="str">
        <f t="shared" si="128"/>
        <v>PEG</v>
      </c>
      <c r="D938">
        <v>44</v>
      </c>
      <c r="E938" t="str">
        <f>"9"</f>
        <v>9</v>
      </c>
      <c r="F938" t="str">
        <f>"2"</f>
        <v>2</v>
      </c>
    </row>
    <row r="939" spans="1:6">
      <c r="A939" t="str">
        <f>"E957-3"</f>
        <v>E957-3</v>
      </c>
      <c r="B939" t="str">
        <f>"VIALE GIORGIO MODUGNO  18-"</f>
        <v>VIALE GIORGIO MODUGNO  18-</v>
      </c>
      <c r="C939" t="str">
        <f t="shared" si="128"/>
        <v>PEG</v>
      </c>
      <c r="D939">
        <v>44</v>
      </c>
      <c r="E939" t="str">
        <f>"9"</f>
        <v>9</v>
      </c>
      <c r="F939" t="str">
        <f>"3"</f>
        <v>3</v>
      </c>
    </row>
    <row r="940" spans="1:6">
      <c r="A940" t="str">
        <f>"E958-1"</f>
        <v>E958-1</v>
      </c>
      <c r="B940" t="str">
        <f>"VIALE GIORGIO MODUGNO  18A-"</f>
        <v>VIALE GIORGIO MODUGNO  18A-</v>
      </c>
      <c r="C940" t="str">
        <f>"3"</f>
        <v>3</v>
      </c>
      <c r="D940">
        <v>44</v>
      </c>
      <c r="E940" t="str">
        <f>"7"</f>
        <v>7</v>
      </c>
      <c r="F940" t="str">
        <f>"0000"</f>
        <v>0000</v>
      </c>
    </row>
    <row r="941" spans="1:6">
      <c r="A941" t="str">
        <f>"E963-1"</f>
        <v>E963-1</v>
      </c>
      <c r="B941" t="str">
        <f>"VIA DELL ARDIMENTO  2-"</f>
        <v>VIA DELL ARDIMENTO  2-</v>
      </c>
      <c r="C941" t="str">
        <f>"3"</f>
        <v>3</v>
      </c>
      <c r="D941">
        <v>38</v>
      </c>
      <c r="E941" t="str">
        <f>"1"</f>
        <v>1</v>
      </c>
      <c r="F941" t="str">
        <f>"0000"</f>
        <v>0000</v>
      </c>
    </row>
    <row r="942" spans="1:6">
      <c r="A942" t="str">
        <f>"E964-1"</f>
        <v>E964-1</v>
      </c>
      <c r="B942" t="str">
        <f>"VIA IGNAZIO PALLAVICINI  3A-"</f>
        <v>VIA IGNAZIO PALLAVICINI  3A-</v>
      </c>
      <c r="C942" t="str">
        <f t="shared" ref="C942:C951" si="129">"PEG"</f>
        <v>PEG</v>
      </c>
      <c r="D942">
        <v>45</v>
      </c>
      <c r="E942" t="str">
        <f t="shared" ref="E942:E948" si="130">"357"</f>
        <v>357</v>
      </c>
      <c r="F942" t="str">
        <f>"1"</f>
        <v>1</v>
      </c>
    </row>
    <row r="943" spans="1:6">
      <c r="A943" t="str">
        <f>"E964-2"</f>
        <v>E964-2</v>
      </c>
      <c r="B943" t="str">
        <f>"VIA IGNAZIO PALLAVICINI  3A-"</f>
        <v>VIA IGNAZIO PALLAVICINI  3A-</v>
      </c>
      <c r="C943" t="str">
        <f t="shared" si="129"/>
        <v>PEG</v>
      </c>
      <c r="D943">
        <v>45</v>
      </c>
      <c r="E943" t="str">
        <f t="shared" si="130"/>
        <v>357</v>
      </c>
      <c r="F943" t="str">
        <f>"2"</f>
        <v>2</v>
      </c>
    </row>
    <row r="944" spans="1:6">
      <c r="A944" t="str">
        <f>"E964-3"</f>
        <v>E964-3</v>
      </c>
      <c r="B944" t="str">
        <f>"VIA IGNAZIO PALLAVICINI  5-"</f>
        <v>VIA IGNAZIO PALLAVICINI  5-</v>
      </c>
      <c r="C944" t="str">
        <f t="shared" si="129"/>
        <v>PEG</v>
      </c>
      <c r="D944">
        <v>45</v>
      </c>
      <c r="E944" t="str">
        <f t="shared" si="130"/>
        <v>357</v>
      </c>
      <c r="F944" t="str">
        <f>"3"</f>
        <v>3</v>
      </c>
    </row>
    <row r="945" spans="1:6">
      <c r="A945" t="str">
        <f>"E964-4"</f>
        <v>E964-4</v>
      </c>
      <c r="B945" t="str">
        <f>"VIA IGNAZIO PALLAVICINI  5-"</f>
        <v>VIA IGNAZIO PALLAVICINI  5-</v>
      </c>
      <c r="C945" t="str">
        <f t="shared" si="129"/>
        <v>PEG</v>
      </c>
      <c r="D945">
        <v>45</v>
      </c>
      <c r="E945" t="str">
        <f t="shared" si="130"/>
        <v>357</v>
      </c>
      <c r="F945" t="str">
        <f>"4"</f>
        <v>4</v>
      </c>
    </row>
    <row r="946" spans="1:6">
      <c r="A946" t="str">
        <f>"E964-6"</f>
        <v>E964-6</v>
      </c>
      <c r="B946" t="str">
        <f>"VIA IGNAZIO PALLAVICINI  5-"</f>
        <v>VIA IGNAZIO PALLAVICINI  5-</v>
      </c>
      <c r="C946" t="str">
        <f t="shared" si="129"/>
        <v>PEG</v>
      </c>
      <c r="D946">
        <v>45</v>
      </c>
      <c r="E946" t="str">
        <f t="shared" si="130"/>
        <v>357</v>
      </c>
      <c r="F946" t="str">
        <f>"6"</f>
        <v>6</v>
      </c>
    </row>
    <row r="947" spans="1:6">
      <c r="A947" t="str">
        <f>"E964-8"</f>
        <v>E964-8</v>
      </c>
      <c r="B947" t="str">
        <f>"VIA IGNAZIO PALLAVICINI  7-"</f>
        <v>VIA IGNAZIO PALLAVICINI  7-</v>
      </c>
      <c r="C947" t="str">
        <f t="shared" si="129"/>
        <v>PEG</v>
      </c>
      <c r="D947">
        <v>45</v>
      </c>
      <c r="E947" t="str">
        <f t="shared" si="130"/>
        <v>357</v>
      </c>
      <c r="F947" t="str">
        <f>"8"</f>
        <v>8</v>
      </c>
    </row>
    <row r="948" spans="1:6">
      <c r="A948" t="str">
        <f>"E964-9"</f>
        <v>E964-9</v>
      </c>
      <c r="B948" t="str">
        <f>"VIA IGNAZIO PALLAVICINI  3A-"</f>
        <v>VIA IGNAZIO PALLAVICINI  3A-</v>
      </c>
      <c r="C948" t="str">
        <f t="shared" si="129"/>
        <v>PEG</v>
      </c>
      <c r="D948">
        <v>45</v>
      </c>
      <c r="E948" t="str">
        <f t="shared" si="130"/>
        <v>357</v>
      </c>
      <c r="F948" t="str">
        <f>"9"</f>
        <v>9</v>
      </c>
    </row>
    <row r="949" spans="1:6">
      <c r="A949" t="str">
        <f>"E966-1"</f>
        <v>E966-1</v>
      </c>
      <c r="B949" t="str">
        <f>"VIA SAN CARLO DI CESE  59-"</f>
        <v>VIA SAN CARLO DI CESE  59-</v>
      </c>
      <c r="C949" t="str">
        <f t="shared" si="129"/>
        <v>PEG</v>
      </c>
      <c r="D949">
        <v>26</v>
      </c>
      <c r="E949" t="str">
        <f>"259"</f>
        <v>259</v>
      </c>
      <c r="F949" t="str">
        <f>"1"</f>
        <v>1</v>
      </c>
    </row>
    <row r="950" spans="1:6">
      <c r="A950" t="str">
        <f>"E966-3"</f>
        <v>E966-3</v>
      </c>
      <c r="B950" t="str">
        <f>"VIA SAN CARLO DI CESE  59-"</f>
        <v>VIA SAN CARLO DI CESE  59-</v>
      </c>
      <c r="C950" t="str">
        <f t="shared" si="129"/>
        <v>PEG</v>
      </c>
      <c r="D950">
        <v>26</v>
      </c>
      <c r="E950" t="str">
        <f>"259"</f>
        <v>259</v>
      </c>
      <c r="F950" t="str">
        <f>"2"</f>
        <v>2</v>
      </c>
    </row>
    <row r="951" spans="1:6">
      <c r="A951" t="str">
        <f>"E966-4"</f>
        <v>E966-4</v>
      </c>
      <c r="B951" t="str">
        <f>"VIA SAN CARLO DI CESE  59-"</f>
        <v>VIA SAN CARLO DI CESE  59-</v>
      </c>
      <c r="C951" t="str">
        <f t="shared" si="129"/>
        <v>PEG</v>
      </c>
      <c r="D951">
        <v>26</v>
      </c>
      <c r="E951" t="str">
        <f>"259"</f>
        <v>259</v>
      </c>
      <c r="F951" t="str">
        <f>"0"</f>
        <v>0</v>
      </c>
    </row>
    <row r="952" spans="1:6">
      <c r="A952" t="str">
        <f>"E967-1"</f>
        <v>E967-1</v>
      </c>
      <c r="B952" t="str">
        <f>"P.ZA CRISTOFORO BONAVINO  4A-"</f>
        <v>P.ZA CRISTOFORO BONAVINO  4A-</v>
      </c>
      <c r="C952" t="str">
        <f>"3"</f>
        <v>3</v>
      </c>
      <c r="D952">
        <v>42</v>
      </c>
      <c r="E952" t="str">
        <f>"244"</f>
        <v>244</v>
      </c>
      <c r="F952" t="str">
        <f>"0000"</f>
        <v>0000</v>
      </c>
    </row>
    <row r="953" spans="1:6">
      <c r="C953" t="str">
        <f>"3"</f>
        <v>3</v>
      </c>
      <c r="D953">
        <v>45</v>
      </c>
      <c r="E953" t="str">
        <f>"142"</f>
        <v>142</v>
      </c>
      <c r="F953" t="str">
        <f>"0000"</f>
        <v>0000</v>
      </c>
    </row>
    <row r="954" spans="1:6">
      <c r="A954" t="str">
        <f>"E968-1"</f>
        <v>E968-1</v>
      </c>
      <c r="B954" t="str">
        <f>"VIA PIETRO ROSTAN  7-"</f>
        <v>VIA PIETRO ROSTAN  7-</v>
      </c>
      <c r="C954" t="str">
        <f t="shared" ref="C954:C969" si="131">"PEG"</f>
        <v>PEG</v>
      </c>
      <c r="D954">
        <v>47</v>
      </c>
      <c r="E954" t="str">
        <f>"34"</f>
        <v>34</v>
      </c>
      <c r="F954" t="str">
        <f>"1"</f>
        <v>1</v>
      </c>
    </row>
    <row r="955" spans="1:6">
      <c r="A955" t="str">
        <f>"E968-2"</f>
        <v>E968-2</v>
      </c>
      <c r="B955" t="str">
        <f>"VIA PIETRO ROSTAN  7-"</f>
        <v>VIA PIETRO ROSTAN  7-</v>
      </c>
      <c r="C955" t="str">
        <f t="shared" si="131"/>
        <v>PEG</v>
      </c>
      <c r="D955">
        <v>47</v>
      </c>
      <c r="E955" t="str">
        <f>"34"</f>
        <v>34</v>
      </c>
      <c r="F955" t="str">
        <f>"2"</f>
        <v>2</v>
      </c>
    </row>
    <row r="956" spans="1:6">
      <c r="A956" t="str">
        <f>"E969-1"</f>
        <v>E969-1</v>
      </c>
      <c r="B956" t="str">
        <f>"VIA VARENNA  148R-"</f>
        <v>VIA VARENNA  148R-</v>
      </c>
      <c r="C956" t="str">
        <f t="shared" si="131"/>
        <v>PEG</v>
      </c>
      <c r="D956">
        <v>42</v>
      </c>
      <c r="E956" t="str">
        <f>"204"</f>
        <v>204</v>
      </c>
      <c r="F956" t="str">
        <f>"0000"</f>
        <v>0000</v>
      </c>
    </row>
    <row r="957" spans="1:6">
      <c r="A957" t="str">
        <f>"E969-1"</f>
        <v>E969-1</v>
      </c>
      <c r="B957" t="str">
        <f>"VIA VARENNA  148R-"</f>
        <v>VIA VARENNA  148R-</v>
      </c>
      <c r="C957" t="str">
        <f t="shared" si="131"/>
        <v>PEG</v>
      </c>
      <c r="D957">
        <v>42</v>
      </c>
      <c r="E957" t="str">
        <f>"405"</f>
        <v>405</v>
      </c>
      <c r="F957" t="str">
        <f>"0000"</f>
        <v>0000</v>
      </c>
    </row>
    <row r="958" spans="1:6">
      <c r="A958" t="str">
        <f>"E970-1"</f>
        <v>E970-1</v>
      </c>
      <c r="B958" t="str">
        <f>"VIA PEGLI  2-"</f>
        <v>VIA PEGLI  2-</v>
      </c>
      <c r="C958" t="str">
        <f t="shared" si="131"/>
        <v>PEG</v>
      </c>
      <c r="D958">
        <v>45</v>
      </c>
      <c r="E958" t="str">
        <f>"600"</f>
        <v>600</v>
      </c>
      <c r="F958" t="str">
        <f>"0000"</f>
        <v>0000</v>
      </c>
    </row>
    <row r="959" spans="1:6">
      <c r="A959" t="str">
        <f>"E971-1"</f>
        <v>E971-1</v>
      </c>
      <c r="B959" t="str">
        <f>"VIA CIALLI  9-"</f>
        <v>VIA CIALLI  9-</v>
      </c>
      <c r="C959" t="str">
        <f t="shared" si="131"/>
        <v>PEG</v>
      </c>
      <c r="D959">
        <v>45</v>
      </c>
      <c r="E959" t="str">
        <f>"503"</f>
        <v>503</v>
      </c>
      <c r="F959" t="str">
        <f>"2"</f>
        <v>2</v>
      </c>
    </row>
    <row r="960" spans="1:6">
      <c r="C960" t="str">
        <f t="shared" si="131"/>
        <v>PEG</v>
      </c>
      <c r="D960">
        <v>45</v>
      </c>
      <c r="E960" t="str">
        <f>"511"</f>
        <v>511</v>
      </c>
      <c r="F960" t="str">
        <f>"2"</f>
        <v>2</v>
      </c>
    </row>
    <row r="961" spans="1:6">
      <c r="A961" t="str">
        <f>"E972-1"</f>
        <v>E972-1</v>
      </c>
      <c r="B961" t="str">
        <f>"VIA CIALLI  3R-"</f>
        <v>VIA CIALLI  3R-</v>
      </c>
      <c r="C961" t="str">
        <f t="shared" si="131"/>
        <v>PEG</v>
      </c>
      <c r="D961">
        <v>45</v>
      </c>
      <c r="E961" t="str">
        <f>"503"</f>
        <v>503</v>
      </c>
      <c r="F961" t="str">
        <f>"1"</f>
        <v>1</v>
      </c>
    </row>
    <row r="962" spans="1:6">
      <c r="C962" t="str">
        <f t="shared" si="131"/>
        <v>PEG</v>
      </c>
      <c r="D962">
        <v>45</v>
      </c>
      <c r="E962" t="str">
        <f>"511"</f>
        <v>511</v>
      </c>
      <c r="F962" t="str">
        <f>"1"</f>
        <v>1</v>
      </c>
    </row>
    <row r="963" spans="1:6">
      <c r="A963" t="str">
        <f>"E973-1"</f>
        <v>E973-1</v>
      </c>
      <c r="B963" t="str">
        <f>"VIA CIALLI  1AR-"</f>
        <v>VIA CIALLI  1AR-</v>
      </c>
      <c r="C963" t="str">
        <f t="shared" si="131"/>
        <v>PEG</v>
      </c>
      <c r="D963">
        <v>45</v>
      </c>
      <c r="E963" t="str">
        <f>"685"</f>
        <v>685</v>
      </c>
      <c r="F963" t="str">
        <f>"36"</f>
        <v>36</v>
      </c>
    </row>
    <row r="964" spans="1:6">
      <c r="A964" t="str">
        <f>"E974-1"</f>
        <v>E974-1</v>
      </c>
      <c r="B964" t="str">
        <f>"PIAZZA LIDO DI PEGLI  2A-"</f>
        <v>PIAZZA LIDO DI PEGLI  2A-</v>
      </c>
      <c r="C964" t="str">
        <f t="shared" si="131"/>
        <v>PEG</v>
      </c>
      <c r="D964">
        <v>44</v>
      </c>
      <c r="E964" t="str">
        <f>"175"</f>
        <v>175</v>
      </c>
      <c r="F964" t="str">
        <f>"0000"</f>
        <v>0000</v>
      </c>
    </row>
    <row r="965" spans="1:6">
      <c r="A965" t="str">
        <f>"E975-1"</f>
        <v>E975-1</v>
      </c>
      <c r="B965" t="str">
        <f>"VIA GIOVANNI OPISSO  37-"</f>
        <v>VIA GIOVANNI OPISSO  37-</v>
      </c>
      <c r="C965" t="str">
        <f t="shared" si="131"/>
        <v>PEG</v>
      </c>
      <c r="D965">
        <v>45</v>
      </c>
      <c r="E965" t="str">
        <f>"476"</f>
        <v>476</v>
      </c>
      <c r="F965" t="str">
        <f>"1"</f>
        <v>1</v>
      </c>
    </row>
    <row r="966" spans="1:6">
      <c r="A966" t="str">
        <f>"E975-2"</f>
        <v>E975-2</v>
      </c>
      <c r="B966" t="str">
        <f>"VIA GIOVANNI OPISSO  37-"</f>
        <v>VIA GIOVANNI OPISSO  37-</v>
      </c>
      <c r="C966" t="str">
        <f t="shared" si="131"/>
        <v>PEG</v>
      </c>
      <c r="D966">
        <v>45</v>
      </c>
      <c r="E966" t="str">
        <f>"476"</f>
        <v>476</v>
      </c>
      <c r="F966" t="str">
        <f>"2"</f>
        <v>2</v>
      </c>
    </row>
    <row r="967" spans="1:6">
      <c r="A967" t="str">
        <f>"E980-2"</f>
        <v>E980-2</v>
      </c>
      <c r="B967" t="str">
        <f>"VIA CARLOFORTE  23R-"</f>
        <v>VIA CARLOFORTE  23R-</v>
      </c>
      <c r="C967" t="str">
        <f t="shared" si="131"/>
        <v>PEG</v>
      </c>
      <c r="D967">
        <v>44</v>
      </c>
      <c r="E967" t="str">
        <f>"122"</f>
        <v>122</v>
      </c>
      <c r="F967" t="str">
        <f>"9"</f>
        <v>9</v>
      </c>
    </row>
    <row r="968" spans="1:6">
      <c r="A968" t="str">
        <f>"E982-1"</f>
        <v>E982-1</v>
      </c>
      <c r="B968" t="str">
        <f>"VIA TEODORO II DI MONFER  3R-"</f>
        <v>VIA TEODORO II DI MONFER  3R-</v>
      </c>
      <c r="C968" t="str">
        <f t="shared" si="131"/>
        <v>PEG</v>
      </c>
      <c r="D968">
        <v>45</v>
      </c>
      <c r="E968" t="str">
        <f>"190"</f>
        <v>190</v>
      </c>
      <c r="F968" t="str">
        <f>"1"</f>
        <v>1</v>
      </c>
    </row>
    <row r="969" spans="1:6">
      <c r="A969" t="str">
        <f>"E982-2"</f>
        <v>E982-2</v>
      </c>
      <c r="B969" t="str">
        <f>"VIA TEODORO II DI MONFER VICINO AL 3R-"</f>
        <v>VIA TEODORO II DI MONFER VICINO AL 3R-</v>
      </c>
      <c r="C969" t="str">
        <f t="shared" si="131"/>
        <v>PEG</v>
      </c>
      <c r="D969">
        <v>45</v>
      </c>
      <c r="E969" t="str">
        <f>"190"</f>
        <v>190</v>
      </c>
      <c r="F969" t="str">
        <f>"2"</f>
        <v>2</v>
      </c>
    </row>
    <row r="970" spans="1:6">
      <c r="A970" t="str">
        <f>"E983-1"</f>
        <v>E983-1</v>
      </c>
      <c r="B970" t="str">
        <f>"VIA PACORET DE SAINT BON VICINO AL 1-"</f>
        <v>VIA PACORET DE SAINT BON VICINO AL 1-</v>
      </c>
      <c r="C970" t="str">
        <f>"3"</f>
        <v>3</v>
      </c>
      <c r="D970">
        <v>47</v>
      </c>
      <c r="E970" t="str">
        <f>"99999"</f>
        <v>99999</v>
      </c>
      <c r="F970" t="str">
        <f>"0000"</f>
        <v>0000</v>
      </c>
    </row>
    <row r="971" spans="1:6">
      <c r="A971" t="str">
        <f>"E984-1"</f>
        <v>E984-1</v>
      </c>
      <c r="B971" t="str">
        <f>"VIA SABOTINO  60R-"</f>
        <v>VIA SABOTINO  60R-</v>
      </c>
      <c r="C971" t="str">
        <f>"3"</f>
        <v>3</v>
      </c>
      <c r="D971">
        <v>45</v>
      </c>
      <c r="E971" t="str">
        <f>"258"</f>
        <v>258</v>
      </c>
      <c r="F971" t="str">
        <f>"0000"</f>
        <v>0000</v>
      </c>
    </row>
    <row r="972" spans="1:6">
      <c r="C972" t="str">
        <f>"3"</f>
        <v>3</v>
      </c>
      <c r="D972">
        <v>45</v>
      </c>
      <c r="E972" t="str">
        <f>"563"</f>
        <v>563</v>
      </c>
      <c r="F972" t="str">
        <f>"0000"</f>
        <v>0000</v>
      </c>
    </row>
    <row r="973" spans="1:6">
      <c r="A973" t="str">
        <f>"E988-1"</f>
        <v>E988-1</v>
      </c>
      <c r="B973" t="str">
        <f>"VIA B MARTINO DA PEGLI VICINO AL 11-"</f>
        <v>VIA B MARTINO DA PEGLI VICINO AL 11-</v>
      </c>
      <c r="C973" t="str">
        <f>"PEG"</f>
        <v>PEG</v>
      </c>
      <c r="D973">
        <v>42</v>
      </c>
      <c r="E973" t="str">
        <f>"A"</f>
        <v>A</v>
      </c>
      <c r="F973" t="str">
        <f>"0000"</f>
        <v>0000</v>
      </c>
    </row>
    <row r="974" spans="1:6">
      <c r="A974" t="str">
        <f>"E1019-1"</f>
        <v>E1019-1</v>
      </c>
      <c r="B974" t="str">
        <f>"P.ZA CRISTOFORO BONAVINO  5-"</f>
        <v>P.ZA CRISTOFORO BONAVINO  5-</v>
      </c>
      <c r="C974" t="str">
        <f>"PEG"</f>
        <v>PEG</v>
      </c>
      <c r="D974">
        <v>42</v>
      </c>
      <c r="E974" t="str">
        <f>"272"</f>
        <v>272</v>
      </c>
      <c r="F974" t="str">
        <f>"1"</f>
        <v>1</v>
      </c>
    </row>
    <row r="975" spans="1:6">
      <c r="A975" t="str">
        <f>"E1019-2"</f>
        <v>E1019-2</v>
      </c>
      <c r="B975" t="str">
        <f>"VIA MARCELLO PRESTINARI  1-"</f>
        <v>VIA MARCELLO PRESTINARI  1-</v>
      </c>
      <c r="C975" t="str">
        <f>"PEG"</f>
        <v>PEG</v>
      </c>
      <c r="D975">
        <v>42</v>
      </c>
      <c r="E975" t="str">
        <f>"272"</f>
        <v>272</v>
      </c>
      <c r="F975" t="str">
        <f>"2"</f>
        <v>2</v>
      </c>
    </row>
    <row r="976" spans="1:6">
      <c r="A976" t="str">
        <f>"E1020-1"</f>
        <v>E1020-1</v>
      </c>
      <c r="B976" t="str">
        <f>"P.ZA CRISTOFORO BONAVINO VICINO AL 6-"</f>
        <v>P.ZA CRISTOFORO BONAVINO VICINO AL 6-</v>
      </c>
      <c r="C976" t="str">
        <f>"3"</f>
        <v>3</v>
      </c>
      <c r="D976">
        <v>42</v>
      </c>
      <c r="E976" t="str">
        <f>"271"</f>
        <v>271</v>
      </c>
      <c r="F976" t="str">
        <f>"0000"</f>
        <v>0000</v>
      </c>
    </row>
    <row r="977" spans="1:6">
      <c r="A977" t="str">
        <f>"E1021-1"</f>
        <v>E1021-1</v>
      </c>
      <c r="B977" t="str">
        <f>"P.ZA CRISTOFORO BONAVINO VICINO AL 6-"</f>
        <v>P.ZA CRISTOFORO BONAVINO VICINO AL 6-</v>
      </c>
      <c r="C977" t="str">
        <f>"3"</f>
        <v>3</v>
      </c>
      <c r="D977">
        <v>42</v>
      </c>
      <c r="E977" t="str">
        <f>"270"</f>
        <v>270</v>
      </c>
      <c r="F977" t="str">
        <f>"0000"</f>
        <v>0000</v>
      </c>
    </row>
    <row r="978" spans="1:6">
      <c r="A978" t="str">
        <f>"E1027-1"</f>
        <v>E1027-1</v>
      </c>
      <c r="B978" t="str">
        <f>"VIA IGNAZIO PALLAVICINI  9-"</f>
        <v>VIA IGNAZIO PALLAVICINI  9-</v>
      </c>
      <c r="C978" t="str">
        <f>"PEG"</f>
        <v>PEG</v>
      </c>
      <c r="D978">
        <v>45</v>
      </c>
      <c r="E978" t="str">
        <f>"346"</f>
        <v>346</v>
      </c>
      <c r="F978" t="str">
        <f>"0000"</f>
        <v>0000</v>
      </c>
    </row>
    <row r="979" spans="1:6">
      <c r="A979" t="str">
        <f>"E1028-1"</f>
        <v>E1028-1</v>
      </c>
      <c r="B979" t="str">
        <f>"VIA IGNAZIO PALLAVICINI  13-"</f>
        <v>VIA IGNAZIO PALLAVICINI  13-</v>
      </c>
      <c r="C979" t="str">
        <f>"PEG"</f>
        <v>PEG</v>
      </c>
      <c r="D979">
        <v>45</v>
      </c>
      <c r="E979" t="str">
        <f>"345"</f>
        <v>345</v>
      </c>
      <c r="F979" t="str">
        <f>"0000"</f>
        <v>0000</v>
      </c>
    </row>
    <row r="980" spans="1:6">
      <c r="A980" t="str">
        <f>"E1028-2"</f>
        <v>E1028-2</v>
      </c>
      <c r="B980" t="str">
        <f>"VIA IGNAZIO PALLAVICINI  13-"</f>
        <v>VIA IGNAZIO PALLAVICINI  13-</v>
      </c>
      <c r="C980" t="str">
        <f>"3"</f>
        <v>3</v>
      </c>
      <c r="D980">
        <v>45</v>
      </c>
      <c r="E980" t="str">
        <f>"345"</f>
        <v>345</v>
      </c>
      <c r="F980" t="str">
        <f>"0000"</f>
        <v>0000</v>
      </c>
    </row>
    <row r="981" spans="1:6">
      <c r="A981" t="str">
        <f>"E1029-1"</f>
        <v>E1029-1</v>
      </c>
      <c r="B981" t="str">
        <f t="shared" ref="B981:B986" si="132">"VIA B MARTINO DA PEGLI  9-"</f>
        <v>VIA B MARTINO DA PEGLI  9-</v>
      </c>
      <c r="C981" t="str">
        <f>"PEG"</f>
        <v>PEG</v>
      </c>
      <c r="D981">
        <v>45</v>
      </c>
      <c r="E981" t="str">
        <f t="shared" ref="E981:E986" si="133">"151"</f>
        <v>151</v>
      </c>
      <c r="F981" t="str">
        <f>"1"</f>
        <v>1</v>
      </c>
    </row>
    <row r="982" spans="1:6">
      <c r="A982" t="str">
        <f>"E1029-2"</f>
        <v>E1029-2</v>
      </c>
      <c r="B982" t="str">
        <f t="shared" si="132"/>
        <v>VIA B MARTINO DA PEGLI  9-</v>
      </c>
      <c r="C982" t="str">
        <f>"3"</f>
        <v>3</v>
      </c>
      <c r="D982">
        <v>45</v>
      </c>
      <c r="E982" t="str">
        <f t="shared" si="133"/>
        <v>151</v>
      </c>
      <c r="F982" t="str">
        <f>"0000"</f>
        <v>0000</v>
      </c>
    </row>
    <row r="983" spans="1:6">
      <c r="A983" t="str">
        <f>"E1029-3"</f>
        <v>E1029-3</v>
      </c>
      <c r="B983" t="str">
        <f t="shared" si="132"/>
        <v>VIA B MARTINO DA PEGLI  9-</v>
      </c>
      <c r="C983" t="str">
        <f>"PEG"</f>
        <v>PEG</v>
      </c>
      <c r="D983">
        <v>45</v>
      </c>
      <c r="E983" t="str">
        <f t="shared" si="133"/>
        <v>151</v>
      </c>
      <c r="F983" t="str">
        <f>"2"</f>
        <v>2</v>
      </c>
    </row>
    <row r="984" spans="1:6">
      <c r="A984" t="str">
        <f>"E1029-4"</f>
        <v>E1029-4</v>
      </c>
      <c r="B984" t="str">
        <f t="shared" si="132"/>
        <v>VIA B MARTINO DA PEGLI  9-</v>
      </c>
      <c r="C984" t="str">
        <f>"3"</f>
        <v>3</v>
      </c>
      <c r="D984">
        <v>45</v>
      </c>
      <c r="E984" t="str">
        <f t="shared" si="133"/>
        <v>151</v>
      </c>
      <c r="F984" t="str">
        <f>"0000"</f>
        <v>0000</v>
      </c>
    </row>
    <row r="985" spans="1:6">
      <c r="A985" t="str">
        <f>"E1029-5"</f>
        <v>E1029-5</v>
      </c>
      <c r="B985" t="str">
        <f t="shared" si="132"/>
        <v>VIA B MARTINO DA PEGLI  9-</v>
      </c>
      <c r="C985" t="str">
        <f>"PEG"</f>
        <v>PEG</v>
      </c>
      <c r="D985">
        <v>45</v>
      </c>
      <c r="E985" t="str">
        <f t="shared" si="133"/>
        <v>151</v>
      </c>
      <c r="F985" t="str">
        <f>"3"</f>
        <v>3</v>
      </c>
    </row>
    <row r="986" spans="1:6">
      <c r="A986" t="str">
        <f>"E1029-6"</f>
        <v>E1029-6</v>
      </c>
      <c r="B986" t="str">
        <f t="shared" si="132"/>
        <v>VIA B MARTINO DA PEGLI  9-</v>
      </c>
      <c r="C986" t="str">
        <f>"3"</f>
        <v>3</v>
      </c>
      <c r="D986">
        <v>45</v>
      </c>
      <c r="E986" t="str">
        <f t="shared" si="133"/>
        <v>151</v>
      </c>
      <c r="F986" t="str">
        <f>"0000"</f>
        <v>0000</v>
      </c>
    </row>
    <row r="987" spans="1:6">
      <c r="A987" t="str">
        <f>"E1030-1"</f>
        <v>E1030-1</v>
      </c>
      <c r="B987" t="str">
        <f>"VIA IGNAZIO PALLAVICINI  11-"</f>
        <v>VIA IGNAZIO PALLAVICINI  11-</v>
      </c>
      <c r="C987" t="str">
        <f>"PEG"</f>
        <v>PEG</v>
      </c>
      <c r="D987">
        <v>42</v>
      </c>
      <c r="E987" t="str">
        <f>"278"</f>
        <v>278</v>
      </c>
      <c r="F987" t="str">
        <f>"1"</f>
        <v>1</v>
      </c>
    </row>
    <row r="988" spans="1:6">
      <c r="A988" t="str">
        <f>"E1030-2"</f>
        <v>E1030-2</v>
      </c>
      <c r="B988" t="str">
        <f>"VIA IGNAZIO PALLAVICINI  11-"</f>
        <v>VIA IGNAZIO PALLAVICINI  11-</v>
      </c>
      <c r="C988" t="str">
        <f>"PEG"</f>
        <v>PEG</v>
      </c>
      <c r="D988">
        <v>42</v>
      </c>
      <c r="E988" t="str">
        <f>"278"</f>
        <v>278</v>
      </c>
      <c r="F988" t="str">
        <f>"2"</f>
        <v>2</v>
      </c>
    </row>
    <row r="989" spans="1:6">
      <c r="A989" t="str">
        <f>"E1030-3"</f>
        <v>E1030-3</v>
      </c>
      <c r="B989" t="str">
        <f>"VIA IGNAZIO PALLAVICINI  11-"</f>
        <v>VIA IGNAZIO PALLAVICINI  11-</v>
      </c>
      <c r="C989" t="str">
        <f>"PEG"</f>
        <v>PEG</v>
      </c>
      <c r="D989">
        <v>42</v>
      </c>
      <c r="E989" t="str">
        <f>"278"</f>
        <v>278</v>
      </c>
      <c r="F989" t="str">
        <f>"3"</f>
        <v>3</v>
      </c>
    </row>
    <row r="990" spans="1:6">
      <c r="A990" t="str">
        <f>"E1031-1"</f>
        <v>E1031-1</v>
      </c>
      <c r="B990" t="str">
        <f>"VIA IGNAZIO PALLAVICINI  11-"</f>
        <v>VIA IGNAZIO PALLAVICINI  11-</v>
      </c>
      <c r="C990" t="str">
        <f>"3"</f>
        <v>3</v>
      </c>
      <c r="D990">
        <v>42</v>
      </c>
      <c r="E990" t="str">
        <f>"186"</f>
        <v>186</v>
      </c>
      <c r="F990" t="str">
        <f>"0000"</f>
        <v>0000</v>
      </c>
    </row>
    <row r="991" spans="1:6">
      <c r="A991" t="str">
        <f>"E1032-1"</f>
        <v>E1032-1</v>
      </c>
      <c r="B991" t="str">
        <f>"VIA IGNAZIO PALLAVICINI  11-"</f>
        <v>VIA IGNAZIO PALLAVICINI  11-</v>
      </c>
      <c r="C991" t="str">
        <f>"3"</f>
        <v>3</v>
      </c>
      <c r="D991">
        <v>42</v>
      </c>
      <c r="E991" t="str">
        <f>"185"</f>
        <v>185</v>
      </c>
      <c r="F991" t="str">
        <f>"0000"</f>
        <v>0000</v>
      </c>
    </row>
    <row r="992" spans="1:6">
      <c r="A992" t="str">
        <f>"E1080-1"</f>
        <v>E1080-1</v>
      </c>
      <c r="B992" t="str">
        <f t="shared" ref="B992:B1008" si="134">"VIA AGOSTINO NOVELLA  4-"</f>
        <v>VIA AGOSTINO NOVELLA  4-</v>
      </c>
      <c r="C992" t="str">
        <f t="shared" ref="C992:C1023" si="135">"PRA"</f>
        <v>PRA</v>
      </c>
      <c r="D992">
        <v>12</v>
      </c>
      <c r="E992" t="str">
        <f t="shared" ref="E992:E1023" si="136">"586"</f>
        <v>586</v>
      </c>
      <c r="F992" t="str">
        <f>"   2"</f>
        <v xml:space="preserve">   2</v>
      </c>
    </row>
    <row r="993" spans="1:6">
      <c r="A993" t="str">
        <f>"E1080-2"</f>
        <v>E1080-2</v>
      </c>
      <c r="B993" t="str">
        <f t="shared" si="134"/>
        <v>VIA AGOSTINO NOVELLA  4-</v>
      </c>
      <c r="C993" t="str">
        <f t="shared" si="135"/>
        <v>PRA</v>
      </c>
      <c r="D993">
        <v>12</v>
      </c>
      <c r="E993" t="str">
        <f t="shared" si="136"/>
        <v>586</v>
      </c>
      <c r="F993" t="str">
        <f>"   3"</f>
        <v xml:space="preserve">   3</v>
      </c>
    </row>
    <row r="994" spans="1:6">
      <c r="A994" t="str">
        <f>"E1080-3"</f>
        <v>E1080-3</v>
      </c>
      <c r="B994" t="str">
        <f t="shared" si="134"/>
        <v>VIA AGOSTINO NOVELLA  4-</v>
      </c>
      <c r="C994" t="str">
        <f t="shared" si="135"/>
        <v>PRA</v>
      </c>
      <c r="D994">
        <v>12</v>
      </c>
      <c r="E994" t="str">
        <f t="shared" si="136"/>
        <v>586</v>
      </c>
      <c r="F994" t="str">
        <f>"   4"</f>
        <v xml:space="preserve">   4</v>
      </c>
    </row>
    <row r="995" spans="1:6">
      <c r="A995" t="str">
        <f>"E1080-4"</f>
        <v>E1080-4</v>
      </c>
      <c r="B995" t="str">
        <f t="shared" si="134"/>
        <v>VIA AGOSTINO NOVELLA  4-</v>
      </c>
      <c r="C995" t="str">
        <f t="shared" si="135"/>
        <v>PRA</v>
      </c>
      <c r="D995">
        <v>12</v>
      </c>
      <c r="E995" t="str">
        <f t="shared" si="136"/>
        <v>586</v>
      </c>
      <c r="F995" t="str">
        <f>"   5"</f>
        <v xml:space="preserve">   5</v>
      </c>
    </row>
    <row r="996" spans="1:6">
      <c r="A996" t="str">
        <f>"E1080-5"</f>
        <v>E1080-5</v>
      </c>
      <c r="B996" t="str">
        <f t="shared" si="134"/>
        <v>VIA AGOSTINO NOVELLA  4-</v>
      </c>
      <c r="C996" t="str">
        <f t="shared" si="135"/>
        <v>PRA</v>
      </c>
      <c r="D996">
        <v>12</v>
      </c>
      <c r="E996" t="str">
        <f t="shared" si="136"/>
        <v>586</v>
      </c>
      <c r="F996" t="str">
        <f>"   6"</f>
        <v xml:space="preserve">   6</v>
      </c>
    </row>
    <row r="997" spans="1:6">
      <c r="A997" t="str">
        <f>"E1080-6"</f>
        <v>E1080-6</v>
      </c>
      <c r="B997" t="str">
        <f t="shared" si="134"/>
        <v>VIA AGOSTINO NOVELLA  4-</v>
      </c>
      <c r="C997" t="str">
        <f t="shared" si="135"/>
        <v>PRA</v>
      </c>
      <c r="D997">
        <v>12</v>
      </c>
      <c r="E997" t="str">
        <f t="shared" si="136"/>
        <v>586</v>
      </c>
      <c r="F997" t="str">
        <f>"   7"</f>
        <v xml:space="preserve">   7</v>
      </c>
    </row>
    <row r="998" spans="1:6">
      <c r="A998" t="str">
        <f>"E1080-7"</f>
        <v>E1080-7</v>
      </c>
      <c r="B998" t="str">
        <f t="shared" si="134"/>
        <v>VIA AGOSTINO NOVELLA  4-</v>
      </c>
      <c r="C998" t="str">
        <f t="shared" si="135"/>
        <v>PRA</v>
      </c>
      <c r="D998">
        <v>12</v>
      </c>
      <c r="E998" t="str">
        <f t="shared" si="136"/>
        <v>586</v>
      </c>
      <c r="F998" t="str">
        <f>"   8"</f>
        <v xml:space="preserve">   8</v>
      </c>
    </row>
    <row r="999" spans="1:6">
      <c r="A999" t="str">
        <f>"E1080-8"</f>
        <v>E1080-8</v>
      </c>
      <c r="B999" t="str">
        <f t="shared" si="134"/>
        <v>VIA AGOSTINO NOVELLA  4-</v>
      </c>
      <c r="C999" t="str">
        <f t="shared" si="135"/>
        <v>PRA</v>
      </c>
      <c r="D999">
        <v>12</v>
      </c>
      <c r="E999" t="str">
        <f t="shared" si="136"/>
        <v>586</v>
      </c>
      <c r="F999" t="str">
        <f>"   9"</f>
        <v xml:space="preserve">   9</v>
      </c>
    </row>
    <row r="1000" spans="1:6">
      <c r="A1000" t="str">
        <f>"E1080-9"</f>
        <v>E1080-9</v>
      </c>
      <c r="B1000" t="str">
        <f t="shared" si="134"/>
        <v>VIA AGOSTINO NOVELLA  4-</v>
      </c>
      <c r="C1000" t="str">
        <f t="shared" si="135"/>
        <v>PRA</v>
      </c>
      <c r="D1000">
        <v>12</v>
      </c>
      <c r="E1000" t="str">
        <f t="shared" si="136"/>
        <v>586</v>
      </c>
      <c r="F1000" t="str">
        <f>"  10"</f>
        <v xml:space="preserve">  10</v>
      </c>
    </row>
    <row r="1001" spans="1:6">
      <c r="A1001" t="str">
        <f>"E1080-10"</f>
        <v>E1080-10</v>
      </c>
      <c r="B1001" t="str">
        <f t="shared" si="134"/>
        <v>VIA AGOSTINO NOVELLA  4-</v>
      </c>
      <c r="C1001" t="str">
        <f t="shared" si="135"/>
        <v>PRA</v>
      </c>
      <c r="D1001">
        <v>12</v>
      </c>
      <c r="E1001" t="str">
        <f t="shared" si="136"/>
        <v>586</v>
      </c>
      <c r="F1001" t="str">
        <f>"  11"</f>
        <v xml:space="preserve">  11</v>
      </c>
    </row>
    <row r="1002" spans="1:6">
      <c r="A1002" t="str">
        <f>"E1080-11"</f>
        <v>E1080-11</v>
      </c>
      <c r="B1002" t="str">
        <f t="shared" si="134"/>
        <v>VIA AGOSTINO NOVELLA  4-</v>
      </c>
      <c r="C1002" t="str">
        <f t="shared" si="135"/>
        <v>PRA</v>
      </c>
      <c r="D1002">
        <v>12</v>
      </c>
      <c r="E1002" t="str">
        <f t="shared" si="136"/>
        <v>586</v>
      </c>
      <c r="F1002" t="str">
        <f>"  12"</f>
        <v xml:space="preserve">  12</v>
      </c>
    </row>
    <row r="1003" spans="1:6">
      <c r="A1003" t="str">
        <f>"E1080-12"</f>
        <v>E1080-12</v>
      </c>
      <c r="B1003" t="str">
        <f t="shared" si="134"/>
        <v>VIA AGOSTINO NOVELLA  4-</v>
      </c>
      <c r="C1003" t="str">
        <f t="shared" si="135"/>
        <v>PRA</v>
      </c>
      <c r="D1003">
        <v>12</v>
      </c>
      <c r="E1003" t="str">
        <f t="shared" si="136"/>
        <v>586</v>
      </c>
      <c r="F1003" t="str">
        <f>"  13"</f>
        <v xml:space="preserve">  13</v>
      </c>
    </row>
    <row r="1004" spans="1:6">
      <c r="A1004" t="str">
        <f>"E1080-13"</f>
        <v>E1080-13</v>
      </c>
      <c r="B1004" t="str">
        <f t="shared" si="134"/>
        <v>VIA AGOSTINO NOVELLA  4-</v>
      </c>
      <c r="C1004" t="str">
        <f t="shared" si="135"/>
        <v>PRA</v>
      </c>
      <c r="D1004">
        <v>12</v>
      </c>
      <c r="E1004" t="str">
        <f t="shared" si="136"/>
        <v>586</v>
      </c>
      <c r="F1004" t="str">
        <f>"  14"</f>
        <v xml:space="preserve">  14</v>
      </c>
    </row>
    <row r="1005" spans="1:6">
      <c r="A1005" t="str">
        <f>"E1080-14"</f>
        <v>E1080-14</v>
      </c>
      <c r="B1005" t="str">
        <f t="shared" si="134"/>
        <v>VIA AGOSTINO NOVELLA  4-</v>
      </c>
      <c r="C1005" t="str">
        <f t="shared" si="135"/>
        <v>PRA</v>
      </c>
      <c r="D1005">
        <v>12</v>
      </c>
      <c r="E1005" t="str">
        <f t="shared" si="136"/>
        <v>586</v>
      </c>
      <c r="F1005" t="str">
        <f>"  15"</f>
        <v xml:space="preserve">  15</v>
      </c>
    </row>
    <row r="1006" spans="1:6">
      <c r="A1006" t="str">
        <f>"E1080-15"</f>
        <v>E1080-15</v>
      </c>
      <c r="B1006" t="str">
        <f t="shared" si="134"/>
        <v>VIA AGOSTINO NOVELLA  4-</v>
      </c>
      <c r="C1006" t="str">
        <f t="shared" si="135"/>
        <v>PRA</v>
      </c>
      <c r="D1006">
        <v>12</v>
      </c>
      <c r="E1006" t="str">
        <f t="shared" si="136"/>
        <v>586</v>
      </c>
      <c r="F1006" t="str">
        <f>"  16"</f>
        <v xml:space="preserve">  16</v>
      </c>
    </row>
    <row r="1007" spans="1:6">
      <c r="A1007" t="str">
        <f>"E1080-16"</f>
        <v>E1080-16</v>
      </c>
      <c r="B1007" t="str">
        <f t="shared" si="134"/>
        <v>VIA AGOSTINO NOVELLA  4-</v>
      </c>
      <c r="C1007" t="str">
        <f t="shared" si="135"/>
        <v>PRA</v>
      </c>
      <c r="D1007">
        <v>12</v>
      </c>
      <c r="E1007" t="str">
        <f t="shared" si="136"/>
        <v>586</v>
      </c>
      <c r="F1007" t="str">
        <f>"  17"</f>
        <v xml:space="preserve">  17</v>
      </c>
    </row>
    <row r="1008" spans="1:6">
      <c r="A1008" t="str">
        <f>"E1080-17"</f>
        <v>E1080-17</v>
      </c>
      <c r="B1008" t="str">
        <f t="shared" si="134"/>
        <v>VIA AGOSTINO NOVELLA  4-</v>
      </c>
      <c r="C1008" t="str">
        <f t="shared" si="135"/>
        <v>PRA</v>
      </c>
      <c r="D1008">
        <v>12</v>
      </c>
      <c r="E1008" t="str">
        <f t="shared" si="136"/>
        <v>586</v>
      </c>
      <c r="F1008" t="str">
        <f>"  18"</f>
        <v xml:space="preserve">  18</v>
      </c>
    </row>
    <row r="1009" spans="1:6">
      <c r="A1009" t="str">
        <f>"E1080-18"</f>
        <v>E1080-18</v>
      </c>
      <c r="B1009" t="str">
        <f t="shared" ref="B1009:B1028" si="137">"VIA AGOSTINO NOVELLA  6-"</f>
        <v>VIA AGOSTINO NOVELLA  6-</v>
      </c>
      <c r="C1009" t="str">
        <f t="shared" si="135"/>
        <v>PRA</v>
      </c>
      <c r="D1009">
        <v>12</v>
      </c>
      <c r="E1009" t="str">
        <f t="shared" si="136"/>
        <v>586</v>
      </c>
      <c r="F1009" t="str">
        <f>"  19"</f>
        <v xml:space="preserve">  19</v>
      </c>
    </row>
    <row r="1010" spans="1:6">
      <c r="A1010" t="str">
        <f>"E1080-19"</f>
        <v>E1080-19</v>
      </c>
      <c r="B1010" t="str">
        <f t="shared" si="137"/>
        <v>VIA AGOSTINO NOVELLA  6-</v>
      </c>
      <c r="C1010" t="str">
        <f t="shared" si="135"/>
        <v>PRA</v>
      </c>
      <c r="D1010">
        <v>12</v>
      </c>
      <c r="E1010" t="str">
        <f t="shared" si="136"/>
        <v>586</v>
      </c>
      <c r="F1010" t="str">
        <f>"  20"</f>
        <v xml:space="preserve">  20</v>
      </c>
    </row>
    <row r="1011" spans="1:6">
      <c r="A1011" t="str">
        <f>"E1080-20"</f>
        <v>E1080-20</v>
      </c>
      <c r="B1011" t="str">
        <f t="shared" si="137"/>
        <v>VIA AGOSTINO NOVELLA  6-</v>
      </c>
      <c r="C1011" t="str">
        <f t="shared" si="135"/>
        <v>PRA</v>
      </c>
      <c r="D1011">
        <v>12</v>
      </c>
      <c r="E1011" t="str">
        <f t="shared" si="136"/>
        <v>586</v>
      </c>
      <c r="F1011" t="str">
        <f>"  21"</f>
        <v xml:space="preserve">  21</v>
      </c>
    </row>
    <row r="1012" spans="1:6">
      <c r="A1012" t="str">
        <f>"E1080-21"</f>
        <v>E1080-21</v>
      </c>
      <c r="B1012" t="str">
        <f t="shared" si="137"/>
        <v>VIA AGOSTINO NOVELLA  6-</v>
      </c>
      <c r="C1012" t="str">
        <f t="shared" si="135"/>
        <v>PRA</v>
      </c>
      <c r="D1012">
        <v>12</v>
      </c>
      <c r="E1012" t="str">
        <f t="shared" si="136"/>
        <v>586</v>
      </c>
      <c r="F1012" t="str">
        <f>"  22"</f>
        <v xml:space="preserve">  22</v>
      </c>
    </row>
    <row r="1013" spans="1:6">
      <c r="A1013" t="str">
        <f>"E1080-22"</f>
        <v>E1080-22</v>
      </c>
      <c r="B1013" t="str">
        <f t="shared" si="137"/>
        <v>VIA AGOSTINO NOVELLA  6-</v>
      </c>
      <c r="C1013" t="str">
        <f t="shared" si="135"/>
        <v>PRA</v>
      </c>
      <c r="D1013">
        <v>12</v>
      </c>
      <c r="E1013" t="str">
        <f t="shared" si="136"/>
        <v>586</v>
      </c>
      <c r="F1013" t="str">
        <f>"  23"</f>
        <v xml:space="preserve">  23</v>
      </c>
    </row>
    <row r="1014" spans="1:6">
      <c r="A1014" t="str">
        <f>"E1080-23"</f>
        <v>E1080-23</v>
      </c>
      <c r="B1014" t="str">
        <f t="shared" si="137"/>
        <v>VIA AGOSTINO NOVELLA  6-</v>
      </c>
      <c r="C1014" t="str">
        <f t="shared" si="135"/>
        <v>PRA</v>
      </c>
      <c r="D1014">
        <v>12</v>
      </c>
      <c r="E1014" t="str">
        <f t="shared" si="136"/>
        <v>586</v>
      </c>
      <c r="F1014" t="str">
        <f>"  24"</f>
        <v xml:space="preserve">  24</v>
      </c>
    </row>
    <row r="1015" spans="1:6">
      <c r="A1015" t="str">
        <f>"E1080-24"</f>
        <v>E1080-24</v>
      </c>
      <c r="B1015" t="str">
        <f t="shared" si="137"/>
        <v>VIA AGOSTINO NOVELLA  6-</v>
      </c>
      <c r="C1015" t="str">
        <f t="shared" si="135"/>
        <v>PRA</v>
      </c>
      <c r="D1015">
        <v>12</v>
      </c>
      <c r="E1015" t="str">
        <f t="shared" si="136"/>
        <v>586</v>
      </c>
      <c r="F1015" t="str">
        <f>"  25"</f>
        <v xml:space="preserve">  25</v>
      </c>
    </row>
    <row r="1016" spans="1:6">
      <c r="A1016" t="str">
        <f>"E1080-25"</f>
        <v>E1080-25</v>
      </c>
      <c r="B1016" t="str">
        <f t="shared" si="137"/>
        <v>VIA AGOSTINO NOVELLA  6-</v>
      </c>
      <c r="C1016" t="str">
        <f t="shared" si="135"/>
        <v>PRA</v>
      </c>
      <c r="D1016">
        <v>12</v>
      </c>
      <c r="E1016" t="str">
        <f t="shared" si="136"/>
        <v>586</v>
      </c>
      <c r="F1016" t="str">
        <f>"  26"</f>
        <v xml:space="preserve">  26</v>
      </c>
    </row>
    <row r="1017" spans="1:6">
      <c r="A1017" t="str">
        <f>"E1080-26"</f>
        <v>E1080-26</v>
      </c>
      <c r="B1017" t="str">
        <f t="shared" si="137"/>
        <v>VIA AGOSTINO NOVELLA  6-</v>
      </c>
      <c r="C1017" t="str">
        <f t="shared" si="135"/>
        <v>PRA</v>
      </c>
      <c r="D1017">
        <v>12</v>
      </c>
      <c r="E1017" t="str">
        <f t="shared" si="136"/>
        <v>586</v>
      </c>
      <c r="F1017" t="str">
        <f>"  27"</f>
        <v xml:space="preserve">  27</v>
      </c>
    </row>
    <row r="1018" spans="1:6">
      <c r="A1018" t="str">
        <f>"E1080-27"</f>
        <v>E1080-27</v>
      </c>
      <c r="B1018" t="str">
        <f t="shared" si="137"/>
        <v>VIA AGOSTINO NOVELLA  6-</v>
      </c>
      <c r="C1018" t="str">
        <f t="shared" si="135"/>
        <v>PRA</v>
      </c>
      <c r="D1018">
        <v>12</v>
      </c>
      <c r="E1018" t="str">
        <f t="shared" si="136"/>
        <v>586</v>
      </c>
      <c r="F1018" t="str">
        <f>"  28"</f>
        <v xml:space="preserve">  28</v>
      </c>
    </row>
    <row r="1019" spans="1:6">
      <c r="A1019" t="str">
        <f>"E1080-28"</f>
        <v>E1080-28</v>
      </c>
      <c r="B1019" t="str">
        <f t="shared" si="137"/>
        <v>VIA AGOSTINO NOVELLA  6-</v>
      </c>
      <c r="C1019" t="str">
        <f t="shared" si="135"/>
        <v>PRA</v>
      </c>
      <c r="D1019">
        <v>12</v>
      </c>
      <c r="E1019" t="str">
        <f t="shared" si="136"/>
        <v>586</v>
      </c>
      <c r="F1019" t="str">
        <f>"  29"</f>
        <v xml:space="preserve">  29</v>
      </c>
    </row>
    <row r="1020" spans="1:6">
      <c r="A1020" t="str">
        <f>"E1080-29"</f>
        <v>E1080-29</v>
      </c>
      <c r="B1020" t="str">
        <f t="shared" si="137"/>
        <v>VIA AGOSTINO NOVELLA  6-</v>
      </c>
      <c r="C1020" t="str">
        <f t="shared" si="135"/>
        <v>PRA</v>
      </c>
      <c r="D1020">
        <v>12</v>
      </c>
      <c r="E1020" t="str">
        <f t="shared" si="136"/>
        <v>586</v>
      </c>
      <c r="F1020" t="str">
        <f>"  30"</f>
        <v xml:space="preserve">  30</v>
      </c>
    </row>
    <row r="1021" spans="1:6">
      <c r="A1021" t="str">
        <f>"E1080-30"</f>
        <v>E1080-30</v>
      </c>
      <c r="B1021" t="str">
        <f t="shared" si="137"/>
        <v>VIA AGOSTINO NOVELLA  6-</v>
      </c>
      <c r="C1021" t="str">
        <f t="shared" si="135"/>
        <v>PRA</v>
      </c>
      <c r="D1021">
        <v>12</v>
      </c>
      <c r="E1021" t="str">
        <f t="shared" si="136"/>
        <v>586</v>
      </c>
      <c r="F1021" t="str">
        <f>"  31"</f>
        <v xml:space="preserve">  31</v>
      </c>
    </row>
    <row r="1022" spans="1:6">
      <c r="A1022" t="str">
        <f>"E1080-31"</f>
        <v>E1080-31</v>
      </c>
      <c r="B1022" t="str">
        <f t="shared" si="137"/>
        <v>VIA AGOSTINO NOVELLA  6-</v>
      </c>
      <c r="C1022" t="str">
        <f t="shared" si="135"/>
        <v>PRA</v>
      </c>
      <c r="D1022">
        <v>12</v>
      </c>
      <c r="E1022" t="str">
        <f t="shared" si="136"/>
        <v>586</v>
      </c>
      <c r="F1022" t="str">
        <f>"  32"</f>
        <v xml:space="preserve">  32</v>
      </c>
    </row>
    <row r="1023" spans="1:6">
      <c r="A1023" t="str">
        <f>"E1080-32"</f>
        <v>E1080-32</v>
      </c>
      <c r="B1023" t="str">
        <f t="shared" si="137"/>
        <v>VIA AGOSTINO NOVELLA  6-</v>
      </c>
      <c r="C1023" t="str">
        <f t="shared" si="135"/>
        <v>PRA</v>
      </c>
      <c r="D1023">
        <v>12</v>
      </c>
      <c r="E1023" t="str">
        <f t="shared" si="136"/>
        <v>586</v>
      </c>
      <c r="F1023" t="str">
        <f>"  33"</f>
        <v xml:space="preserve">  33</v>
      </c>
    </row>
    <row r="1024" spans="1:6">
      <c r="A1024" t="str">
        <f>"E1080-33"</f>
        <v>E1080-33</v>
      </c>
      <c r="B1024" t="str">
        <f t="shared" si="137"/>
        <v>VIA AGOSTINO NOVELLA  6-</v>
      </c>
      <c r="C1024" t="str">
        <f t="shared" ref="C1024:C1055" si="138">"PRA"</f>
        <v>PRA</v>
      </c>
      <c r="D1024">
        <v>12</v>
      </c>
      <c r="E1024" t="str">
        <f t="shared" ref="E1024:E1055" si="139">"586"</f>
        <v>586</v>
      </c>
      <c r="F1024" t="str">
        <f>"  34"</f>
        <v xml:space="preserve">  34</v>
      </c>
    </row>
    <row r="1025" spans="1:6">
      <c r="A1025" t="str">
        <f>"E1080-34"</f>
        <v>E1080-34</v>
      </c>
      <c r="B1025" t="str">
        <f t="shared" si="137"/>
        <v>VIA AGOSTINO NOVELLA  6-</v>
      </c>
      <c r="C1025" t="str">
        <f t="shared" si="138"/>
        <v>PRA</v>
      </c>
      <c r="D1025">
        <v>12</v>
      </c>
      <c r="E1025" t="str">
        <f t="shared" si="139"/>
        <v>586</v>
      </c>
      <c r="F1025" t="str">
        <f>"  35"</f>
        <v xml:space="preserve">  35</v>
      </c>
    </row>
    <row r="1026" spans="1:6">
      <c r="A1026" t="str">
        <f>"E1080-35"</f>
        <v>E1080-35</v>
      </c>
      <c r="B1026" t="str">
        <f t="shared" si="137"/>
        <v>VIA AGOSTINO NOVELLA  6-</v>
      </c>
      <c r="C1026" t="str">
        <f t="shared" si="138"/>
        <v>PRA</v>
      </c>
      <c r="D1026">
        <v>12</v>
      </c>
      <c r="E1026" t="str">
        <f t="shared" si="139"/>
        <v>586</v>
      </c>
      <c r="F1026" t="str">
        <f>"  36"</f>
        <v xml:space="preserve">  36</v>
      </c>
    </row>
    <row r="1027" spans="1:6">
      <c r="A1027" t="str">
        <f>"E1080-36"</f>
        <v>E1080-36</v>
      </c>
      <c r="B1027" t="str">
        <f t="shared" si="137"/>
        <v>VIA AGOSTINO NOVELLA  6-</v>
      </c>
      <c r="C1027" t="str">
        <f t="shared" si="138"/>
        <v>PRA</v>
      </c>
      <c r="D1027">
        <v>12</v>
      </c>
      <c r="E1027" t="str">
        <f t="shared" si="139"/>
        <v>586</v>
      </c>
      <c r="F1027" t="str">
        <f>"  37"</f>
        <v xml:space="preserve">  37</v>
      </c>
    </row>
    <row r="1028" spans="1:6">
      <c r="A1028" t="str">
        <f>"E1080-37"</f>
        <v>E1080-37</v>
      </c>
      <c r="B1028" t="str">
        <f t="shared" si="137"/>
        <v>VIA AGOSTINO NOVELLA  6-</v>
      </c>
      <c r="C1028" t="str">
        <f t="shared" si="138"/>
        <v>PRA</v>
      </c>
      <c r="D1028">
        <v>12</v>
      </c>
      <c r="E1028" t="str">
        <f t="shared" si="139"/>
        <v>586</v>
      </c>
      <c r="F1028" t="str">
        <f>"  38"</f>
        <v xml:space="preserve">  38</v>
      </c>
    </row>
    <row r="1029" spans="1:6">
      <c r="A1029" t="str">
        <f>"E1080-38"</f>
        <v>E1080-38</v>
      </c>
      <c r="B1029" t="str">
        <f t="shared" ref="B1029:B1051" si="140">"VIA AGOSTINO NOVELLA  8-"</f>
        <v>VIA AGOSTINO NOVELLA  8-</v>
      </c>
      <c r="C1029" t="str">
        <f t="shared" si="138"/>
        <v>PRA</v>
      </c>
      <c r="D1029">
        <v>12</v>
      </c>
      <c r="E1029" t="str">
        <f t="shared" si="139"/>
        <v>586</v>
      </c>
      <c r="F1029" t="str">
        <f>"  39"</f>
        <v xml:space="preserve">  39</v>
      </c>
    </row>
    <row r="1030" spans="1:6">
      <c r="A1030" t="str">
        <f>"E1080-39"</f>
        <v>E1080-39</v>
      </c>
      <c r="B1030" t="str">
        <f t="shared" si="140"/>
        <v>VIA AGOSTINO NOVELLA  8-</v>
      </c>
      <c r="C1030" t="str">
        <f t="shared" si="138"/>
        <v>PRA</v>
      </c>
      <c r="D1030">
        <v>12</v>
      </c>
      <c r="E1030" t="str">
        <f t="shared" si="139"/>
        <v>586</v>
      </c>
      <c r="F1030" t="str">
        <f>"  40"</f>
        <v xml:space="preserve">  40</v>
      </c>
    </row>
    <row r="1031" spans="1:6">
      <c r="A1031" t="str">
        <f>"E1080-40"</f>
        <v>E1080-40</v>
      </c>
      <c r="B1031" t="str">
        <f t="shared" si="140"/>
        <v>VIA AGOSTINO NOVELLA  8-</v>
      </c>
      <c r="C1031" t="str">
        <f t="shared" si="138"/>
        <v>PRA</v>
      </c>
      <c r="D1031">
        <v>12</v>
      </c>
      <c r="E1031" t="str">
        <f t="shared" si="139"/>
        <v>586</v>
      </c>
      <c r="F1031" t="str">
        <f>"  41"</f>
        <v xml:space="preserve">  41</v>
      </c>
    </row>
    <row r="1032" spans="1:6">
      <c r="A1032" t="str">
        <f>"E1080-41"</f>
        <v>E1080-41</v>
      </c>
      <c r="B1032" t="str">
        <f t="shared" si="140"/>
        <v>VIA AGOSTINO NOVELLA  8-</v>
      </c>
      <c r="C1032" t="str">
        <f t="shared" si="138"/>
        <v>PRA</v>
      </c>
      <c r="D1032">
        <v>12</v>
      </c>
      <c r="E1032" t="str">
        <f t="shared" si="139"/>
        <v>586</v>
      </c>
      <c r="F1032" t="str">
        <f>"  42"</f>
        <v xml:space="preserve">  42</v>
      </c>
    </row>
    <row r="1033" spans="1:6">
      <c r="A1033" t="str">
        <f>"E1080-42"</f>
        <v>E1080-42</v>
      </c>
      <c r="B1033" t="str">
        <f t="shared" si="140"/>
        <v>VIA AGOSTINO NOVELLA  8-</v>
      </c>
      <c r="C1033" t="str">
        <f t="shared" si="138"/>
        <v>PRA</v>
      </c>
      <c r="D1033">
        <v>12</v>
      </c>
      <c r="E1033" t="str">
        <f t="shared" si="139"/>
        <v>586</v>
      </c>
      <c r="F1033" t="str">
        <f>"  43"</f>
        <v xml:space="preserve">  43</v>
      </c>
    </row>
    <row r="1034" spans="1:6">
      <c r="A1034" t="str">
        <f>"E1080-43"</f>
        <v>E1080-43</v>
      </c>
      <c r="B1034" t="str">
        <f t="shared" si="140"/>
        <v>VIA AGOSTINO NOVELLA  8-</v>
      </c>
      <c r="C1034" t="str">
        <f t="shared" si="138"/>
        <v>PRA</v>
      </c>
      <c r="D1034">
        <v>12</v>
      </c>
      <c r="E1034" t="str">
        <f t="shared" si="139"/>
        <v>586</v>
      </c>
      <c r="F1034" t="str">
        <f>"  44"</f>
        <v xml:space="preserve">  44</v>
      </c>
    </row>
    <row r="1035" spans="1:6">
      <c r="A1035" t="str">
        <f>"E1080-44"</f>
        <v>E1080-44</v>
      </c>
      <c r="B1035" t="str">
        <f t="shared" si="140"/>
        <v>VIA AGOSTINO NOVELLA  8-</v>
      </c>
      <c r="C1035" t="str">
        <f t="shared" si="138"/>
        <v>PRA</v>
      </c>
      <c r="D1035">
        <v>12</v>
      </c>
      <c r="E1035" t="str">
        <f t="shared" si="139"/>
        <v>586</v>
      </c>
      <c r="F1035" t="str">
        <f>"  45"</f>
        <v xml:space="preserve">  45</v>
      </c>
    </row>
    <row r="1036" spans="1:6">
      <c r="A1036" t="str">
        <f>"E1080-45"</f>
        <v>E1080-45</v>
      </c>
      <c r="B1036" t="str">
        <f t="shared" si="140"/>
        <v>VIA AGOSTINO NOVELLA  8-</v>
      </c>
      <c r="C1036" t="str">
        <f t="shared" si="138"/>
        <v>PRA</v>
      </c>
      <c r="D1036">
        <v>12</v>
      </c>
      <c r="E1036" t="str">
        <f t="shared" si="139"/>
        <v>586</v>
      </c>
      <c r="F1036" t="str">
        <f>"  46"</f>
        <v xml:space="preserve">  46</v>
      </c>
    </row>
    <row r="1037" spans="1:6">
      <c r="A1037" t="str">
        <f>"E1080-46"</f>
        <v>E1080-46</v>
      </c>
      <c r="B1037" t="str">
        <f t="shared" si="140"/>
        <v>VIA AGOSTINO NOVELLA  8-</v>
      </c>
      <c r="C1037" t="str">
        <f t="shared" si="138"/>
        <v>PRA</v>
      </c>
      <c r="D1037">
        <v>12</v>
      </c>
      <c r="E1037" t="str">
        <f t="shared" si="139"/>
        <v>586</v>
      </c>
      <c r="F1037" t="str">
        <f>"  47"</f>
        <v xml:space="preserve">  47</v>
      </c>
    </row>
    <row r="1038" spans="1:6">
      <c r="A1038" t="str">
        <f>"E1080-47"</f>
        <v>E1080-47</v>
      </c>
      <c r="B1038" t="str">
        <f t="shared" si="140"/>
        <v>VIA AGOSTINO NOVELLA  8-</v>
      </c>
      <c r="C1038" t="str">
        <f t="shared" si="138"/>
        <v>PRA</v>
      </c>
      <c r="D1038">
        <v>12</v>
      </c>
      <c r="E1038" t="str">
        <f t="shared" si="139"/>
        <v>586</v>
      </c>
      <c r="F1038" t="str">
        <f>"  48"</f>
        <v xml:space="preserve">  48</v>
      </c>
    </row>
    <row r="1039" spans="1:6">
      <c r="A1039" t="str">
        <f>"E1080-48"</f>
        <v>E1080-48</v>
      </c>
      <c r="B1039" t="str">
        <f t="shared" si="140"/>
        <v>VIA AGOSTINO NOVELLA  8-</v>
      </c>
      <c r="C1039" t="str">
        <f t="shared" si="138"/>
        <v>PRA</v>
      </c>
      <c r="D1039">
        <v>12</v>
      </c>
      <c r="E1039" t="str">
        <f t="shared" si="139"/>
        <v>586</v>
      </c>
      <c r="F1039" t="str">
        <f>"  49"</f>
        <v xml:space="preserve">  49</v>
      </c>
    </row>
    <row r="1040" spans="1:6">
      <c r="A1040" t="str">
        <f>"E1080-49"</f>
        <v>E1080-49</v>
      </c>
      <c r="B1040" t="str">
        <f t="shared" si="140"/>
        <v>VIA AGOSTINO NOVELLA  8-</v>
      </c>
      <c r="C1040" t="str">
        <f t="shared" si="138"/>
        <v>PRA</v>
      </c>
      <c r="D1040">
        <v>12</v>
      </c>
      <c r="E1040" t="str">
        <f t="shared" si="139"/>
        <v>586</v>
      </c>
      <c r="F1040" t="str">
        <f>"  50"</f>
        <v xml:space="preserve">  50</v>
      </c>
    </row>
    <row r="1041" spans="1:6">
      <c r="A1041" t="str">
        <f>"E1080-50"</f>
        <v>E1080-50</v>
      </c>
      <c r="B1041" t="str">
        <f t="shared" si="140"/>
        <v>VIA AGOSTINO NOVELLA  8-</v>
      </c>
      <c r="C1041" t="str">
        <f t="shared" si="138"/>
        <v>PRA</v>
      </c>
      <c r="D1041">
        <v>12</v>
      </c>
      <c r="E1041" t="str">
        <f t="shared" si="139"/>
        <v>586</v>
      </c>
      <c r="F1041" t="str">
        <f>"  51"</f>
        <v xml:space="preserve">  51</v>
      </c>
    </row>
    <row r="1042" spans="1:6">
      <c r="A1042" t="str">
        <f>"E1080-51"</f>
        <v>E1080-51</v>
      </c>
      <c r="B1042" t="str">
        <f t="shared" si="140"/>
        <v>VIA AGOSTINO NOVELLA  8-</v>
      </c>
      <c r="C1042" t="str">
        <f t="shared" si="138"/>
        <v>PRA</v>
      </c>
      <c r="D1042">
        <v>12</v>
      </c>
      <c r="E1042" t="str">
        <f t="shared" si="139"/>
        <v>586</v>
      </c>
      <c r="F1042" t="str">
        <f>"  52"</f>
        <v xml:space="preserve">  52</v>
      </c>
    </row>
    <row r="1043" spans="1:6">
      <c r="A1043" t="str">
        <f>"E1080-52"</f>
        <v>E1080-52</v>
      </c>
      <c r="B1043" t="str">
        <f t="shared" si="140"/>
        <v>VIA AGOSTINO NOVELLA  8-</v>
      </c>
      <c r="C1043" t="str">
        <f t="shared" si="138"/>
        <v>PRA</v>
      </c>
      <c r="D1043">
        <v>12</v>
      </c>
      <c r="E1043" t="str">
        <f t="shared" si="139"/>
        <v>586</v>
      </c>
      <c r="F1043" t="str">
        <f>"  53"</f>
        <v xml:space="preserve">  53</v>
      </c>
    </row>
    <row r="1044" spans="1:6">
      <c r="A1044" t="str">
        <f>"E1080-53"</f>
        <v>E1080-53</v>
      </c>
      <c r="B1044" t="str">
        <f t="shared" si="140"/>
        <v>VIA AGOSTINO NOVELLA  8-</v>
      </c>
      <c r="C1044" t="str">
        <f t="shared" si="138"/>
        <v>PRA</v>
      </c>
      <c r="D1044">
        <v>12</v>
      </c>
      <c r="E1044" t="str">
        <f t="shared" si="139"/>
        <v>586</v>
      </c>
      <c r="F1044" t="str">
        <f>"  54"</f>
        <v xml:space="preserve">  54</v>
      </c>
    </row>
    <row r="1045" spans="1:6">
      <c r="A1045" t="str">
        <f>"E1080-54"</f>
        <v>E1080-54</v>
      </c>
      <c r="B1045" t="str">
        <f t="shared" si="140"/>
        <v>VIA AGOSTINO NOVELLA  8-</v>
      </c>
      <c r="C1045" t="str">
        <f t="shared" si="138"/>
        <v>PRA</v>
      </c>
      <c r="D1045">
        <v>12</v>
      </c>
      <c r="E1045" t="str">
        <f t="shared" si="139"/>
        <v>586</v>
      </c>
      <c r="F1045" t="str">
        <f>"  55"</f>
        <v xml:space="preserve">  55</v>
      </c>
    </row>
    <row r="1046" spans="1:6">
      <c r="A1046" t="str">
        <f>"E1080-55"</f>
        <v>E1080-55</v>
      </c>
      <c r="B1046" t="str">
        <f t="shared" si="140"/>
        <v>VIA AGOSTINO NOVELLA  8-</v>
      </c>
      <c r="C1046" t="str">
        <f t="shared" si="138"/>
        <v>PRA</v>
      </c>
      <c r="D1046">
        <v>12</v>
      </c>
      <c r="E1046" t="str">
        <f t="shared" si="139"/>
        <v>586</v>
      </c>
      <c r="F1046" t="str">
        <f>"  56"</f>
        <v xml:space="preserve">  56</v>
      </c>
    </row>
    <row r="1047" spans="1:6">
      <c r="A1047" t="str">
        <f>"E1080-56"</f>
        <v>E1080-56</v>
      </c>
      <c r="B1047" t="str">
        <f t="shared" si="140"/>
        <v>VIA AGOSTINO NOVELLA  8-</v>
      </c>
      <c r="C1047" t="str">
        <f t="shared" si="138"/>
        <v>PRA</v>
      </c>
      <c r="D1047">
        <v>12</v>
      </c>
      <c r="E1047" t="str">
        <f t="shared" si="139"/>
        <v>586</v>
      </c>
      <c r="F1047" t="str">
        <f>"  57"</f>
        <v xml:space="preserve">  57</v>
      </c>
    </row>
    <row r="1048" spans="1:6">
      <c r="A1048" t="str">
        <f>"E1080-57"</f>
        <v>E1080-57</v>
      </c>
      <c r="B1048" t="str">
        <f t="shared" si="140"/>
        <v>VIA AGOSTINO NOVELLA  8-</v>
      </c>
      <c r="C1048" t="str">
        <f t="shared" si="138"/>
        <v>PRA</v>
      </c>
      <c r="D1048">
        <v>12</v>
      </c>
      <c r="E1048" t="str">
        <f t="shared" si="139"/>
        <v>586</v>
      </c>
      <c r="F1048" t="str">
        <f>"  58"</f>
        <v xml:space="preserve">  58</v>
      </c>
    </row>
    <row r="1049" spans="1:6">
      <c r="A1049" t="str">
        <f>"E1080-58"</f>
        <v>E1080-58</v>
      </c>
      <c r="B1049" t="str">
        <f t="shared" si="140"/>
        <v>VIA AGOSTINO NOVELLA  8-</v>
      </c>
      <c r="C1049" t="str">
        <f t="shared" si="138"/>
        <v>PRA</v>
      </c>
      <c r="D1049">
        <v>12</v>
      </c>
      <c r="E1049" t="str">
        <f t="shared" si="139"/>
        <v>586</v>
      </c>
      <c r="F1049" t="str">
        <f>"  59"</f>
        <v xml:space="preserve">  59</v>
      </c>
    </row>
    <row r="1050" spans="1:6">
      <c r="A1050" t="str">
        <f>"E1080-59"</f>
        <v>E1080-59</v>
      </c>
      <c r="B1050" t="str">
        <f t="shared" si="140"/>
        <v>VIA AGOSTINO NOVELLA  8-</v>
      </c>
      <c r="C1050" t="str">
        <f t="shared" si="138"/>
        <v>PRA</v>
      </c>
      <c r="D1050">
        <v>12</v>
      </c>
      <c r="E1050" t="str">
        <f t="shared" si="139"/>
        <v>586</v>
      </c>
      <c r="F1050" t="str">
        <f>"  60"</f>
        <v xml:space="preserve">  60</v>
      </c>
    </row>
    <row r="1051" spans="1:6">
      <c r="A1051" t="str">
        <f>"E1080-60"</f>
        <v>E1080-60</v>
      </c>
      <c r="B1051" t="str">
        <f t="shared" si="140"/>
        <v>VIA AGOSTINO NOVELLA  8-</v>
      </c>
      <c r="C1051" t="str">
        <f t="shared" si="138"/>
        <v>PRA</v>
      </c>
      <c r="D1051">
        <v>12</v>
      </c>
      <c r="E1051" t="str">
        <f t="shared" si="139"/>
        <v>586</v>
      </c>
      <c r="F1051" t="str">
        <f>"  61"</f>
        <v xml:space="preserve">  61</v>
      </c>
    </row>
    <row r="1052" spans="1:6">
      <c r="A1052" t="str">
        <f>"E1080-61"</f>
        <v>E1080-61</v>
      </c>
      <c r="B1052" t="str">
        <f t="shared" ref="B1052:B1068" si="141">"VIA AGOSTINO NOVELLA  10-"</f>
        <v>VIA AGOSTINO NOVELLA  10-</v>
      </c>
      <c r="C1052" t="str">
        <f t="shared" si="138"/>
        <v>PRA</v>
      </c>
      <c r="D1052">
        <v>12</v>
      </c>
      <c r="E1052" t="str">
        <f t="shared" si="139"/>
        <v>586</v>
      </c>
      <c r="F1052" t="str">
        <f>"  62"</f>
        <v xml:space="preserve">  62</v>
      </c>
    </row>
    <row r="1053" spans="1:6">
      <c r="A1053" t="str">
        <f>"E1080-62"</f>
        <v>E1080-62</v>
      </c>
      <c r="B1053" t="str">
        <f t="shared" si="141"/>
        <v>VIA AGOSTINO NOVELLA  10-</v>
      </c>
      <c r="C1053" t="str">
        <f t="shared" si="138"/>
        <v>PRA</v>
      </c>
      <c r="D1053">
        <v>12</v>
      </c>
      <c r="E1053" t="str">
        <f t="shared" si="139"/>
        <v>586</v>
      </c>
      <c r="F1053" t="str">
        <f>"  63"</f>
        <v xml:space="preserve">  63</v>
      </c>
    </row>
    <row r="1054" spans="1:6">
      <c r="A1054" t="str">
        <f>"E1080-63"</f>
        <v>E1080-63</v>
      </c>
      <c r="B1054" t="str">
        <f t="shared" si="141"/>
        <v>VIA AGOSTINO NOVELLA  10-</v>
      </c>
      <c r="C1054" t="str">
        <f t="shared" si="138"/>
        <v>PRA</v>
      </c>
      <c r="D1054">
        <v>12</v>
      </c>
      <c r="E1054" t="str">
        <f t="shared" si="139"/>
        <v>586</v>
      </c>
      <c r="F1054" t="str">
        <f>"  64"</f>
        <v xml:space="preserve">  64</v>
      </c>
    </row>
    <row r="1055" spans="1:6">
      <c r="A1055" t="str">
        <f>"E1080-64"</f>
        <v>E1080-64</v>
      </c>
      <c r="B1055" t="str">
        <f t="shared" si="141"/>
        <v>VIA AGOSTINO NOVELLA  10-</v>
      </c>
      <c r="C1055" t="str">
        <f t="shared" si="138"/>
        <v>PRA</v>
      </c>
      <c r="D1055">
        <v>12</v>
      </c>
      <c r="E1055" t="str">
        <f t="shared" si="139"/>
        <v>586</v>
      </c>
      <c r="F1055" t="str">
        <f>"  65"</f>
        <v xml:space="preserve">  65</v>
      </c>
    </row>
    <row r="1056" spans="1:6">
      <c r="A1056" t="str">
        <f>"E1080-65"</f>
        <v>E1080-65</v>
      </c>
      <c r="B1056" t="str">
        <f t="shared" si="141"/>
        <v>VIA AGOSTINO NOVELLA  10-</v>
      </c>
      <c r="C1056" t="str">
        <f t="shared" ref="C1056:C1087" si="142">"PRA"</f>
        <v>PRA</v>
      </c>
      <c r="D1056">
        <v>12</v>
      </c>
      <c r="E1056" t="str">
        <f t="shared" ref="E1056:E1087" si="143">"586"</f>
        <v>586</v>
      </c>
      <c r="F1056" t="str">
        <f>"  66"</f>
        <v xml:space="preserve">  66</v>
      </c>
    </row>
    <row r="1057" spans="1:6">
      <c r="A1057" t="str">
        <f>"E1080-66"</f>
        <v>E1080-66</v>
      </c>
      <c r="B1057" t="str">
        <f t="shared" si="141"/>
        <v>VIA AGOSTINO NOVELLA  10-</v>
      </c>
      <c r="C1057" t="str">
        <f t="shared" si="142"/>
        <v>PRA</v>
      </c>
      <c r="D1057">
        <v>12</v>
      </c>
      <c r="E1057" t="str">
        <f t="shared" si="143"/>
        <v>586</v>
      </c>
      <c r="F1057" t="str">
        <f>"  67"</f>
        <v xml:space="preserve">  67</v>
      </c>
    </row>
    <row r="1058" spans="1:6">
      <c r="A1058" t="str">
        <f>"E1080-67"</f>
        <v>E1080-67</v>
      </c>
      <c r="B1058" t="str">
        <f t="shared" si="141"/>
        <v>VIA AGOSTINO NOVELLA  10-</v>
      </c>
      <c r="C1058" t="str">
        <f t="shared" si="142"/>
        <v>PRA</v>
      </c>
      <c r="D1058">
        <v>12</v>
      </c>
      <c r="E1058" t="str">
        <f t="shared" si="143"/>
        <v>586</v>
      </c>
      <c r="F1058" t="str">
        <f>"  68"</f>
        <v xml:space="preserve">  68</v>
      </c>
    </row>
    <row r="1059" spans="1:6">
      <c r="A1059" t="str">
        <f>"E1080-68"</f>
        <v>E1080-68</v>
      </c>
      <c r="B1059" t="str">
        <f t="shared" si="141"/>
        <v>VIA AGOSTINO NOVELLA  10-</v>
      </c>
      <c r="C1059" t="str">
        <f t="shared" si="142"/>
        <v>PRA</v>
      </c>
      <c r="D1059">
        <v>12</v>
      </c>
      <c r="E1059" t="str">
        <f t="shared" si="143"/>
        <v>586</v>
      </c>
      <c r="F1059" t="str">
        <f>"  69"</f>
        <v xml:space="preserve">  69</v>
      </c>
    </row>
    <row r="1060" spans="1:6">
      <c r="A1060" t="str">
        <f>"E1080-69"</f>
        <v>E1080-69</v>
      </c>
      <c r="B1060" t="str">
        <f t="shared" si="141"/>
        <v>VIA AGOSTINO NOVELLA  10-</v>
      </c>
      <c r="C1060" t="str">
        <f t="shared" si="142"/>
        <v>PRA</v>
      </c>
      <c r="D1060">
        <v>12</v>
      </c>
      <c r="E1060" t="str">
        <f t="shared" si="143"/>
        <v>586</v>
      </c>
      <c r="F1060" t="str">
        <f>"  70"</f>
        <v xml:space="preserve">  70</v>
      </c>
    </row>
    <row r="1061" spans="1:6">
      <c r="A1061" t="str">
        <f>"E1080-70"</f>
        <v>E1080-70</v>
      </c>
      <c r="B1061" t="str">
        <f t="shared" si="141"/>
        <v>VIA AGOSTINO NOVELLA  10-</v>
      </c>
      <c r="C1061" t="str">
        <f t="shared" si="142"/>
        <v>PRA</v>
      </c>
      <c r="D1061">
        <v>12</v>
      </c>
      <c r="E1061" t="str">
        <f t="shared" si="143"/>
        <v>586</v>
      </c>
      <c r="F1061" t="str">
        <f>"  71"</f>
        <v xml:space="preserve">  71</v>
      </c>
    </row>
    <row r="1062" spans="1:6">
      <c r="A1062" t="str">
        <f>"E1080-71"</f>
        <v>E1080-71</v>
      </c>
      <c r="B1062" t="str">
        <f t="shared" si="141"/>
        <v>VIA AGOSTINO NOVELLA  10-</v>
      </c>
      <c r="C1062" t="str">
        <f t="shared" si="142"/>
        <v>PRA</v>
      </c>
      <c r="D1062">
        <v>12</v>
      </c>
      <c r="E1062" t="str">
        <f t="shared" si="143"/>
        <v>586</v>
      </c>
      <c r="F1062" t="str">
        <f>"  72"</f>
        <v xml:space="preserve">  72</v>
      </c>
    </row>
    <row r="1063" spans="1:6">
      <c r="A1063" t="str">
        <f>"E1080-72"</f>
        <v>E1080-72</v>
      </c>
      <c r="B1063" t="str">
        <f t="shared" si="141"/>
        <v>VIA AGOSTINO NOVELLA  10-</v>
      </c>
      <c r="C1063" t="str">
        <f t="shared" si="142"/>
        <v>PRA</v>
      </c>
      <c r="D1063">
        <v>12</v>
      </c>
      <c r="E1063" t="str">
        <f t="shared" si="143"/>
        <v>586</v>
      </c>
      <c r="F1063" t="str">
        <f>"  73"</f>
        <v xml:space="preserve">  73</v>
      </c>
    </row>
    <row r="1064" spans="1:6">
      <c r="A1064" t="str">
        <f>"E1080-73"</f>
        <v>E1080-73</v>
      </c>
      <c r="B1064" t="str">
        <f t="shared" si="141"/>
        <v>VIA AGOSTINO NOVELLA  10-</v>
      </c>
      <c r="C1064" t="str">
        <f t="shared" si="142"/>
        <v>PRA</v>
      </c>
      <c r="D1064">
        <v>12</v>
      </c>
      <c r="E1064" t="str">
        <f t="shared" si="143"/>
        <v>586</v>
      </c>
      <c r="F1064" t="str">
        <f>"  74"</f>
        <v xml:space="preserve">  74</v>
      </c>
    </row>
    <row r="1065" spans="1:6">
      <c r="A1065" t="str">
        <f>"E1080-74"</f>
        <v>E1080-74</v>
      </c>
      <c r="B1065" t="str">
        <f t="shared" si="141"/>
        <v>VIA AGOSTINO NOVELLA  10-</v>
      </c>
      <c r="C1065" t="str">
        <f t="shared" si="142"/>
        <v>PRA</v>
      </c>
      <c r="D1065">
        <v>12</v>
      </c>
      <c r="E1065" t="str">
        <f t="shared" si="143"/>
        <v>586</v>
      </c>
      <c r="F1065" t="str">
        <f>"  75"</f>
        <v xml:space="preserve">  75</v>
      </c>
    </row>
    <row r="1066" spans="1:6">
      <c r="A1066" t="str">
        <f>"E1080-75"</f>
        <v>E1080-75</v>
      </c>
      <c r="B1066" t="str">
        <f t="shared" si="141"/>
        <v>VIA AGOSTINO NOVELLA  10-</v>
      </c>
      <c r="C1066" t="str">
        <f t="shared" si="142"/>
        <v>PRA</v>
      </c>
      <c r="D1066">
        <v>12</v>
      </c>
      <c r="E1066" t="str">
        <f t="shared" si="143"/>
        <v>586</v>
      </c>
      <c r="F1066" t="str">
        <f>"  76"</f>
        <v xml:space="preserve">  76</v>
      </c>
    </row>
    <row r="1067" spans="1:6">
      <c r="A1067" t="str">
        <f>"E1080-76"</f>
        <v>E1080-76</v>
      </c>
      <c r="B1067" t="str">
        <f t="shared" si="141"/>
        <v>VIA AGOSTINO NOVELLA  10-</v>
      </c>
      <c r="C1067" t="str">
        <f t="shared" si="142"/>
        <v>PRA</v>
      </c>
      <c r="D1067">
        <v>12</v>
      </c>
      <c r="E1067" t="str">
        <f t="shared" si="143"/>
        <v>586</v>
      </c>
      <c r="F1067" t="str">
        <f>"  77"</f>
        <v xml:space="preserve">  77</v>
      </c>
    </row>
    <row r="1068" spans="1:6">
      <c r="A1068" t="str">
        <f>"E1080-77"</f>
        <v>E1080-77</v>
      </c>
      <c r="B1068" t="str">
        <f t="shared" si="141"/>
        <v>VIA AGOSTINO NOVELLA  10-</v>
      </c>
      <c r="C1068" t="str">
        <f t="shared" si="142"/>
        <v>PRA</v>
      </c>
      <c r="D1068">
        <v>12</v>
      </c>
      <c r="E1068" t="str">
        <f t="shared" si="143"/>
        <v>586</v>
      </c>
      <c r="F1068" t="str">
        <f>"  78"</f>
        <v xml:space="preserve">  78</v>
      </c>
    </row>
    <row r="1069" spans="1:6">
      <c r="A1069" t="str">
        <f>"E1080-78"</f>
        <v>E1080-78</v>
      </c>
      <c r="B1069" t="str">
        <f t="shared" ref="B1069:B1085" si="144">"VIA AGOSTINO NOVELLA  12-"</f>
        <v>VIA AGOSTINO NOVELLA  12-</v>
      </c>
      <c r="C1069" t="str">
        <f t="shared" si="142"/>
        <v>PRA</v>
      </c>
      <c r="D1069">
        <v>12</v>
      </c>
      <c r="E1069" t="str">
        <f t="shared" si="143"/>
        <v>586</v>
      </c>
      <c r="F1069" t="str">
        <f>"  79"</f>
        <v xml:space="preserve">  79</v>
      </c>
    </row>
    <row r="1070" spans="1:6">
      <c r="A1070" t="str">
        <f>"E1080-79"</f>
        <v>E1080-79</v>
      </c>
      <c r="B1070" t="str">
        <f t="shared" si="144"/>
        <v>VIA AGOSTINO NOVELLA  12-</v>
      </c>
      <c r="C1070" t="str">
        <f t="shared" si="142"/>
        <v>PRA</v>
      </c>
      <c r="D1070">
        <v>12</v>
      </c>
      <c r="E1070" t="str">
        <f t="shared" si="143"/>
        <v>586</v>
      </c>
      <c r="F1070" t="str">
        <f>"  80"</f>
        <v xml:space="preserve">  80</v>
      </c>
    </row>
    <row r="1071" spans="1:6">
      <c r="A1071" t="str">
        <f>"E1080-80"</f>
        <v>E1080-80</v>
      </c>
      <c r="B1071" t="str">
        <f t="shared" si="144"/>
        <v>VIA AGOSTINO NOVELLA  12-</v>
      </c>
      <c r="C1071" t="str">
        <f t="shared" si="142"/>
        <v>PRA</v>
      </c>
      <c r="D1071">
        <v>12</v>
      </c>
      <c r="E1071" t="str">
        <f t="shared" si="143"/>
        <v>586</v>
      </c>
      <c r="F1071" t="str">
        <f>"  81"</f>
        <v xml:space="preserve">  81</v>
      </c>
    </row>
    <row r="1072" spans="1:6">
      <c r="A1072" t="str">
        <f>"E1080-81"</f>
        <v>E1080-81</v>
      </c>
      <c r="B1072" t="str">
        <f t="shared" si="144"/>
        <v>VIA AGOSTINO NOVELLA  12-</v>
      </c>
      <c r="C1072" t="str">
        <f t="shared" si="142"/>
        <v>PRA</v>
      </c>
      <c r="D1072">
        <v>12</v>
      </c>
      <c r="E1072" t="str">
        <f t="shared" si="143"/>
        <v>586</v>
      </c>
      <c r="F1072" t="str">
        <f>"  82"</f>
        <v xml:space="preserve">  82</v>
      </c>
    </row>
    <row r="1073" spans="1:6">
      <c r="A1073" t="str">
        <f>"E1080-82"</f>
        <v>E1080-82</v>
      </c>
      <c r="B1073" t="str">
        <f t="shared" si="144"/>
        <v>VIA AGOSTINO NOVELLA  12-</v>
      </c>
      <c r="C1073" t="str">
        <f t="shared" si="142"/>
        <v>PRA</v>
      </c>
      <c r="D1073">
        <v>12</v>
      </c>
      <c r="E1073" t="str">
        <f t="shared" si="143"/>
        <v>586</v>
      </c>
      <c r="F1073" t="str">
        <f>"  83"</f>
        <v xml:space="preserve">  83</v>
      </c>
    </row>
    <row r="1074" spans="1:6">
      <c r="A1074" t="str">
        <f>"E1080-83"</f>
        <v>E1080-83</v>
      </c>
      <c r="B1074" t="str">
        <f t="shared" si="144"/>
        <v>VIA AGOSTINO NOVELLA  12-</v>
      </c>
      <c r="C1074" t="str">
        <f t="shared" si="142"/>
        <v>PRA</v>
      </c>
      <c r="D1074">
        <v>12</v>
      </c>
      <c r="E1074" t="str">
        <f t="shared" si="143"/>
        <v>586</v>
      </c>
      <c r="F1074" t="str">
        <f>"  84"</f>
        <v xml:space="preserve">  84</v>
      </c>
    </row>
    <row r="1075" spans="1:6">
      <c r="A1075" t="str">
        <f>"E1080-84"</f>
        <v>E1080-84</v>
      </c>
      <c r="B1075" t="str">
        <f t="shared" si="144"/>
        <v>VIA AGOSTINO NOVELLA  12-</v>
      </c>
      <c r="C1075" t="str">
        <f t="shared" si="142"/>
        <v>PRA</v>
      </c>
      <c r="D1075">
        <v>12</v>
      </c>
      <c r="E1075" t="str">
        <f t="shared" si="143"/>
        <v>586</v>
      </c>
      <c r="F1075" t="str">
        <f>"  85"</f>
        <v xml:space="preserve">  85</v>
      </c>
    </row>
    <row r="1076" spans="1:6">
      <c r="A1076" t="str">
        <f>"E1080-85"</f>
        <v>E1080-85</v>
      </c>
      <c r="B1076" t="str">
        <f t="shared" si="144"/>
        <v>VIA AGOSTINO NOVELLA  12-</v>
      </c>
      <c r="C1076" t="str">
        <f t="shared" si="142"/>
        <v>PRA</v>
      </c>
      <c r="D1076">
        <v>12</v>
      </c>
      <c r="E1076" t="str">
        <f t="shared" si="143"/>
        <v>586</v>
      </c>
      <c r="F1076" t="str">
        <f>"  86"</f>
        <v xml:space="preserve">  86</v>
      </c>
    </row>
    <row r="1077" spans="1:6">
      <c r="A1077" t="str">
        <f>"E1080-86"</f>
        <v>E1080-86</v>
      </c>
      <c r="B1077" t="str">
        <f t="shared" si="144"/>
        <v>VIA AGOSTINO NOVELLA  12-</v>
      </c>
      <c r="C1077" t="str">
        <f t="shared" si="142"/>
        <v>PRA</v>
      </c>
      <c r="D1077">
        <v>12</v>
      </c>
      <c r="E1077" t="str">
        <f t="shared" si="143"/>
        <v>586</v>
      </c>
      <c r="F1077" t="str">
        <f>"  87"</f>
        <v xml:space="preserve">  87</v>
      </c>
    </row>
    <row r="1078" spans="1:6">
      <c r="A1078" t="str">
        <f>"E1080-87"</f>
        <v>E1080-87</v>
      </c>
      <c r="B1078" t="str">
        <f t="shared" si="144"/>
        <v>VIA AGOSTINO NOVELLA  12-</v>
      </c>
      <c r="C1078" t="str">
        <f t="shared" si="142"/>
        <v>PRA</v>
      </c>
      <c r="D1078">
        <v>12</v>
      </c>
      <c r="E1078" t="str">
        <f t="shared" si="143"/>
        <v>586</v>
      </c>
      <c r="F1078" t="str">
        <f>"  88"</f>
        <v xml:space="preserve">  88</v>
      </c>
    </row>
    <row r="1079" spans="1:6">
      <c r="A1079" t="str">
        <f>"E1080-88"</f>
        <v>E1080-88</v>
      </c>
      <c r="B1079" t="str">
        <f t="shared" si="144"/>
        <v>VIA AGOSTINO NOVELLA  12-</v>
      </c>
      <c r="C1079" t="str">
        <f t="shared" si="142"/>
        <v>PRA</v>
      </c>
      <c r="D1079">
        <v>12</v>
      </c>
      <c r="E1079" t="str">
        <f t="shared" si="143"/>
        <v>586</v>
      </c>
      <c r="F1079" t="str">
        <f>"  89"</f>
        <v xml:space="preserve">  89</v>
      </c>
    </row>
    <row r="1080" spans="1:6">
      <c r="A1080" t="str">
        <f>"E1080-89"</f>
        <v>E1080-89</v>
      </c>
      <c r="B1080" t="str">
        <f t="shared" si="144"/>
        <v>VIA AGOSTINO NOVELLA  12-</v>
      </c>
      <c r="C1080" t="str">
        <f t="shared" si="142"/>
        <v>PRA</v>
      </c>
      <c r="D1080">
        <v>12</v>
      </c>
      <c r="E1080" t="str">
        <f t="shared" si="143"/>
        <v>586</v>
      </c>
      <c r="F1080" t="str">
        <f>"  90"</f>
        <v xml:space="preserve">  90</v>
      </c>
    </row>
    <row r="1081" spans="1:6">
      <c r="A1081" t="str">
        <f>"E1080-90"</f>
        <v>E1080-90</v>
      </c>
      <c r="B1081" t="str">
        <f t="shared" si="144"/>
        <v>VIA AGOSTINO NOVELLA  12-</v>
      </c>
      <c r="C1081" t="str">
        <f t="shared" si="142"/>
        <v>PRA</v>
      </c>
      <c r="D1081">
        <v>12</v>
      </c>
      <c r="E1081" t="str">
        <f t="shared" si="143"/>
        <v>586</v>
      </c>
      <c r="F1081" t="str">
        <f>"  91"</f>
        <v xml:space="preserve">  91</v>
      </c>
    </row>
    <row r="1082" spans="1:6">
      <c r="A1082" t="str">
        <f>"E1080-91"</f>
        <v>E1080-91</v>
      </c>
      <c r="B1082" t="str">
        <f t="shared" si="144"/>
        <v>VIA AGOSTINO NOVELLA  12-</v>
      </c>
      <c r="C1082" t="str">
        <f t="shared" si="142"/>
        <v>PRA</v>
      </c>
      <c r="D1082">
        <v>12</v>
      </c>
      <c r="E1082" t="str">
        <f t="shared" si="143"/>
        <v>586</v>
      </c>
      <c r="F1082" t="str">
        <f>"  92"</f>
        <v xml:space="preserve">  92</v>
      </c>
    </row>
    <row r="1083" spans="1:6">
      <c r="A1083" t="str">
        <f>"E1080-92"</f>
        <v>E1080-92</v>
      </c>
      <c r="B1083" t="str">
        <f t="shared" si="144"/>
        <v>VIA AGOSTINO NOVELLA  12-</v>
      </c>
      <c r="C1083" t="str">
        <f t="shared" si="142"/>
        <v>PRA</v>
      </c>
      <c r="D1083">
        <v>12</v>
      </c>
      <c r="E1083" t="str">
        <f t="shared" si="143"/>
        <v>586</v>
      </c>
      <c r="F1083" t="str">
        <f>"  93"</f>
        <v xml:space="preserve">  93</v>
      </c>
    </row>
    <row r="1084" spans="1:6">
      <c r="A1084" t="str">
        <f>"E1080-93"</f>
        <v>E1080-93</v>
      </c>
      <c r="B1084" t="str">
        <f t="shared" si="144"/>
        <v>VIA AGOSTINO NOVELLA  12-</v>
      </c>
      <c r="C1084" t="str">
        <f t="shared" si="142"/>
        <v>PRA</v>
      </c>
      <c r="D1084">
        <v>12</v>
      </c>
      <c r="E1084" t="str">
        <f t="shared" si="143"/>
        <v>586</v>
      </c>
      <c r="F1084" t="str">
        <f>"  94"</f>
        <v xml:space="preserve">  94</v>
      </c>
    </row>
    <row r="1085" spans="1:6">
      <c r="A1085" t="str">
        <f>"E1080-94"</f>
        <v>E1080-94</v>
      </c>
      <c r="B1085" t="str">
        <f t="shared" si="144"/>
        <v>VIA AGOSTINO NOVELLA  12-</v>
      </c>
      <c r="C1085" t="str">
        <f t="shared" si="142"/>
        <v>PRA</v>
      </c>
      <c r="D1085">
        <v>12</v>
      </c>
      <c r="E1085" t="str">
        <f t="shared" si="143"/>
        <v>586</v>
      </c>
      <c r="F1085" t="str">
        <f>"  95"</f>
        <v xml:space="preserve">  95</v>
      </c>
    </row>
    <row r="1086" spans="1:6">
      <c r="A1086" t="str">
        <f>"E1080-95"</f>
        <v>E1080-95</v>
      </c>
      <c r="B1086" t="str">
        <f t="shared" ref="B1086:B1099" si="145">"VIA AGOSTINO NOVELLA  14-"</f>
        <v>VIA AGOSTINO NOVELLA  14-</v>
      </c>
      <c r="C1086" t="str">
        <f t="shared" si="142"/>
        <v>PRA</v>
      </c>
      <c r="D1086">
        <v>12</v>
      </c>
      <c r="E1086" t="str">
        <f t="shared" si="143"/>
        <v>586</v>
      </c>
      <c r="F1086" t="str">
        <f>"  96"</f>
        <v xml:space="preserve">  96</v>
      </c>
    </row>
    <row r="1087" spans="1:6">
      <c r="A1087" t="str">
        <f>"E1080-96"</f>
        <v>E1080-96</v>
      </c>
      <c r="B1087" t="str">
        <f t="shared" si="145"/>
        <v>VIA AGOSTINO NOVELLA  14-</v>
      </c>
      <c r="C1087" t="str">
        <f t="shared" si="142"/>
        <v>PRA</v>
      </c>
      <c r="D1087">
        <v>12</v>
      </c>
      <c r="E1087" t="str">
        <f t="shared" si="143"/>
        <v>586</v>
      </c>
      <c r="F1087" t="str">
        <f>"  97"</f>
        <v xml:space="preserve">  97</v>
      </c>
    </row>
    <row r="1088" spans="1:6">
      <c r="A1088" t="str">
        <f>"E1080-97"</f>
        <v>E1080-97</v>
      </c>
      <c r="B1088" t="str">
        <f t="shared" si="145"/>
        <v>VIA AGOSTINO NOVELLA  14-</v>
      </c>
      <c r="C1088" t="str">
        <f t="shared" ref="C1088:C1119" si="146">"PRA"</f>
        <v>PRA</v>
      </c>
      <c r="D1088">
        <v>12</v>
      </c>
      <c r="E1088" t="str">
        <f t="shared" ref="E1088:E1119" si="147">"586"</f>
        <v>586</v>
      </c>
      <c r="F1088" t="str">
        <f>"  98"</f>
        <v xml:space="preserve">  98</v>
      </c>
    </row>
    <row r="1089" spans="1:6">
      <c r="A1089" t="str">
        <f>"E1080-98"</f>
        <v>E1080-98</v>
      </c>
      <c r="B1089" t="str">
        <f t="shared" si="145"/>
        <v>VIA AGOSTINO NOVELLA  14-</v>
      </c>
      <c r="C1089" t="str">
        <f t="shared" si="146"/>
        <v>PRA</v>
      </c>
      <c r="D1089">
        <v>12</v>
      </c>
      <c r="E1089" t="str">
        <f t="shared" si="147"/>
        <v>586</v>
      </c>
      <c r="F1089" t="str">
        <f>"  99"</f>
        <v xml:space="preserve">  99</v>
      </c>
    </row>
    <row r="1090" spans="1:6">
      <c r="A1090" t="str">
        <f>"E1080-99"</f>
        <v>E1080-99</v>
      </c>
      <c r="B1090" t="str">
        <f t="shared" si="145"/>
        <v>VIA AGOSTINO NOVELLA  14-</v>
      </c>
      <c r="C1090" t="str">
        <f t="shared" si="146"/>
        <v>PRA</v>
      </c>
      <c r="D1090">
        <v>12</v>
      </c>
      <c r="E1090" t="str">
        <f t="shared" si="147"/>
        <v>586</v>
      </c>
      <c r="F1090" t="str">
        <f>" 100"</f>
        <v xml:space="preserve"> 100</v>
      </c>
    </row>
    <row r="1091" spans="1:6">
      <c r="A1091" t="str">
        <f>"E1080-100"</f>
        <v>E1080-100</v>
      </c>
      <c r="B1091" t="str">
        <f t="shared" si="145"/>
        <v>VIA AGOSTINO NOVELLA  14-</v>
      </c>
      <c r="C1091" t="str">
        <f t="shared" si="146"/>
        <v>PRA</v>
      </c>
      <c r="D1091">
        <v>12</v>
      </c>
      <c r="E1091" t="str">
        <f t="shared" si="147"/>
        <v>586</v>
      </c>
      <c r="F1091" t="str">
        <f>" 101"</f>
        <v xml:space="preserve"> 101</v>
      </c>
    </row>
    <row r="1092" spans="1:6">
      <c r="A1092" t="str">
        <f>"E1080-101"</f>
        <v>E1080-101</v>
      </c>
      <c r="B1092" t="str">
        <f t="shared" si="145"/>
        <v>VIA AGOSTINO NOVELLA  14-</v>
      </c>
      <c r="C1092" t="str">
        <f t="shared" si="146"/>
        <v>PRA</v>
      </c>
      <c r="D1092">
        <v>12</v>
      </c>
      <c r="E1092" t="str">
        <f t="shared" si="147"/>
        <v>586</v>
      </c>
      <c r="F1092" t="str">
        <f>" 102"</f>
        <v xml:space="preserve"> 102</v>
      </c>
    </row>
    <row r="1093" spans="1:6">
      <c r="A1093" t="str">
        <f>"E1080-102"</f>
        <v>E1080-102</v>
      </c>
      <c r="B1093" t="str">
        <f t="shared" si="145"/>
        <v>VIA AGOSTINO NOVELLA  14-</v>
      </c>
      <c r="C1093" t="str">
        <f t="shared" si="146"/>
        <v>PRA</v>
      </c>
      <c r="D1093">
        <v>12</v>
      </c>
      <c r="E1093" t="str">
        <f t="shared" si="147"/>
        <v>586</v>
      </c>
      <c r="F1093" t="str">
        <f>" 103"</f>
        <v xml:space="preserve"> 103</v>
      </c>
    </row>
    <row r="1094" spans="1:6">
      <c r="A1094" t="str">
        <f>"E1080-103"</f>
        <v>E1080-103</v>
      </c>
      <c r="B1094" t="str">
        <f t="shared" si="145"/>
        <v>VIA AGOSTINO NOVELLA  14-</v>
      </c>
      <c r="C1094" t="str">
        <f t="shared" si="146"/>
        <v>PRA</v>
      </c>
      <c r="D1094">
        <v>12</v>
      </c>
      <c r="E1094" t="str">
        <f t="shared" si="147"/>
        <v>586</v>
      </c>
      <c r="F1094" t="str">
        <f>" 104"</f>
        <v xml:space="preserve"> 104</v>
      </c>
    </row>
    <row r="1095" spans="1:6">
      <c r="A1095" t="str">
        <f>"E1080-104"</f>
        <v>E1080-104</v>
      </c>
      <c r="B1095" t="str">
        <f t="shared" si="145"/>
        <v>VIA AGOSTINO NOVELLA  14-</v>
      </c>
      <c r="C1095" t="str">
        <f t="shared" si="146"/>
        <v>PRA</v>
      </c>
      <c r="D1095">
        <v>12</v>
      </c>
      <c r="E1095" t="str">
        <f t="shared" si="147"/>
        <v>586</v>
      </c>
      <c r="F1095" t="str">
        <f>" 105"</f>
        <v xml:space="preserve"> 105</v>
      </c>
    </row>
    <row r="1096" spans="1:6">
      <c r="A1096" t="str">
        <f>"E1080-105"</f>
        <v>E1080-105</v>
      </c>
      <c r="B1096" t="str">
        <f t="shared" si="145"/>
        <v>VIA AGOSTINO NOVELLA  14-</v>
      </c>
      <c r="C1096" t="str">
        <f t="shared" si="146"/>
        <v>PRA</v>
      </c>
      <c r="D1096">
        <v>12</v>
      </c>
      <c r="E1096" t="str">
        <f t="shared" si="147"/>
        <v>586</v>
      </c>
      <c r="F1096" t="str">
        <f>" 106"</f>
        <v xml:space="preserve"> 106</v>
      </c>
    </row>
    <row r="1097" spans="1:6">
      <c r="A1097" t="str">
        <f>"E1080-106"</f>
        <v>E1080-106</v>
      </c>
      <c r="B1097" t="str">
        <f t="shared" si="145"/>
        <v>VIA AGOSTINO NOVELLA  14-</v>
      </c>
      <c r="C1097" t="str">
        <f t="shared" si="146"/>
        <v>PRA</v>
      </c>
      <c r="D1097">
        <v>12</v>
      </c>
      <c r="E1097" t="str">
        <f t="shared" si="147"/>
        <v>586</v>
      </c>
      <c r="F1097" t="str">
        <f>" 107"</f>
        <v xml:space="preserve"> 107</v>
      </c>
    </row>
    <row r="1098" spans="1:6">
      <c r="A1098" t="str">
        <f>"E1080-107"</f>
        <v>E1080-107</v>
      </c>
      <c r="B1098" t="str">
        <f t="shared" si="145"/>
        <v>VIA AGOSTINO NOVELLA  14-</v>
      </c>
      <c r="C1098" t="str">
        <f t="shared" si="146"/>
        <v>PRA</v>
      </c>
      <c r="D1098">
        <v>12</v>
      </c>
      <c r="E1098" t="str">
        <f t="shared" si="147"/>
        <v>586</v>
      </c>
      <c r="F1098" t="str">
        <f>" 108"</f>
        <v xml:space="preserve"> 108</v>
      </c>
    </row>
    <row r="1099" spans="1:6">
      <c r="A1099" t="str">
        <f>"E1080-108"</f>
        <v>E1080-108</v>
      </c>
      <c r="B1099" t="str">
        <f t="shared" si="145"/>
        <v>VIA AGOSTINO NOVELLA  14-</v>
      </c>
      <c r="C1099" t="str">
        <f t="shared" si="146"/>
        <v>PRA</v>
      </c>
      <c r="D1099">
        <v>12</v>
      </c>
      <c r="E1099" t="str">
        <f t="shared" si="147"/>
        <v>586</v>
      </c>
      <c r="F1099" t="str">
        <f>" 109"</f>
        <v xml:space="preserve"> 109</v>
      </c>
    </row>
    <row r="1100" spans="1:6">
      <c r="A1100" t="str">
        <f>"E1080-109"</f>
        <v>E1080-109</v>
      </c>
      <c r="B1100" t="str">
        <f t="shared" ref="B1100:B1116" si="148">"VIA AGOSTINO NOVELLA  16-"</f>
        <v>VIA AGOSTINO NOVELLA  16-</v>
      </c>
      <c r="C1100" t="str">
        <f t="shared" si="146"/>
        <v>PRA</v>
      </c>
      <c r="D1100">
        <v>12</v>
      </c>
      <c r="E1100" t="str">
        <f t="shared" si="147"/>
        <v>586</v>
      </c>
      <c r="F1100" t="str">
        <f>" 110"</f>
        <v xml:space="preserve"> 110</v>
      </c>
    </row>
    <row r="1101" spans="1:6">
      <c r="A1101" t="str">
        <f>"E1080-110"</f>
        <v>E1080-110</v>
      </c>
      <c r="B1101" t="str">
        <f t="shared" si="148"/>
        <v>VIA AGOSTINO NOVELLA  16-</v>
      </c>
      <c r="C1101" t="str">
        <f t="shared" si="146"/>
        <v>PRA</v>
      </c>
      <c r="D1101">
        <v>12</v>
      </c>
      <c r="E1101" t="str">
        <f t="shared" si="147"/>
        <v>586</v>
      </c>
      <c r="F1101" t="str">
        <f>" 111"</f>
        <v xml:space="preserve"> 111</v>
      </c>
    </row>
    <row r="1102" spans="1:6">
      <c r="A1102" t="str">
        <f>"E1080-111"</f>
        <v>E1080-111</v>
      </c>
      <c r="B1102" t="str">
        <f t="shared" si="148"/>
        <v>VIA AGOSTINO NOVELLA  16-</v>
      </c>
      <c r="C1102" t="str">
        <f t="shared" si="146"/>
        <v>PRA</v>
      </c>
      <c r="D1102">
        <v>12</v>
      </c>
      <c r="E1102" t="str">
        <f t="shared" si="147"/>
        <v>586</v>
      </c>
      <c r="F1102" t="str">
        <f>" 112"</f>
        <v xml:space="preserve"> 112</v>
      </c>
    </row>
    <row r="1103" spans="1:6">
      <c r="A1103" t="str">
        <f>"E1080-112"</f>
        <v>E1080-112</v>
      </c>
      <c r="B1103" t="str">
        <f t="shared" si="148"/>
        <v>VIA AGOSTINO NOVELLA  16-</v>
      </c>
      <c r="C1103" t="str">
        <f t="shared" si="146"/>
        <v>PRA</v>
      </c>
      <c r="D1103">
        <v>12</v>
      </c>
      <c r="E1103" t="str">
        <f t="shared" si="147"/>
        <v>586</v>
      </c>
      <c r="F1103" t="str">
        <f>" 113"</f>
        <v xml:space="preserve"> 113</v>
      </c>
    </row>
    <row r="1104" spans="1:6">
      <c r="A1104" t="str">
        <f>"E1080-113"</f>
        <v>E1080-113</v>
      </c>
      <c r="B1104" t="str">
        <f t="shared" si="148"/>
        <v>VIA AGOSTINO NOVELLA  16-</v>
      </c>
      <c r="C1104" t="str">
        <f t="shared" si="146"/>
        <v>PRA</v>
      </c>
      <c r="D1104">
        <v>12</v>
      </c>
      <c r="E1104" t="str">
        <f t="shared" si="147"/>
        <v>586</v>
      </c>
      <c r="F1104" t="str">
        <f>" 114"</f>
        <v xml:space="preserve"> 114</v>
      </c>
    </row>
    <row r="1105" spans="1:6">
      <c r="A1105" t="str">
        <f>"E1080-114"</f>
        <v>E1080-114</v>
      </c>
      <c r="B1105" t="str">
        <f t="shared" si="148"/>
        <v>VIA AGOSTINO NOVELLA  16-</v>
      </c>
      <c r="C1105" t="str">
        <f t="shared" si="146"/>
        <v>PRA</v>
      </c>
      <c r="D1105">
        <v>12</v>
      </c>
      <c r="E1105" t="str">
        <f t="shared" si="147"/>
        <v>586</v>
      </c>
      <c r="F1105" t="str">
        <f>" 115"</f>
        <v xml:space="preserve"> 115</v>
      </c>
    </row>
    <row r="1106" spans="1:6">
      <c r="A1106" t="str">
        <f>"E1080-115"</f>
        <v>E1080-115</v>
      </c>
      <c r="B1106" t="str">
        <f t="shared" si="148"/>
        <v>VIA AGOSTINO NOVELLA  16-</v>
      </c>
      <c r="C1106" t="str">
        <f t="shared" si="146"/>
        <v>PRA</v>
      </c>
      <c r="D1106">
        <v>12</v>
      </c>
      <c r="E1106" t="str">
        <f t="shared" si="147"/>
        <v>586</v>
      </c>
      <c r="F1106" t="str">
        <f>" 116"</f>
        <v xml:space="preserve"> 116</v>
      </c>
    </row>
    <row r="1107" spans="1:6">
      <c r="A1107" t="str">
        <f>"E1080-116"</f>
        <v>E1080-116</v>
      </c>
      <c r="B1107" t="str">
        <f t="shared" si="148"/>
        <v>VIA AGOSTINO NOVELLA  16-</v>
      </c>
      <c r="C1107" t="str">
        <f t="shared" si="146"/>
        <v>PRA</v>
      </c>
      <c r="D1107">
        <v>12</v>
      </c>
      <c r="E1107" t="str">
        <f t="shared" si="147"/>
        <v>586</v>
      </c>
      <c r="F1107" t="str">
        <f>" 117"</f>
        <v xml:space="preserve"> 117</v>
      </c>
    </row>
    <row r="1108" spans="1:6">
      <c r="A1108" t="str">
        <f>"E1080-117"</f>
        <v>E1080-117</v>
      </c>
      <c r="B1108" t="str">
        <f t="shared" si="148"/>
        <v>VIA AGOSTINO NOVELLA  16-</v>
      </c>
      <c r="C1108" t="str">
        <f t="shared" si="146"/>
        <v>PRA</v>
      </c>
      <c r="D1108">
        <v>12</v>
      </c>
      <c r="E1108" t="str">
        <f t="shared" si="147"/>
        <v>586</v>
      </c>
      <c r="F1108" t="str">
        <f>" 118"</f>
        <v xml:space="preserve"> 118</v>
      </c>
    </row>
    <row r="1109" spans="1:6">
      <c r="A1109" t="str">
        <f>"E1080-118"</f>
        <v>E1080-118</v>
      </c>
      <c r="B1109" t="str">
        <f t="shared" si="148"/>
        <v>VIA AGOSTINO NOVELLA  16-</v>
      </c>
      <c r="C1109" t="str">
        <f t="shared" si="146"/>
        <v>PRA</v>
      </c>
      <c r="D1109">
        <v>12</v>
      </c>
      <c r="E1109" t="str">
        <f t="shared" si="147"/>
        <v>586</v>
      </c>
      <c r="F1109" t="str">
        <f>" 119"</f>
        <v xml:space="preserve"> 119</v>
      </c>
    </row>
    <row r="1110" spans="1:6">
      <c r="A1110" t="str">
        <f>"E1080-119"</f>
        <v>E1080-119</v>
      </c>
      <c r="B1110" t="str">
        <f t="shared" si="148"/>
        <v>VIA AGOSTINO NOVELLA  16-</v>
      </c>
      <c r="C1110" t="str">
        <f t="shared" si="146"/>
        <v>PRA</v>
      </c>
      <c r="D1110">
        <v>12</v>
      </c>
      <c r="E1110" t="str">
        <f t="shared" si="147"/>
        <v>586</v>
      </c>
      <c r="F1110" t="str">
        <f>" 120"</f>
        <v xml:space="preserve"> 120</v>
      </c>
    </row>
    <row r="1111" spans="1:6">
      <c r="A1111" t="str">
        <f>"E1080-120"</f>
        <v>E1080-120</v>
      </c>
      <c r="B1111" t="str">
        <f t="shared" si="148"/>
        <v>VIA AGOSTINO NOVELLA  16-</v>
      </c>
      <c r="C1111" t="str">
        <f t="shared" si="146"/>
        <v>PRA</v>
      </c>
      <c r="D1111">
        <v>12</v>
      </c>
      <c r="E1111" t="str">
        <f t="shared" si="147"/>
        <v>586</v>
      </c>
      <c r="F1111" t="str">
        <f>" 121"</f>
        <v xml:space="preserve"> 121</v>
      </c>
    </row>
    <row r="1112" spans="1:6">
      <c r="A1112" t="str">
        <f>"E1080-121"</f>
        <v>E1080-121</v>
      </c>
      <c r="B1112" t="str">
        <f t="shared" si="148"/>
        <v>VIA AGOSTINO NOVELLA  16-</v>
      </c>
      <c r="C1112" t="str">
        <f t="shared" si="146"/>
        <v>PRA</v>
      </c>
      <c r="D1112">
        <v>12</v>
      </c>
      <c r="E1112" t="str">
        <f t="shared" si="147"/>
        <v>586</v>
      </c>
      <c r="F1112" t="str">
        <f>" 122"</f>
        <v xml:space="preserve"> 122</v>
      </c>
    </row>
    <row r="1113" spans="1:6">
      <c r="A1113" t="str">
        <f>"E1080-122"</f>
        <v>E1080-122</v>
      </c>
      <c r="B1113" t="str">
        <f t="shared" si="148"/>
        <v>VIA AGOSTINO NOVELLA  16-</v>
      </c>
      <c r="C1113" t="str">
        <f t="shared" si="146"/>
        <v>PRA</v>
      </c>
      <c r="D1113">
        <v>12</v>
      </c>
      <c r="E1113" t="str">
        <f t="shared" si="147"/>
        <v>586</v>
      </c>
      <c r="F1113" t="str">
        <f>" 123"</f>
        <v xml:space="preserve"> 123</v>
      </c>
    </row>
    <row r="1114" spans="1:6">
      <c r="A1114" t="str">
        <f>"E1080-123"</f>
        <v>E1080-123</v>
      </c>
      <c r="B1114" t="str">
        <f t="shared" si="148"/>
        <v>VIA AGOSTINO NOVELLA  16-</v>
      </c>
      <c r="C1114" t="str">
        <f t="shared" si="146"/>
        <v>PRA</v>
      </c>
      <c r="D1114">
        <v>12</v>
      </c>
      <c r="E1114" t="str">
        <f t="shared" si="147"/>
        <v>586</v>
      </c>
      <c r="F1114" t="str">
        <f>" 124"</f>
        <v xml:space="preserve"> 124</v>
      </c>
    </row>
    <row r="1115" spans="1:6">
      <c r="A1115" t="str">
        <f>"E1080-124"</f>
        <v>E1080-124</v>
      </c>
      <c r="B1115" t="str">
        <f t="shared" si="148"/>
        <v>VIA AGOSTINO NOVELLA  16-</v>
      </c>
      <c r="C1115" t="str">
        <f t="shared" si="146"/>
        <v>PRA</v>
      </c>
      <c r="D1115">
        <v>12</v>
      </c>
      <c r="E1115" t="str">
        <f t="shared" si="147"/>
        <v>586</v>
      </c>
      <c r="F1115" t="str">
        <f>" 125"</f>
        <v xml:space="preserve"> 125</v>
      </c>
    </row>
    <row r="1116" spans="1:6">
      <c r="A1116" t="str">
        <f>"E1080-125"</f>
        <v>E1080-125</v>
      </c>
      <c r="B1116" t="str">
        <f t="shared" si="148"/>
        <v>VIA AGOSTINO NOVELLA  16-</v>
      </c>
      <c r="C1116" t="str">
        <f t="shared" si="146"/>
        <v>PRA</v>
      </c>
      <c r="D1116">
        <v>12</v>
      </c>
      <c r="E1116" t="str">
        <f t="shared" si="147"/>
        <v>586</v>
      </c>
      <c r="F1116" t="str">
        <f>" 126"</f>
        <v xml:space="preserve"> 126</v>
      </c>
    </row>
    <row r="1117" spans="1:6">
      <c r="A1117" t="str">
        <f>"E1080-126"</f>
        <v>E1080-126</v>
      </c>
      <c r="B1117" t="str">
        <f t="shared" ref="B1117:B1133" si="149">"VIA AGOSTINO NOVELLA  18-"</f>
        <v>VIA AGOSTINO NOVELLA  18-</v>
      </c>
      <c r="C1117" t="str">
        <f t="shared" si="146"/>
        <v>PRA</v>
      </c>
      <c r="D1117">
        <v>12</v>
      </c>
      <c r="E1117" t="str">
        <f t="shared" si="147"/>
        <v>586</v>
      </c>
      <c r="F1117" t="str">
        <f>" 127"</f>
        <v xml:space="preserve"> 127</v>
      </c>
    </row>
    <row r="1118" spans="1:6">
      <c r="A1118" t="str">
        <f>"E1080-127"</f>
        <v>E1080-127</v>
      </c>
      <c r="B1118" t="str">
        <f t="shared" si="149"/>
        <v>VIA AGOSTINO NOVELLA  18-</v>
      </c>
      <c r="C1118" t="str">
        <f t="shared" si="146"/>
        <v>PRA</v>
      </c>
      <c r="D1118">
        <v>12</v>
      </c>
      <c r="E1118" t="str">
        <f t="shared" si="147"/>
        <v>586</v>
      </c>
      <c r="F1118" t="str">
        <f>" 128"</f>
        <v xml:space="preserve"> 128</v>
      </c>
    </row>
    <row r="1119" spans="1:6">
      <c r="A1119" t="str">
        <f>"E1080-128"</f>
        <v>E1080-128</v>
      </c>
      <c r="B1119" t="str">
        <f t="shared" si="149"/>
        <v>VIA AGOSTINO NOVELLA  18-</v>
      </c>
      <c r="C1119" t="str">
        <f t="shared" si="146"/>
        <v>PRA</v>
      </c>
      <c r="D1119">
        <v>12</v>
      </c>
      <c r="E1119" t="str">
        <f t="shared" si="147"/>
        <v>586</v>
      </c>
      <c r="F1119" t="str">
        <f>" 129"</f>
        <v xml:space="preserve"> 129</v>
      </c>
    </row>
    <row r="1120" spans="1:6">
      <c r="A1120" t="str">
        <f>"E1080-129"</f>
        <v>E1080-129</v>
      </c>
      <c r="B1120" t="str">
        <f t="shared" si="149"/>
        <v>VIA AGOSTINO NOVELLA  18-</v>
      </c>
      <c r="C1120" t="str">
        <f t="shared" ref="C1120:C1151" si="150">"PRA"</f>
        <v>PRA</v>
      </c>
      <c r="D1120">
        <v>12</v>
      </c>
      <c r="E1120" t="str">
        <f t="shared" ref="E1120:E1151" si="151">"586"</f>
        <v>586</v>
      </c>
      <c r="F1120" t="str">
        <f>" 130"</f>
        <v xml:space="preserve"> 130</v>
      </c>
    </row>
    <row r="1121" spans="1:6">
      <c r="A1121" t="str">
        <f>"E1080-130"</f>
        <v>E1080-130</v>
      </c>
      <c r="B1121" t="str">
        <f t="shared" si="149"/>
        <v>VIA AGOSTINO NOVELLA  18-</v>
      </c>
      <c r="C1121" t="str">
        <f t="shared" si="150"/>
        <v>PRA</v>
      </c>
      <c r="D1121">
        <v>12</v>
      </c>
      <c r="E1121" t="str">
        <f t="shared" si="151"/>
        <v>586</v>
      </c>
      <c r="F1121" t="str">
        <f>" 131"</f>
        <v xml:space="preserve"> 131</v>
      </c>
    </row>
    <row r="1122" spans="1:6">
      <c r="A1122" t="str">
        <f>"E1080-131"</f>
        <v>E1080-131</v>
      </c>
      <c r="B1122" t="str">
        <f t="shared" si="149"/>
        <v>VIA AGOSTINO NOVELLA  18-</v>
      </c>
      <c r="C1122" t="str">
        <f t="shared" si="150"/>
        <v>PRA</v>
      </c>
      <c r="D1122">
        <v>12</v>
      </c>
      <c r="E1122" t="str">
        <f t="shared" si="151"/>
        <v>586</v>
      </c>
      <c r="F1122" t="str">
        <f>" 132"</f>
        <v xml:space="preserve"> 132</v>
      </c>
    </row>
    <row r="1123" spans="1:6">
      <c r="A1123" t="str">
        <f>"E1080-132"</f>
        <v>E1080-132</v>
      </c>
      <c r="B1123" t="str">
        <f t="shared" si="149"/>
        <v>VIA AGOSTINO NOVELLA  18-</v>
      </c>
      <c r="C1123" t="str">
        <f t="shared" si="150"/>
        <v>PRA</v>
      </c>
      <c r="D1123">
        <v>12</v>
      </c>
      <c r="E1123" t="str">
        <f t="shared" si="151"/>
        <v>586</v>
      </c>
      <c r="F1123" t="str">
        <f>" 133"</f>
        <v xml:space="preserve"> 133</v>
      </c>
    </row>
    <row r="1124" spans="1:6">
      <c r="A1124" t="str">
        <f>"E1080-133"</f>
        <v>E1080-133</v>
      </c>
      <c r="B1124" t="str">
        <f t="shared" si="149"/>
        <v>VIA AGOSTINO NOVELLA  18-</v>
      </c>
      <c r="C1124" t="str">
        <f t="shared" si="150"/>
        <v>PRA</v>
      </c>
      <c r="D1124">
        <v>12</v>
      </c>
      <c r="E1124" t="str">
        <f t="shared" si="151"/>
        <v>586</v>
      </c>
      <c r="F1124" t="str">
        <f>" 134"</f>
        <v xml:space="preserve"> 134</v>
      </c>
    </row>
    <row r="1125" spans="1:6">
      <c r="A1125" t="str">
        <f>"E1080-134"</f>
        <v>E1080-134</v>
      </c>
      <c r="B1125" t="str">
        <f t="shared" si="149"/>
        <v>VIA AGOSTINO NOVELLA  18-</v>
      </c>
      <c r="C1125" t="str">
        <f t="shared" si="150"/>
        <v>PRA</v>
      </c>
      <c r="D1125">
        <v>12</v>
      </c>
      <c r="E1125" t="str">
        <f t="shared" si="151"/>
        <v>586</v>
      </c>
      <c r="F1125" t="str">
        <f>" 135"</f>
        <v xml:space="preserve"> 135</v>
      </c>
    </row>
    <row r="1126" spans="1:6">
      <c r="A1126" t="str">
        <f>"E1080-135"</f>
        <v>E1080-135</v>
      </c>
      <c r="B1126" t="str">
        <f t="shared" si="149"/>
        <v>VIA AGOSTINO NOVELLA  18-</v>
      </c>
      <c r="C1126" t="str">
        <f t="shared" si="150"/>
        <v>PRA</v>
      </c>
      <c r="D1126">
        <v>12</v>
      </c>
      <c r="E1126" t="str">
        <f t="shared" si="151"/>
        <v>586</v>
      </c>
      <c r="F1126" t="str">
        <f>" 136"</f>
        <v xml:space="preserve"> 136</v>
      </c>
    </row>
    <row r="1127" spans="1:6">
      <c r="A1127" t="str">
        <f>"E1080-136"</f>
        <v>E1080-136</v>
      </c>
      <c r="B1127" t="str">
        <f t="shared" si="149"/>
        <v>VIA AGOSTINO NOVELLA  18-</v>
      </c>
      <c r="C1127" t="str">
        <f t="shared" si="150"/>
        <v>PRA</v>
      </c>
      <c r="D1127">
        <v>12</v>
      </c>
      <c r="E1127" t="str">
        <f t="shared" si="151"/>
        <v>586</v>
      </c>
      <c r="F1127" t="str">
        <f>" 137"</f>
        <v xml:space="preserve"> 137</v>
      </c>
    </row>
    <row r="1128" spans="1:6">
      <c r="A1128" t="str">
        <f>"E1080-137"</f>
        <v>E1080-137</v>
      </c>
      <c r="B1128" t="str">
        <f t="shared" si="149"/>
        <v>VIA AGOSTINO NOVELLA  18-</v>
      </c>
      <c r="C1128" t="str">
        <f t="shared" si="150"/>
        <v>PRA</v>
      </c>
      <c r="D1128">
        <v>12</v>
      </c>
      <c r="E1128" t="str">
        <f t="shared" si="151"/>
        <v>586</v>
      </c>
      <c r="F1128" t="str">
        <f>" 138"</f>
        <v xml:space="preserve"> 138</v>
      </c>
    </row>
    <row r="1129" spans="1:6">
      <c r="A1129" t="str">
        <f>"E1080-138"</f>
        <v>E1080-138</v>
      </c>
      <c r="B1129" t="str">
        <f t="shared" si="149"/>
        <v>VIA AGOSTINO NOVELLA  18-</v>
      </c>
      <c r="C1129" t="str">
        <f t="shared" si="150"/>
        <v>PRA</v>
      </c>
      <c r="D1129">
        <v>12</v>
      </c>
      <c r="E1129" t="str">
        <f t="shared" si="151"/>
        <v>586</v>
      </c>
      <c r="F1129" t="str">
        <f>" 139"</f>
        <v xml:space="preserve"> 139</v>
      </c>
    </row>
    <row r="1130" spans="1:6">
      <c r="A1130" t="str">
        <f>"E1080-139"</f>
        <v>E1080-139</v>
      </c>
      <c r="B1130" t="str">
        <f t="shared" si="149"/>
        <v>VIA AGOSTINO NOVELLA  18-</v>
      </c>
      <c r="C1130" t="str">
        <f t="shared" si="150"/>
        <v>PRA</v>
      </c>
      <c r="D1130">
        <v>12</v>
      </c>
      <c r="E1130" t="str">
        <f t="shared" si="151"/>
        <v>586</v>
      </c>
      <c r="F1130" t="str">
        <f>" 140"</f>
        <v xml:space="preserve"> 140</v>
      </c>
    </row>
    <row r="1131" spans="1:6">
      <c r="A1131" t="str">
        <f>"E1080-140"</f>
        <v>E1080-140</v>
      </c>
      <c r="B1131" t="str">
        <f t="shared" si="149"/>
        <v>VIA AGOSTINO NOVELLA  18-</v>
      </c>
      <c r="C1131" t="str">
        <f t="shared" si="150"/>
        <v>PRA</v>
      </c>
      <c r="D1131">
        <v>12</v>
      </c>
      <c r="E1131" t="str">
        <f t="shared" si="151"/>
        <v>586</v>
      </c>
      <c r="F1131" t="str">
        <f>" 141"</f>
        <v xml:space="preserve"> 141</v>
      </c>
    </row>
    <row r="1132" spans="1:6">
      <c r="A1132" t="str">
        <f>"E1080-141"</f>
        <v>E1080-141</v>
      </c>
      <c r="B1132" t="str">
        <f t="shared" si="149"/>
        <v>VIA AGOSTINO NOVELLA  18-</v>
      </c>
      <c r="C1132" t="str">
        <f t="shared" si="150"/>
        <v>PRA</v>
      </c>
      <c r="D1132">
        <v>12</v>
      </c>
      <c r="E1132" t="str">
        <f t="shared" si="151"/>
        <v>586</v>
      </c>
      <c r="F1132" t="str">
        <f>" 142"</f>
        <v xml:space="preserve"> 142</v>
      </c>
    </row>
    <row r="1133" spans="1:6">
      <c r="A1133" t="str">
        <f>"E1080-142"</f>
        <v>E1080-142</v>
      </c>
      <c r="B1133" t="str">
        <f t="shared" si="149"/>
        <v>VIA AGOSTINO NOVELLA  18-</v>
      </c>
      <c r="C1133" t="str">
        <f t="shared" si="150"/>
        <v>PRA</v>
      </c>
      <c r="D1133">
        <v>12</v>
      </c>
      <c r="E1133" t="str">
        <f t="shared" si="151"/>
        <v>586</v>
      </c>
      <c r="F1133" t="str">
        <f>" 143"</f>
        <v xml:space="preserve"> 143</v>
      </c>
    </row>
    <row r="1134" spans="1:6">
      <c r="A1134" t="str">
        <f>"E1080-143"</f>
        <v>E1080-143</v>
      </c>
      <c r="B1134" t="str">
        <f t="shared" ref="B1134:B1150" si="152">"VIA AGOSTINO NOVELLA  20-"</f>
        <v>VIA AGOSTINO NOVELLA  20-</v>
      </c>
      <c r="C1134" t="str">
        <f t="shared" si="150"/>
        <v>PRA</v>
      </c>
      <c r="D1134">
        <v>12</v>
      </c>
      <c r="E1134" t="str">
        <f t="shared" si="151"/>
        <v>586</v>
      </c>
      <c r="F1134" t="str">
        <f>" 144"</f>
        <v xml:space="preserve"> 144</v>
      </c>
    </row>
    <row r="1135" spans="1:6">
      <c r="A1135" t="str">
        <f>"E1080-144"</f>
        <v>E1080-144</v>
      </c>
      <c r="B1135" t="str">
        <f t="shared" si="152"/>
        <v>VIA AGOSTINO NOVELLA  20-</v>
      </c>
      <c r="C1135" t="str">
        <f t="shared" si="150"/>
        <v>PRA</v>
      </c>
      <c r="D1135">
        <v>12</v>
      </c>
      <c r="E1135" t="str">
        <f t="shared" si="151"/>
        <v>586</v>
      </c>
      <c r="F1135" t="str">
        <f>" 145"</f>
        <v xml:space="preserve"> 145</v>
      </c>
    </row>
    <row r="1136" spans="1:6">
      <c r="A1136" t="str">
        <f>"E1080-145"</f>
        <v>E1080-145</v>
      </c>
      <c r="B1136" t="str">
        <f t="shared" si="152"/>
        <v>VIA AGOSTINO NOVELLA  20-</v>
      </c>
      <c r="C1136" t="str">
        <f t="shared" si="150"/>
        <v>PRA</v>
      </c>
      <c r="D1136">
        <v>12</v>
      </c>
      <c r="E1136" t="str">
        <f t="shared" si="151"/>
        <v>586</v>
      </c>
      <c r="F1136" t="str">
        <f>" 146"</f>
        <v xml:space="preserve"> 146</v>
      </c>
    </row>
    <row r="1137" spans="1:6">
      <c r="A1137" t="str">
        <f>"E1080-146"</f>
        <v>E1080-146</v>
      </c>
      <c r="B1137" t="str">
        <f t="shared" si="152"/>
        <v>VIA AGOSTINO NOVELLA  20-</v>
      </c>
      <c r="C1137" t="str">
        <f t="shared" si="150"/>
        <v>PRA</v>
      </c>
      <c r="D1137">
        <v>12</v>
      </c>
      <c r="E1137" t="str">
        <f t="shared" si="151"/>
        <v>586</v>
      </c>
      <c r="F1137" t="str">
        <f>" 147"</f>
        <v xml:space="preserve"> 147</v>
      </c>
    </row>
    <row r="1138" spans="1:6">
      <c r="A1138" t="str">
        <f>"E1080-147"</f>
        <v>E1080-147</v>
      </c>
      <c r="B1138" t="str">
        <f t="shared" si="152"/>
        <v>VIA AGOSTINO NOVELLA  20-</v>
      </c>
      <c r="C1138" t="str">
        <f t="shared" si="150"/>
        <v>PRA</v>
      </c>
      <c r="D1138">
        <v>12</v>
      </c>
      <c r="E1138" t="str">
        <f t="shared" si="151"/>
        <v>586</v>
      </c>
      <c r="F1138" t="str">
        <f>" 148"</f>
        <v xml:space="preserve"> 148</v>
      </c>
    </row>
    <row r="1139" spans="1:6">
      <c r="A1139" t="str">
        <f>"E1080-148"</f>
        <v>E1080-148</v>
      </c>
      <c r="B1139" t="str">
        <f t="shared" si="152"/>
        <v>VIA AGOSTINO NOVELLA  20-</v>
      </c>
      <c r="C1139" t="str">
        <f t="shared" si="150"/>
        <v>PRA</v>
      </c>
      <c r="D1139">
        <v>12</v>
      </c>
      <c r="E1139" t="str">
        <f t="shared" si="151"/>
        <v>586</v>
      </c>
      <c r="F1139" t="str">
        <f>" 149"</f>
        <v xml:space="preserve"> 149</v>
      </c>
    </row>
    <row r="1140" spans="1:6">
      <c r="A1140" t="str">
        <f>"E1080-149"</f>
        <v>E1080-149</v>
      </c>
      <c r="B1140" t="str">
        <f t="shared" si="152"/>
        <v>VIA AGOSTINO NOVELLA  20-</v>
      </c>
      <c r="C1140" t="str">
        <f t="shared" si="150"/>
        <v>PRA</v>
      </c>
      <c r="D1140">
        <v>12</v>
      </c>
      <c r="E1140" t="str">
        <f t="shared" si="151"/>
        <v>586</v>
      </c>
      <c r="F1140" t="str">
        <f>" 150"</f>
        <v xml:space="preserve"> 150</v>
      </c>
    </row>
    <row r="1141" spans="1:6">
      <c r="A1141" t="str">
        <f>"E1080-150"</f>
        <v>E1080-150</v>
      </c>
      <c r="B1141" t="str">
        <f t="shared" si="152"/>
        <v>VIA AGOSTINO NOVELLA  20-</v>
      </c>
      <c r="C1141" t="str">
        <f t="shared" si="150"/>
        <v>PRA</v>
      </c>
      <c r="D1141">
        <v>12</v>
      </c>
      <c r="E1141" t="str">
        <f t="shared" si="151"/>
        <v>586</v>
      </c>
      <c r="F1141" t="str">
        <f>" 151"</f>
        <v xml:space="preserve"> 151</v>
      </c>
    </row>
    <row r="1142" spans="1:6">
      <c r="A1142" t="str">
        <f>"E1080-151"</f>
        <v>E1080-151</v>
      </c>
      <c r="B1142" t="str">
        <f t="shared" si="152"/>
        <v>VIA AGOSTINO NOVELLA  20-</v>
      </c>
      <c r="C1142" t="str">
        <f t="shared" si="150"/>
        <v>PRA</v>
      </c>
      <c r="D1142">
        <v>12</v>
      </c>
      <c r="E1142" t="str">
        <f t="shared" si="151"/>
        <v>586</v>
      </c>
      <c r="F1142" t="str">
        <f>" 152"</f>
        <v xml:space="preserve"> 152</v>
      </c>
    </row>
    <row r="1143" spans="1:6">
      <c r="A1143" t="str">
        <f>"E1080-152"</f>
        <v>E1080-152</v>
      </c>
      <c r="B1143" t="str">
        <f t="shared" si="152"/>
        <v>VIA AGOSTINO NOVELLA  20-</v>
      </c>
      <c r="C1143" t="str">
        <f t="shared" si="150"/>
        <v>PRA</v>
      </c>
      <c r="D1143">
        <v>12</v>
      </c>
      <c r="E1143" t="str">
        <f t="shared" si="151"/>
        <v>586</v>
      </c>
      <c r="F1143" t="str">
        <f>" 153"</f>
        <v xml:space="preserve"> 153</v>
      </c>
    </row>
    <row r="1144" spans="1:6">
      <c r="A1144" t="str">
        <f>"E1080-153"</f>
        <v>E1080-153</v>
      </c>
      <c r="B1144" t="str">
        <f t="shared" si="152"/>
        <v>VIA AGOSTINO NOVELLA  20-</v>
      </c>
      <c r="C1144" t="str">
        <f t="shared" si="150"/>
        <v>PRA</v>
      </c>
      <c r="D1144">
        <v>12</v>
      </c>
      <c r="E1144" t="str">
        <f t="shared" si="151"/>
        <v>586</v>
      </c>
      <c r="F1144" t="str">
        <f>" 154"</f>
        <v xml:space="preserve"> 154</v>
      </c>
    </row>
    <row r="1145" spans="1:6">
      <c r="A1145" t="str">
        <f>"E1080-154"</f>
        <v>E1080-154</v>
      </c>
      <c r="B1145" t="str">
        <f t="shared" si="152"/>
        <v>VIA AGOSTINO NOVELLA  20-</v>
      </c>
      <c r="C1145" t="str">
        <f t="shared" si="150"/>
        <v>PRA</v>
      </c>
      <c r="D1145">
        <v>12</v>
      </c>
      <c r="E1145" t="str">
        <f t="shared" si="151"/>
        <v>586</v>
      </c>
      <c r="F1145" t="str">
        <f>" 155"</f>
        <v xml:space="preserve"> 155</v>
      </c>
    </row>
    <row r="1146" spans="1:6">
      <c r="A1146" t="str">
        <f>"E1080-155"</f>
        <v>E1080-155</v>
      </c>
      <c r="B1146" t="str">
        <f t="shared" si="152"/>
        <v>VIA AGOSTINO NOVELLA  20-</v>
      </c>
      <c r="C1146" t="str">
        <f t="shared" si="150"/>
        <v>PRA</v>
      </c>
      <c r="D1146">
        <v>12</v>
      </c>
      <c r="E1146" t="str">
        <f t="shared" si="151"/>
        <v>586</v>
      </c>
      <c r="F1146" t="str">
        <f>" 156"</f>
        <v xml:space="preserve"> 156</v>
      </c>
    </row>
    <row r="1147" spans="1:6">
      <c r="A1147" t="str">
        <f>"E1080-156"</f>
        <v>E1080-156</v>
      </c>
      <c r="B1147" t="str">
        <f t="shared" si="152"/>
        <v>VIA AGOSTINO NOVELLA  20-</v>
      </c>
      <c r="C1147" t="str">
        <f t="shared" si="150"/>
        <v>PRA</v>
      </c>
      <c r="D1147">
        <v>12</v>
      </c>
      <c r="E1147" t="str">
        <f t="shared" si="151"/>
        <v>586</v>
      </c>
      <c r="F1147" t="str">
        <f>" 157"</f>
        <v xml:space="preserve"> 157</v>
      </c>
    </row>
    <row r="1148" spans="1:6">
      <c r="A1148" t="str">
        <f>"E1080-157"</f>
        <v>E1080-157</v>
      </c>
      <c r="B1148" t="str">
        <f t="shared" si="152"/>
        <v>VIA AGOSTINO NOVELLA  20-</v>
      </c>
      <c r="C1148" t="str">
        <f t="shared" si="150"/>
        <v>PRA</v>
      </c>
      <c r="D1148">
        <v>12</v>
      </c>
      <c r="E1148" t="str">
        <f t="shared" si="151"/>
        <v>586</v>
      </c>
      <c r="F1148" t="str">
        <f>" 158"</f>
        <v xml:space="preserve"> 158</v>
      </c>
    </row>
    <row r="1149" spans="1:6">
      <c r="A1149" t="str">
        <f>"E1080-158"</f>
        <v>E1080-158</v>
      </c>
      <c r="B1149" t="str">
        <f t="shared" si="152"/>
        <v>VIA AGOSTINO NOVELLA  20-</v>
      </c>
      <c r="C1149" t="str">
        <f t="shared" si="150"/>
        <v>PRA</v>
      </c>
      <c r="D1149">
        <v>12</v>
      </c>
      <c r="E1149" t="str">
        <f t="shared" si="151"/>
        <v>586</v>
      </c>
      <c r="F1149" t="str">
        <f>" 159"</f>
        <v xml:space="preserve"> 159</v>
      </c>
    </row>
    <row r="1150" spans="1:6">
      <c r="A1150" t="str">
        <f>"E1080-159"</f>
        <v>E1080-159</v>
      </c>
      <c r="B1150" t="str">
        <f t="shared" si="152"/>
        <v>VIA AGOSTINO NOVELLA  20-</v>
      </c>
      <c r="C1150" t="str">
        <f t="shared" si="150"/>
        <v>PRA</v>
      </c>
      <c r="D1150">
        <v>12</v>
      </c>
      <c r="E1150" t="str">
        <f t="shared" si="151"/>
        <v>586</v>
      </c>
      <c r="F1150" t="str">
        <f>" 160"</f>
        <v xml:space="preserve"> 160</v>
      </c>
    </row>
    <row r="1151" spans="1:6">
      <c r="A1151" t="str">
        <f>"E1080-160"</f>
        <v>E1080-160</v>
      </c>
      <c r="B1151" t="str">
        <f t="shared" ref="B1151:B1167" si="153">"VIA AGOSTINO NOVELLA  22-"</f>
        <v>VIA AGOSTINO NOVELLA  22-</v>
      </c>
      <c r="C1151" t="str">
        <f t="shared" si="150"/>
        <v>PRA</v>
      </c>
      <c r="D1151">
        <v>12</v>
      </c>
      <c r="E1151" t="str">
        <f t="shared" si="151"/>
        <v>586</v>
      </c>
      <c r="F1151" t="str">
        <f>" 161"</f>
        <v xml:space="preserve"> 161</v>
      </c>
    </row>
    <row r="1152" spans="1:6">
      <c r="A1152" t="str">
        <f>"E1080-161"</f>
        <v>E1080-161</v>
      </c>
      <c r="B1152" t="str">
        <f t="shared" si="153"/>
        <v>VIA AGOSTINO NOVELLA  22-</v>
      </c>
      <c r="C1152" t="str">
        <f t="shared" ref="C1152:C1167" si="154">"PRA"</f>
        <v>PRA</v>
      </c>
      <c r="D1152">
        <v>12</v>
      </c>
      <c r="E1152" t="str">
        <f t="shared" ref="E1152:E1167" si="155">"586"</f>
        <v>586</v>
      </c>
      <c r="F1152" t="str">
        <f>" 162"</f>
        <v xml:space="preserve"> 162</v>
      </c>
    </row>
    <row r="1153" spans="1:6">
      <c r="A1153" t="str">
        <f>"E1080-162"</f>
        <v>E1080-162</v>
      </c>
      <c r="B1153" t="str">
        <f t="shared" si="153"/>
        <v>VIA AGOSTINO NOVELLA  22-</v>
      </c>
      <c r="C1153" t="str">
        <f t="shared" si="154"/>
        <v>PRA</v>
      </c>
      <c r="D1153">
        <v>12</v>
      </c>
      <c r="E1153" t="str">
        <f t="shared" si="155"/>
        <v>586</v>
      </c>
      <c r="F1153" t="str">
        <f>" 163"</f>
        <v xml:space="preserve"> 163</v>
      </c>
    </row>
    <row r="1154" spans="1:6">
      <c r="A1154" t="str">
        <f>"E1080-163"</f>
        <v>E1080-163</v>
      </c>
      <c r="B1154" t="str">
        <f t="shared" si="153"/>
        <v>VIA AGOSTINO NOVELLA  22-</v>
      </c>
      <c r="C1154" t="str">
        <f t="shared" si="154"/>
        <v>PRA</v>
      </c>
      <c r="D1154">
        <v>12</v>
      </c>
      <c r="E1154" t="str">
        <f t="shared" si="155"/>
        <v>586</v>
      </c>
      <c r="F1154" t="str">
        <f>" 164"</f>
        <v xml:space="preserve"> 164</v>
      </c>
    </row>
    <row r="1155" spans="1:6">
      <c r="A1155" t="str">
        <f>"E1080-164"</f>
        <v>E1080-164</v>
      </c>
      <c r="B1155" t="str">
        <f t="shared" si="153"/>
        <v>VIA AGOSTINO NOVELLA  22-</v>
      </c>
      <c r="C1155" t="str">
        <f t="shared" si="154"/>
        <v>PRA</v>
      </c>
      <c r="D1155">
        <v>12</v>
      </c>
      <c r="E1155" t="str">
        <f t="shared" si="155"/>
        <v>586</v>
      </c>
      <c r="F1155" t="str">
        <f>" 165"</f>
        <v xml:space="preserve"> 165</v>
      </c>
    </row>
    <row r="1156" spans="1:6">
      <c r="A1156" t="str">
        <f>"E1080-165"</f>
        <v>E1080-165</v>
      </c>
      <c r="B1156" t="str">
        <f t="shared" si="153"/>
        <v>VIA AGOSTINO NOVELLA  22-</v>
      </c>
      <c r="C1156" t="str">
        <f t="shared" si="154"/>
        <v>PRA</v>
      </c>
      <c r="D1156">
        <v>12</v>
      </c>
      <c r="E1156" t="str">
        <f t="shared" si="155"/>
        <v>586</v>
      </c>
      <c r="F1156" t="str">
        <f>" 166"</f>
        <v xml:space="preserve"> 166</v>
      </c>
    </row>
    <row r="1157" spans="1:6">
      <c r="A1157" t="str">
        <f>"E1080-166"</f>
        <v>E1080-166</v>
      </c>
      <c r="B1157" t="str">
        <f t="shared" si="153"/>
        <v>VIA AGOSTINO NOVELLA  22-</v>
      </c>
      <c r="C1157" t="str">
        <f t="shared" si="154"/>
        <v>PRA</v>
      </c>
      <c r="D1157">
        <v>12</v>
      </c>
      <c r="E1157" t="str">
        <f t="shared" si="155"/>
        <v>586</v>
      </c>
      <c r="F1157" t="str">
        <f>" 167"</f>
        <v xml:space="preserve"> 167</v>
      </c>
    </row>
    <row r="1158" spans="1:6">
      <c r="A1158" t="str">
        <f>"E1080-167"</f>
        <v>E1080-167</v>
      </c>
      <c r="B1158" t="str">
        <f t="shared" si="153"/>
        <v>VIA AGOSTINO NOVELLA  22-</v>
      </c>
      <c r="C1158" t="str">
        <f t="shared" si="154"/>
        <v>PRA</v>
      </c>
      <c r="D1158">
        <v>12</v>
      </c>
      <c r="E1158" t="str">
        <f t="shared" si="155"/>
        <v>586</v>
      </c>
      <c r="F1158" t="str">
        <f>" 168"</f>
        <v xml:space="preserve"> 168</v>
      </c>
    </row>
    <row r="1159" spans="1:6">
      <c r="A1159" t="str">
        <f>"E1080-168"</f>
        <v>E1080-168</v>
      </c>
      <c r="B1159" t="str">
        <f t="shared" si="153"/>
        <v>VIA AGOSTINO NOVELLA  22-</v>
      </c>
      <c r="C1159" t="str">
        <f t="shared" si="154"/>
        <v>PRA</v>
      </c>
      <c r="D1159">
        <v>12</v>
      </c>
      <c r="E1159" t="str">
        <f t="shared" si="155"/>
        <v>586</v>
      </c>
      <c r="F1159" t="str">
        <f>" 169"</f>
        <v xml:space="preserve"> 169</v>
      </c>
    </row>
    <row r="1160" spans="1:6">
      <c r="A1160" t="str">
        <f>"E1080-169"</f>
        <v>E1080-169</v>
      </c>
      <c r="B1160" t="str">
        <f t="shared" si="153"/>
        <v>VIA AGOSTINO NOVELLA  22-</v>
      </c>
      <c r="C1160" t="str">
        <f t="shared" si="154"/>
        <v>PRA</v>
      </c>
      <c r="D1160">
        <v>12</v>
      </c>
      <c r="E1160" t="str">
        <f t="shared" si="155"/>
        <v>586</v>
      </c>
      <c r="F1160" t="str">
        <f>" 170"</f>
        <v xml:space="preserve"> 170</v>
      </c>
    </row>
    <row r="1161" spans="1:6">
      <c r="A1161" t="str">
        <f>"E1080-170"</f>
        <v>E1080-170</v>
      </c>
      <c r="B1161" t="str">
        <f t="shared" si="153"/>
        <v>VIA AGOSTINO NOVELLA  22-</v>
      </c>
      <c r="C1161" t="str">
        <f t="shared" si="154"/>
        <v>PRA</v>
      </c>
      <c r="D1161">
        <v>12</v>
      </c>
      <c r="E1161" t="str">
        <f t="shared" si="155"/>
        <v>586</v>
      </c>
      <c r="F1161" t="str">
        <f>" 171"</f>
        <v xml:space="preserve"> 171</v>
      </c>
    </row>
    <row r="1162" spans="1:6">
      <c r="A1162" t="str">
        <f>"E1080-171"</f>
        <v>E1080-171</v>
      </c>
      <c r="B1162" t="str">
        <f t="shared" si="153"/>
        <v>VIA AGOSTINO NOVELLA  22-</v>
      </c>
      <c r="C1162" t="str">
        <f t="shared" si="154"/>
        <v>PRA</v>
      </c>
      <c r="D1162">
        <v>12</v>
      </c>
      <c r="E1162" t="str">
        <f t="shared" si="155"/>
        <v>586</v>
      </c>
      <c r="F1162" t="str">
        <f>" 172"</f>
        <v xml:space="preserve"> 172</v>
      </c>
    </row>
    <row r="1163" spans="1:6">
      <c r="A1163" t="str">
        <f>"E1080-172"</f>
        <v>E1080-172</v>
      </c>
      <c r="B1163" t="str">
        <f t="shared" si="153"/>
        <v>VIA AGOSTINO NOVELLA  22-</v>
      </c>
      <c r="C1163" t="str">
        <f t="shared" si="154"/>
        <v>PRA</v>
      </c>
      <c r="D1163">
        <v>12</v>
      </c>
      <c r="E1163" t="str">
        <f t="shared" si="155"/>
        <v>586</v>
      </c>
      <c r="F1163" t="str">
        <f>" 173"</f>
        <v xml:space="preserve"> 173</v>
      </c>
    </row>
    <row r="1164" spans="1:6">
      <c r="A1164" t="str">
        <f>"E1080-173"</f>
        <v>E1080-173</v>
      </c>
      <c r="B1164" t="str">
        <f t="shared" si="153"/>
        <v>VIA AGOSTINO NOVELLA  22-</v>
      </c>
      <c r="C1164" t="str">
        <f t="shared" si="154"/>
        <v>PRA</v>
      </c>
      <c r="D1164">
        <v>12</v>
      </c>
      <c r="E1164" t="str">
        <f t="shared" si="155"/>
        <v>586</v>
      </c>
      <c r="F1164" t="str">
        <f>" 174"</f>
        <v xml:space="preserve"> 174</v>
      </c>
    </row>
    <row r="1165" spans="1:6">
      <c r="A1165" t="str">
        <f>"E1080-174"</f>
        <v>E1080-174</v>
      </c>
      <c r="B1165" t="str">
        <f t="shared" si="153"/>
        <v>VIA AGOSTINO NOVELLA  22-</v>
      </c>
      <c r="C1165" t="str">
        <f t="shared" si="154"/>
        <v>PRA</v>
      </c>
      <c r="D1165">
        <v>12</v>
      </c>
      <c r="E1165" t="str">
        <f t="shared" si="155"/>
        <v>586</v>
      </c>
      <c r="F1165" t="str">
        <f>" 175"</f>
        <v xml:space="preserve"> 175</v>
      </c>
    </row>
    <row r="1166" spans="1:6">
      <c r="A1166" t="str">
        <f>"E1080-175"</f>
        <v>E1080-175</v>
      </c>
      <c r="B1166" t="str">
        <f t="shared" si="153"/>
        <v>VIA AGOSTINO NOVELLA  22-</v>
      </c>
      <c r="C1166" t="str">
        <f t="shared" si="154"/>
        <v>PRA</v>
      </c>
      <c r="D1166">
        <v>12</v>
      </c>
      <c r="E1166" t="str">
        <f t="shared" si="155"/>
        <v>586</v>
      </c>
      <c r="F1166" t="str">
        <f>" 176"</f>
        <v xml:space="preserve"> 176</v>
      </c>
    </row>
    <row r="1167" spans="1:6">
      <c r="A1167" t="str">
        <f>"E1080-176"</f>
        <v>E1080-176</v>
      </c>
      <c r="B1167" t="str">
        <f t="shared" si="153"/>
        <v>VIA AGOSTINO NOVELLA  22-</v>
      </c>
      <c r="C1167" t="str">
        <f t="shared" si="154"/>
        <v>PRA</v>
      </c>
      <c r="D1167">
        <v>12</v>
      </c>
      <c r="E1167" t="str">
        <f t="shared" si="155"/>
        <v>586</v>
      </c>
      <c r="F1167" t="str">
        <f>" 177"</f>
        <v xml:space="preserve"> 177</v>
      </c>
    </row>
    <row r="1168" spans="1:6">
      <c r="A1168" t="str">
        <f>"E1080-177"</f>
        <v>E1080-177</v>
      </c>
      <c r="B1168" t="str">
        <f>"VIA AGOSTINO NOVELLA VICINO AL 22-"</f>
        <v>VIA AGOSTINO NOVELLA VICINO AL 22-</v>
      </c>
      <c r="C1168" t="str">
        <f t="shared" ref="C1168:C1174" si="156">"3"</f>
        <v>3</v>
      </c>
      <c r="D1168">
        <v>12</v>
      </c>
      <c r="E1168" t="str">
        <f>"21"</f>
        <v>21</v>
      </c>
      <c r="F1168" t="str">
        <f t="shared" ref="F1168:F1174" si="157">"0000"</f>
        <v>0000</v>
      </c>
    </row>
    <row r="1169" spans="1:6">
      <c r="C1169" t="str">
        <f t="shared" si="156"/>
        <v>3</v>
      </c>
      <c r="D1169">
        <v>12</v>
      </c>
      <c r="E1169" t="str">
        <f>"22"</f>
        <v>22</v>
      </c>
      <c r="F1169" t="str">
        <f t="shared" si="157"/>
        <v>0000</v>
      </c>
    </row>
    <row r="1170" spans="1:6">
      <c r="C1170" t="str">
        <f t="shared" si="156"/>
        <v>3</v>
      </c>
      <c r="D1170">
        <v>12</v>
      </c>
      <c r="E1170" t="str">
        <f>"24"</f>
        <v>24</v>
      </c>
      <c r="F1170" t="str">
        <f t="shared" si="157"/>
        <v>0000</v>
      </c>
    </row>
    <row r="1171" spans="1:6">
      <c r="C1171" t="str">
        <f t="shared" si="156"/>
        <v>3</v>
      </c>
      <c r="D1171">
        <v>12</v>
      </c>
      <c r="E1171" t="str">
        <f>"8"</f>
        <v>8</v>
      </c>
      <c r="F1171" t="str">
        <f t="shared" si="157"/>
        <v>0000</v>
      </c>
    </row>
    <row r="1172" spans="1:6">
      <c r="C1172" t="str">
        <f t="shared" si="156"/>
        <v>3</v>
      </c>
      <c r="D1172">
        <v>12</v>
      </c>
      <c r="E1172" t="str">
        <f>"37"</f>
        <v>37</v>
      </c>
      <c r="F1172" t="str">
        <f t="shared" si="157"/>
        <v>0000</v>
      </c>
    </row>
    <row r="1173" spans="1:6">
      <c r="C1173" t="str">
        <f t="shared" si="156"/>
        <v>3</v>
      </c>
      <c r="D1173">
        <v>12</v>
      </c>
      <c r="E1173" t="str">
        <f>"36"</f>
        <v>36</v>
      </c>
      <c r="F1173" t="str">
        <f t="shared" si="157"/>
        <v>0000</v>
      </c>
    </row>
    <row r="1174" spans="1:6">
      <c r="C1174" t="str">
        <f t="shared" si="156"/>
        <v>3</v>
      </c>
      <c r="D1174">
        <v>12</v>
      </c>
      <c r="E1174" t="str">
        <f>"26"</f>
        <v>26</v>
      </c>
      <c r="F1174" t="str">
        <f t="shared" si="157"/>
        <v>0000</v>
      </c>
    </row>
    <row r="1175" spans="1:6">
      <c r="A1175" t="str">
        <f>"E1081-1"</f>
        <v>E1081-1</v>
      </c>
      <c r="B1175" t="str">
        <f t="shared" ref="B1175:B1188" si="158">"VIA AGOSTINO NOVELLA  3-"</f>
        <v>VIA AGOSTINO NOVELLA  3-</v>
      </c>
      <c r="C1175" t="str">
        <f t="shared" ref="C1175:C1238" si="159">"PRA"</f>
        <v>PRA</v>
      </c>
      <c r="D1175">
        <v>12</v>
      </c>
      <c r="E1175" t="str">
        <f t="shared" ref="E1175:E1238" si="160">"585"</f>
        <v>585</v>
      </c>
      <c r="F1175" t="str">
        <f>"   2"</f>
        <v xml:space="preserve">   2</v>
      </c>
    </row>
    <row r="1176" spans="1:6">
      <c r="A1176" t="str">
        <f>"E1081-2"</f>
        <v>E1081-2</v>
      </c>
      <c r="B1176" t="str">
        <f t="shared" si="158"/>
        <v>VIA AGOSTINO NOVELLA  3-</v>
      </c>
      <c r="C1176" t="str">
        <f t="shared" si="159"/>
        <v>PRA</v>
      </c>
      <c r="D1176">
        <v>12</v>
      </c>
      <c r="E1176" t="str">
        <f t="shared" si="160"/>
        <v>585</v>
      </c>
      <c r="F1176" t="str">
        <f>"   3"</f>
        <v xml:space="preserve">   3</v>
      </c>
    </row>
    <row r="1177" spans="1:6">
      <c r="A1177" t="str">
        <f>"E1081-3"</f>
        <v>E1081-3</v>
      </c>
      <c r="B1177" t="str">
        <f t="shared" si="158"/>
        <v>VIA AGOSTINO NOVELLA  3-</v>
      </c>
      <c r="C1177" t="str">
        <f t="shared" si="159"/>
        <v>PRA</v>
      </c>
      <c r="D1177">
        <v>12</v>
      </c>
      <c r="E1177" t="str">
        <f t="shared" si="160"/>
        <v>585</v>
      </c>
      <c r="F1177" t="str">
        <f>"   4"</f>
        <v xml:space="preserve">   4</v>
      </c>
    </row>
    <row r="1178" spans="1:6">
      <c r="A1178" t="str">
        <f>"E1081-4"</f>
        <v>E1081-4</v>
      </c>
      <c r="B1178" t="str">
        <f t="shared" si="158"/>
        <v>VIA AGOSTINO NOVELLA  3-</v>
      </c>
      <c r="C1178" t="str">
        <f t="shared" si="159"/>
        <v>PRA</v>
      </c>
      <c r="D1178">
        <v>12</v>
      </c>
      <c r="E1178" t="str">
        <f t="shared" si="160"/>
        <v>585</v>
      </c>
      <c r="F1178" t="str">
        <f>"   5"</f>
        <v xml:space="preserve">   5</v>
      </c>
    </row>
    <row r="1179" spans="1:6">
      <c r="A1179" t="str">
        <f>"E1081-5"</f>
        <v>E1081-5</v>
      </c>
      <c r="B1179" t="str">
        <f t="shared" si="158"/>
        <v>VIA AGOSTINO NOVELLA  3-</v>
      </c>
      <c r="C1179" t="str">
        <f t="shared" si="159"/>
        <v>PRA</v>
      </c>
      <c r="D1179">
        <v>12</v>
      </c>
      <c r="E1179" t="str">
        <f t="shared" si="160"/>
        <v>585</v>
      </c>
      <c r="F1179" t="str">
        <f>"   6"</f>
        <v xml:space="preserve">   6</v>
      </c>
    </row>
    <row r="1180" spans="1:6">
      <c r="A1180" t="str">
        <f>"E1081-6"</f>
        <v>E1081-6</v>
      </c>
      <c r="B1180" t="str">
        <f t="shared" si="158"/>
        <v>VIA AGOSTINO NOVELLA  3-</v>
      </c>
      <c r="C1180" t="str">
        <f t="shared" si="159"/>
        <v>PRA</v>
      </c>
      <c r="D1180">
        <v>12</v>
      </c>
      <c r="E1180" t="str">
        <f t="shared" si="160"/>
        <v>585</v>
      </c>
      <c r="F1180" t="str">
        <f>"   7"</f>
        <v xml:space="preserve">   7</v>
      </c>
    </row>
    <row r="1181" spans="1:6">
      <c r="A1181" t="str">
        <f>"E1081-7"</f>
        <v>E1081-7</v>
      </c>
      <c r="B1181" t="str">
        <f t="shared" si="158"/>
        <v>VIA AGOSTINO NOVELLA  3-</v>
      </c>
      <c r="C1181" t="str">
        <f t="shared" si="159"/>
        <v>PRA</v>
      </c>
      <c r="D1181">
        <v>12</v>
      </c>
      <c r="E1181" t="str">
        <f t="shared" si="160"/>
        <v>585</v>
      </c>
      <c r="F1181" t="str">
        <f>"   8"</f>
        <v xml:space="preserve">   8</v>
      </c>
    </row>
    <row r="1182" spans="1:6">
      <c r="A1182" t="str">
        <f>"E1081-8"</f>
        <v>E1081-8</v>
      </c>
      <c r="B1182" t="str">
        <f t="shared" si="158"/>
        <v>VIA AGOSTINO NOVELLA  3-</v>
      </c>
      <c r="C1182" t="str">
        <f t="shared" si="159"/>
        <v>PRA</v>
      </c>
      <c r="D1182">
        <v>12</v>
      </c>
      <c r="E1182" t="str">
        <f t="shared" si="160"/>
        <v>585</v>
      </c>
      <c r="F1182" t="str">
        <f>"   9"</f>
        <v xml:space="preserve">   9</v>
      </c>
    </row>
    <row r="1183" spans="1:6">
      <c r="A1183" t="str">
        <f>"E1081-9"</f>
        <v>E1081-9</v>
      </c>
      <c r="B1183" t="str">
        <f t="shared" si="158"/>
        <v>VIA AGOSTINO NOVELLA  3-</v>
      </c>
      <c r="C1183" t="str">
        <f t="shared" si="159"/>
        <v>PRA</v>
      </c>
      <c r="D1183">
        <v>12</v>
      </c>
      <c r="E1183" t="str">
        <f t="shared" si="160"/>
        <v>585</v>
      </c>
      <c r="F1183" t="str">
        <f>"  10"</f>
        <v xml:space="preserve">  10</v>
      </c>
    </row>
    <row r="1184" spans="1:6">
      <c r="A1184" t="str">
        <f>"E1081-10"</f>
        <v>E1081-10</v>
      </c>
      <c r="B1184" t="str">
        <f t="shared" si="158"/>
        <v>VIA AGOSTINO NOVELLA  3-</v>
      </c>
      <c r="C1184" t="str">
        <f t="shared" si="159"/>
        <v>PRA</v>
      </c>
      <c r="D1184">
        <v>12</v>
      </c>
      <c r="E1184" t="str">
        <f t="shared" si="160"/>
        <v>585</v>
      </c>
      <c r="F1184" t="str">
        <f>"  11"</f>
        <v xml:space="preserve">  11</v>
      </c>
    </row>
    <row r="1185" spans="1:6">
      <c r="A1185" t="str">
        <f>"E1081-11"</f>
        <v>E1081-11</v>
      </c>
      <c r="B1185" t="str">
        <f t="shared" si="158"/>
        <v>VIA AGOSTINO NOVELLA  3-</v>
      </c>
      <c r="C1185" t="str">
        <f t="shared" si="159"/>
        <v>PRA</v>
      </c>
      <c r="D1185">
        <v>12</v>
      </c>
      <c r="E1185" t="str">
        <f t="shared" si="160"/>
        <v>585</v>
      </c>
      <c r="F1185" t="str">
        <f>"  12"</f>
        <v xml:space="preserve">  12</v>
      </c>
    </row>
    <row r="1186" spans="1:6">
      <c r="A1186" t="str">
        <f>"E1081-12"</f>
        <v>E1081-12</v>
      </c>
      <c r="B1186" t="str">
        <f t="shared" si="158"/>
        <v>VIA AGOSTINO NOVELLA  3-</v>
      </c>
      <c r="C1186" t="str">
        <f t="shared" si="159"/>
        <v>PRA</v>
      </c>
      <c r="D1186">
        <v>12</v>
      </c>
      <c r="E1186" t="str">
        <f t="shared" si="160"/>
        <v>585</v>
      </c>
      <c r="F1186" t="str">
        <f>"  13"</f>
        <v xml:space="preserve">  13</v>
      </c>
    </row>
    <row r="1187" spans="1:6">
      <c r="A1187" t="str">
        <f>"E1081-13"</f>
        <v>E1081-13</v>
      </c>
      <c r="B1187" t="str">
        <f t="shared" si="158"/>
        <v>VIA AGOSTINO NOVELLA  3-</v>
      </c>
      <c r="C1187" t="str">
        <f t="shared" si="159"/>
        <v>PRA</v>
      </c>
      <c r="D1187">
        <v>12</v>
      </c>
      <c r="E1187" t="str">
        <f t="shared" si="160"/>
        <v>585</v>
      </c>
      <c r="F1187" t="str">
        <f>"  14"</f>
        <v xml:space="preserve">  14</v>
      </c>
    </row>
    <row r="1188" spans="1:6">
      <c r="A1188" t="str">
        <f>"E1081-14"</f>
        <v>E1081-14</v>
      </c>
      <c r="B1188" t="str">
        <f t="shared" si="158"/>
        <v>VIA AGOSTINO NOVELLA  3-</v>
      </c>
      <c r="C1188" t="str">
        <f t="shared" si="159"/>
        <v>PRA</v>
      </c>
      <c r="D1188">
        <v>12</v>
      </c>
      <c r="E1188" t="str">
        <f t="shared" si="160"/>
        <v>585</v>
      </c>
      <c r="F1188" t="str">
        <f>"  15"</f>
        <v xml:space="preserve">  15</v>
      </c>
    </row>
    <row r="1189" spans="1:6">
      <c r="A1189" t="str">
        <f>"E1081-15"</f>
        <v>E1081-15</v>
      </c>
      <c r="B1189" t="str">
        <f t="shared" ref="B1189:B1202" si="161">"VIA AGOSTINO NOVELLA  5-"</f>
        <v>VIA AGOSTINO NOVELLA  5-</v>
      </c>
      <c r="C1189" t="str">
        <f t="shared" si="159"/>
        <v>PRA</v>
      </c>
      <c r="D1189">
        <v>12</v>
      </c>
      <c r="E1189" t="str">
        <f t="shared" si="160"/>
        <v>585</v>
      </c>
      <c r="F1189" t="str">
        <f>"  16"</f>
        <v xml:space="preserve">  16</v>
      </c>
    </row>
    <row r="1190" spans="1:6">
      <c r="A1190" t="str">
        <f>"E1081-16"</f>
        <v>E1081-16</v>
      </c>
      <c r="B1190" t="str">
        <f t="shared" si="161"/>
        <v>VIA AGOSTINO NOVELLA  5-</v>
      </c>
      <c r="C1190" t="str">
        <f t="shared" si="159"/>
        <v>PRA</v>
      </c>
      <c r="D1190">
        <v>12</v>
      </c>
      <c r="E1190" t="str">
        <f t="shared" si="160"/>
        <v>585</v>
      </c>
      <c r="F1190" t="str">
        <f>"  17"</f>
        <v xml:space="preserve">  17</v>
      </c>
    </row>
    <row r="1191" spans="1:6">
      <c r="A1191" t="str">
        <f>"E1081-17"</f>
        <v>E1081-17</v>
      </c>
      <c r="B1191" t="str">
        <f t="shared" si="161"/>
        <v>VIA AGOSTINO NOVELLA  5-</v>
      </c>
      <c r="C1191" t="str">
        <f t="shared" si="159"/>
        <v>PRA</v>
      </c>
      <c r="D1191">
        <v>12</v>
      </c>
      <c r="E1191" t="str">
        <f t="shared" si="160"/>
        <v>585</v>
      </c>
      <c r="F1191" t="str">
        <f>"  18"</f>
        <v xml:space="preserve">  18</v>
      </c>
    </row>
    <row r="1192" spans="1:6">
      <c r="A1192" t="str">
        <f>"E1081-18"</f>
        <v>E1081-18</v>
      </c>
      <c r="B1192" t="str">
        <f t="shared" si="161"/>
        <v>VIA AGOSTINO NOVELLA  5-</v>
      </c>
      <c r="C1192" t="str">
        <f t="shared" si="159"/>
        <v>PRA</v>
      </c>
      <c r="D1192">
        <v>12</v>
      </c>
      <c r="E1192" t="str">
        <f t="shared" si="160"/>
        <v>585</v>
      </c>
      <c r="F1192" t="str">
        <f>"  19"</f>
        <v xml:space="preserve">  19</v>
      </c>
    </row>
    <row r="1193" spans="1:6">
      <c r="A1193" t="str">
        <f>"E1081-19"</f>
        <v>E1081-19</v>
      </c>
      <c r="B1193" t="str">
        <f t="shared" si="161"/>
        <v>VIA AGOSTINO NOVELLA  5-</v>
      </c>
      <c r="C1193" t="str">
        <f t="shared" si="159"/>
        <v>PRA</v>
      </c>
      <c r="D1193">
        <v>12</v>
      </c>
      <c r="E1193" t="str">
        <f t="shared" si="160"/>
        <v>585</v>
      </c>
      <c r="F1193" t="str">
        <f>"  20"</f>
        <v xml:space="preserve">  20</v>
      </c>
    </row>
    <row r="1194" spans="1:6">
      <c r="A1194" t="str">
        <f>"E1081-20"</f>
        <v>E1081-20</v>
      </c>
      <c r="B1194" t="str">
        <f t="shared" si="161"/>
        <v>VIA AGOSTINO NOVELLA  5-</v>
      </c>
      <c r="C1194" t="str">
        <f t="shared" si="159"/>
        <v>PRA</v>
      </c>
      <c r="D1194">
        <v>12</v>
      </c>
      <c r="E1194" t="str">
        <f t="shared" si="160"/>
        <v>585</v>
      </c>
      <c r="F1194" t="str">
        <f>"  21"</f>
        <v xml:space="preserve">  21</v>
      </c>
    </row>
    <row r="1195" spans="1:6">
      <c r="A1195" t="str">
        <f>"E1081-21"</f>
        <v>E1081-21</v>
      </c>
      <c r="B1195" t="str">
        <f t="shared" si="161"/>
        <v>VIA AGOSTINO NOVELLA  5-</v>
      </c>
      <c r="C1195" t="str">
        <f t="shared" si="159"/>
        <v>PRA</v>
      </c>
      <c r="D1195">
        <v>12</v>
      </c>
      <c r="E1195" t="str">
        <f t="shared" si="160"/>
        <v>585</v>
      </c>
      <c r="F1195" t="str">
        <f>"  22"</f>
        <v xml:space="preserve">  22</v>
      </c>
    </row>
    <row r="1196" spans="1:6">
      <c r="A1196" t="str">
        <f>"E1081-22"</f>
        <v>E1081-22</v>
      </c>
      <c r="B1196" t="str">
        <f t="shared" si="161"/>
        <v>VIA AGOSTINO NOVELLA  5-</v>
      </c>
      <c r="C1196" t="str">
        <f t="shared" si="159"/>
        <v>PRA</v>
      </c>
      <c r="D1196">
        <v>12</v>
      </c>
      <c r="E1196" t="str">
        <f t="shared" si="160"/>
        <v>585</v>
      </c>
      <c r="F1196" t="str">
        <f>"  23"</f>
        <v xml:space="preserve">  23</v>
      </c>
    </row>
    <row r="1197" spans="1:6">
      <c r="A1197" t="str">
        <f>"E1081-23"</f>
        <v>E1081-23</v>
      </c>
      <c r="B1197" t="str">
        <f t="shared" si="161"/>
        <v>VIA AGOSTINO NOVELLA  5-</v>
      </c>
      <c r="C1197" t="str">
        <f t="shared" si="159"/>
        <v>PRA</v>
      </c>
      <c r="D1197">
        <v>12</v>
      </c>
      <c r="E1197" t="str">
        <f t="shared" si="160"/>
        <v>585</v>
      </c>
      <c r="F1197" t="str">
        <f>"  24"</f>
        <v xml:space="preserve">  24</v>
      </c>
    </row>
    <row r="1198" spans="1:6">
      <c r="A1198" t="str">
        <f>"E1081-24"</f>
        <v>E1081-24</v>
      </c>
      <c r="B1198" t="str">
        <f t="shared" si="161"/>
        <v>VIA AGOSTINO NOVELLA  5-</v>
      </c>
      <c r="C1198" t="str">
        <f t="shared" si="159"/>
        <v>PRA</v>
      </c>
      <c r="D1198">
        <v>12</v>
      </c>
      <c r="E1198" t="str">
        <f t="shared" si="160"/>
        <v>585</v>
      </c>
      <c r="F1198" t="str">
        <f>"  25"</f>
        <v xml:space="preserve">  25</v>
      </c>
    </row>
    <row r="1199" spans="1:6">
      <c r="A1199" t="str">
        <f>"E1081-25"</f>
        <v>E1081-25</v>
      </c>
      <c r="B1199" t="str">
        <f t="shared" si="161"/>
        <v>VIA AGOSTINO NOVELLA  5-</v>
      </c>
      <c r="C1199" t="str">
        <f t="shared" si="159"/>
        <v>PRA</v>
      </c>
      <c r="D1199">
        <v>12</v>
      </c>
      <c r="E1199" t="str">
        <f t="shared" si="160"/>
        <v>585</v>
      </c>
      <c r="F1199" t="str">
        <f>"  26"</f>
        <v xml:space="preserve">  26</v>
      </c>
    </row>
    <row r="1200" spans="1:6">
      <c r="A1200" t="str">
        <f>"E1081-26"</f>
        <v>E1081-26</v>
      </c>
      <c r="B1200" t="str">
        <f t="shared" si="161"/>
        <v>VIA AGOSTINO NOVELLA  5-</v>
      </c>
      <c r="C1200" t="str">
        <f t="shared" si="159"/>
        <v>PRA</v>
      </c>
      <c r="D1200">
        <v>12</v>
      </c>
      <c r="E1200" t="str">
        <f t="shared" si="160"/>
        <v>585</v>
      </c>
      <c r="F1200" t="str">
        <f>"  27"</f>
        <v xml:space="preserve">  27</v>
      </c>
    </row>
    <row r="1201" spans="1:6">
      <c r="A1201" t="str">
        <f>"E1081-27"</f>
        <v>E1081-27</v>
      </c>
      <c r="B1201" t="str">
        <f t="shared" si="161"/>
        <v>VIA AGOSTINO NOVELLA  5-</v>
      </c>
      <c r="C1201" t="str">
        <f t="shared" si="159"/>
        <v>PRA</v>
      </c>
      <c r="D1201">
        <v>12</v>
      </c>
      <c r="E1201" t="str">
        <f t="shared" si="160"/>
        <v>585</v>
      </c>
      <c r="F1201" t="str">
        <f>"  28"</f>
        <v xml:space="preserve">  28</v>
      </c>
    </row>
    <row r="1202" spans="1:6">
      <c r="A1202" t="str">
        <f>"E1081-28"</f>
        <v>E1081-28</v>
      </c>
      <c r="B1202" t="str">
        <f t="shared" si="161"/>
        <v>VIA AGOSTINO NOVELLA  5-</v>
      </c>
      <c r="C1202" t="str">
        <f t="shared" si="159"/>
        <v>PRA</v>
      </c>
      <c r="D1202">
        <v>12</v>
      </c>
      <c r="E1202" t="str">
        <f t="shared" si="160"/>
        <v>585</v>
      </c>
      <c r="F1202" t="str">
        <f>"  29"</f>
        <v xml:space="preserve">  29</v>
      </c>
    </row>
    <row r="1203" spans="1:6">
      <c r="A1203" t="str">
        <f>"E1081-29"</f>
        <v>E1081-29</v>
      </c>
      <c r="B1203" t="str">
        <f t="shared" ref="B1203:B1216" si="162">"VIA AGOSTINO NOVELLA  7-"</f>
        <v>VIA AGOSTINO NOVELLA  7-</v>
      </c>
      <c r="C1203" t="str">
        <f t="shared" si="159"/>
        <v>PRA</v>
      </c>
      <c r="D1203">
        <v>12</v>
      </c>
      <c r="E1203" t="str">
        <f t="shared" si="160"/>
        <v>585</v>
      </c>
      <c r="F1203" t="str">
        <f>"  30"</f>
        <v xml:space="preserve">  30</v>
      </c>
    </row>
    <row r="1204" spans="1:6">
      <c r="A1204" t="str">
        <f>"E1081-30"</f>
        <v>E1081-30</v>
      </c>
      <c r="B1204" t="str">
        <f t="shared" si="162"/>
        <v>VIA AGOSTINO NOVELLA  7-</v>
      </c>
      <c r="C1204" t="str">
        <f t="shared" si="159"/>
        <v>PRA</v>
      </c>
      <c r="D1204">
        <v>12</v>
      </c>
      <c r="E1204" t="str">
        <f t="shared" si="160"/>
        <v>585</v>
      </c>
      <c r="F1204" t="str">
        <f>"  31"</f>
        <v xml:space="preserve">  31</v>
      </c>
    </row>
    <row r="1205" spans="1:6">
      <c r="A1205" t="str">
        <f>"E1081-31"</f>
        <v>E1081-31</v>
      </c>
      <c r="B1205" t="str">
        <f t="shared" si="162"/>
        <v>VIA AGOSTINO NOVELLA  7-</v>
      </c>
      <c r="C1205" t="str">
        <f t="shared" si="159"/>
        <v>PRA</v>
      </c>
      <c r="D1205">
        <v>12</v>
      </c>
      <c r="E1205" t="str">
        <f t="shared" si="160"/>
        <v>585</v>
      </c>
      <c r="F1205" t="str">
        <f>"  32"</f>
        <v xml:space="preserve">  32</v>
      </c>
    </row>
    <row r="1206" spans="1:6">
      <c r="A1206" t="str">
        <f>"E1081-32"</f>
        <v>E1081-32</v>
      </c>
      <c r="B1206" t="str">
        <f t="shared" si="162"/>
        <v>VIA AGOSTINO NOVELLA  7-</v>
      </c>
      <c r="C1206" t="str">
        <f t="shared" si="159"/>
        <v>PRA</v>
      </c>
      <c r="D1206">
        <v>12</v>
      </c>
      <c r="E1206" t="str">
        <f t="shared" si="160"/>
        <v>585</v>
      </c>
      <c r="F1206" t="str">
        <f>"  33"</f>
        <v xml:space="preserve">  33</v>
      </c>
    </row>
    <row r="1207" spans="1:6">
      <c r="A1207" t="str">
        <f>"E1081-33"</f>
        <v>E1081-33</v>
      </c>
      <c r="B1207" t="str">
        <f t="shared" si="162"/>
        <v>VIA AGOSTINO NOVELLA  7-</v>
      </c>
      <c r="C1207" t="str">
        <f t="shared" si="159"/>
        <v>PRA</v>
      </c>
      <c r="D1207">
        <v>12</v>
      </c>
      <c r="E1207" t="str">
        <f t="shared" si="160"/>
        <v>585</v>
      </c>
      <c r="F1207" t="str">
        <f>"  34"</f>
        <v xml:space="preserve">  34</v>
      </c>
    </row>
    <row r="1208" spans="1:6">
      <c r="A1208" t="str">
        <f>"E1081-34"</f>
        <v>E1081-34</v>
      </c>
      <c r="B1208" t="str">
        <f t="shared" si="162"/>
        <v>VIA AGOSTINO NOVELLA  7-</v>
      </c>
      <c r="C1208" t="str">
        <f t="shared" si="159"/>
        <v>PRA</v>
      </c>
      <c r="D1208">
        <v>12</v>
      </c>
      <c r="E1208" t="str">
        <f t="shared" si="160"/>
        <v>585</v>
      </c>
      <c r="F1208" t="str">
        <f>"  35"</f>
        <v xml:space="preserve">  35</v>
      </c>
    </row>
    <row r="1209" spans="1:6">
      <c r="A1209" t="str">
        <f>"E1081-35"</f>
        <v>E1081-35</v>
      </c>
      <c r="B1209" t="str">
        <f t="shared" si="162"/>
        <v>VIA AGOSTINO NOVELLA  7-</v>
      </c>
      <c r="C1209" t="str">
        <f t="shared" si="159"/>
        <v>PRA</v>
      </c>
      <c r="D1209">
        <v>12</v>
      </c>
      <c r="E1209" t="str">
        <f t="shared" si="160"/>
        <v>585</v>
      </c>
      <c r="F1209" t="str">
        <f>"  36"</f>
        <v xml:space="preserve">  36</v>
      </c>
    </row>
    <row r="1210" spans="1:6">
      <c r="A1210" t="str">
        <f>"E1081-36"</f>
        <v>E1081-36</v>
      </c>
      <c r="B1210" t="str">
        <f t="shared" si="162"/>
        <v>VIA AGOSTINO NOVELLA  7-</v>
      </c>
      <c r="C1210" t="str">
        <f t="shared" si="159"/>
        <v>PRA</v>
      </c>
      <c r="D1210">
        <v>12</v>
      </c>
      <c r="E1210" t="str">
        <f t="shared" si="160"/>
        <v>585</v>
      </c>
      <c r="F1210" t="str">
        <f>"  37"</f>
        <v xml:space="preserve">  37</v>
      </c>
    </row>
    <row r="1211" spans="1:6">
      <c r="A1211" t="str">
        <f>"E1081-37"</f>
        <v>E1081-37</v>
      </c>
      <c r="B1211" t="str">
        <f t="shared" si="162"/>
        <v>VIA AGOSTINO NOVELLA  7-</v>
      </c>
      <c r="C1211" t="str">
        <f t="shared" si="159"/>
        <v>PRA</v>
      </c>
      <c r="D1211">
        <v>12</v>
      </c>
      <c r="E1211" t="str">
        <f t="shared" si="160"/>
        <v>585</v>
      </c>
      <c r="F1211" t="str">
        <f>"  38"</f>
        <v xml:space="preserve">  38</v>
      </c>
    </row>
    <row r="1212" spans="1:6">
      <c r="A1212" t="str">
        <f>"E1081-38"</f>
        <v>E1081-38</v>
      </c>
      <c r="B1212" t="str">
        <f t="shared" si="162"/>
        <v>VIA AGOSTINO NOVELLA  7-</v>
      </c>
      <c r="C1212" t="str">
        <f t="shared" si="159"/>
        <v>PRA</v>
      </c>
      <c r="D1212">
        <v>12</v>
      </c>
      <c r="E1212" t="str">
        <f t="shared" si="160"/>
        <v>585</v>
      </c>
      <c r="F1212" t="str">
        <f>"  39"</f>
        <v xml:space="preserve">  39</v>
      </c>
    </row>
    <row r="1213" spans="1:6">
      <c r="A1213" t="str">
        <f>"E1081-39"</f>
        <v>E1081-39</v>
      </c>
      <c r="B1213" t="str">
        <f t="shared" si="162"/>
        <v>VIA AGOSTINO NOVELLA  7-</v>
      </c>
      <c r="C1213" t="str">
        <f t="shared" si="159"/>
        <v>PRA</v>
      </c>
      <c r="D1213">
        <v>12</v>
      </c>
      <c r="E1213" t="str">
        <f t="shared" si="160"/>
        <v>585</v>
      </c>
      <c r="F1213" t="str">
        <f>"  40"</f>
        <v xml:space="preserve">  40</v>
      </c>
    </row>
    <row r="1214" spans="1:6">
      <c r="A1214" t="str">
        <f>"E1081-40"</f>
        <v>E1081-40</v>
      </c>
      <c r="B1214" t="str">
        <f t="shared" si="162"/>
        <v>VIA AGOSTINO NOVELLA  7-</v>
      </c>
      <c r="C1214" t="str">
        <f t="shared" si="159"/>
        <v>PRA</v>
      </c>
      <c r="D1214">
        <v>12</v>
      </c>
      <c r="E1214" t="str">
        <f t="shared" si="160"/>
        <v>585</v>
      </c>
      <c r="F1214" t="str">
        <f>"  41"</f>
        <v xml:space="preserve">  41</v>
      </c>
    </row>
    <row r="1215" spans="1:6">
      <c r="A1215" t="str">
        <f>"E1081-41"</f>
        <v>E1081-41</v>
      </c>
      <c r="B1215" t="str">
        <f t="shared" si="162"/>
        <v>VIA AGOSTINO NOVELLA  7-</v>
      </c>
      <c r="C1215" t="str">
        <f t="shared" si="159"/>
        <v>PRA</v>
      </c>
      <c r="D1215">
        <v>12</v>
      </c>
      <c r="E1215" t="str">
        <f t="shared" si="160"/>
        <v>585</v>
      </c>
      <c r="F1215" t="str">
        <f>"  42"</f>
        <v xml:space="preserve">  42</v>
      </c>
    </row>
    <row r="1216" spans="1:6">
      <c r="A1216" t="str">
        <f>"E1081-42"</f>
        <v>E1081-42</v>
      </c>
      <c r="B1216" t="str">
        <f t="shared" si="162"/>
        <v>VIA AGOSTINO NOVELLA  7-</v>
      </c>
      <c r="C1216" t="str">
        <f t="shared" si="159"/>
        <v>PRA</v>
      </c>
      <c r="D1216">
        <v>12</v>
      </c>
      <c r="E1216" t="str">
        <f t="shared" si="160"/>
        <v>585</v>
      </c>
      <c r="F1216" t="str">
        <f>"  43"</f>
        <v xml:space="preserve">  43</v>
      </c>
    </row>
    <row r="1217" spans="1:6">
      <c r="A1217" t="str">
        <f>"E1081-43"</f>
        <v>E1081-43</v>
      </c>
      <c r="B1217" t="str">
        <f t="shared" ref="B1217:B1230" si="163">"VIA AGOSTINO NOVELLA  9-"</f>
        <v>VIA AGOSTINO NOVELLA  9-</v>
      </c>
      <c r="C1217" t="str">
        <f t="shared" si="159"/>
        <v>PRA</v>
      </c>
      <c r="D1217">
        <v>12</v>
      </c>
      <c r="E1217" t="str">
        <f t="shared" si="160"/>
        <v>585</v>
      </c>
      <c r="F1217" t="str">
        <f>"  44"</f>
        <v xml:space="preserve">  44</v>
      </c>
    </row>
    <row r="1218" spans="1:6">
      <c r="A1218" t="str">
        <f>"E1081-44"</f>
        <v>E1081-44</v>
      </c>
      <c r="B1218" t="str">
        <f t="shared" si="163"/>
        <v>VIA AGOSTINO NOVELLA  9-</v>
      </c>
      <c r="C1218" t="str">
        <f t="shared" si="159"/>
        <v>PRA</v>
      </c>
      <c r="D1218">
        <v>12</v>
      </c>
      <c r="E1218" t="str">
        <f t="shared" si="160"/>
        <v>585</v>
      </c>
      <c r="F1218" t="str">
        <f>"  45"</f>
        <v xml:space="preserve">  45</v>
      </c>
    </row>
    <row r="1219" spans="1:6">
      <c r="A1219" t="str">
        <f>"E1081-45"</f>
        <v>E1081-45</v>
      </c>
      <c r="B1219" t="str">
        <f t="shared" si="163"/>
        <v>VIA AGOSTINO NOVELLA  9-</v>
      </c>
      <c r="C1219" t="str">
        <f t="shared" si="159"/>
        <v>PRA</v>
      </c>
      <c r="D1219">
        <v>12</v>
      </c>
      <c r="E1219" t="str">
        <f t="shared" si="160"/>
        <v>585</v>
      </c>
      <c r="F1219" t="str">
        <f>"  46"</f>
        <v xml:space="preserve">  46</v>
      </c>
    </row>
    <row r="1220" spans="1:6">
      <c r="A1220" t="str">
        <f>"E1081-46"</f>
        <v>E1081-46</v>
      </c>
      <c r="B1220" t="str">
        <f t="shared" si="163"/>
        <v>VIA AGOSTINO NOVELLA  9-</v>
      </c>
      <c r="C1220" t="str">
        <f t="shared" si="159"/>
        <v>PRA</v>
      </c>
      <c r="D1220">
        <v>12</v>
      </c>
      <c r="E1220" t="str">
        <f t="shared" si="160"/>
        <v>585</v>
      </c>
      <c r="F1220" t="str">
        <f>"  47"</f>
        <v xml:space="preserve">  47</v>
      </c>
    </row>
    <row r="1221" spans="1:6">
      <c r="A1221" t="str">
        <f>"E1081-47"</f>
        <v>E1081-47</v>
      </c>
      <c r="B1221" t="str">
        <f t="shared" si="163"/>
        <v>VIA AGOSTINO NOVELLA  9-</v>
      </c>
      <c r="C1221" t="str">
        <f t="shared" si="159"/>
        <v>PRA</v>
      </c>
      <c r="D1221">
        <v>12</v>
      </c>
      <c r="E1221" t="str">
        <f t="shared" si="160"/>
        <v>585</v>
      </c>
      <c r="F1221" t="str">
        <f>"  48"</f>
        <v xml:space="preserve">  48</v>
      </c>
    </row>
    <row r="1222" spans="1:6">
      <c r="A1222" t="str">
        <f>"E1081-48"</f>
        <v>E1081-48</v>
      </c>
      <c r="B1222" t="str">
        <f t="shared" si="163"/>
        <v>VIA AGOSTINO NOVELLA  9-</v>
      </c>
      <c r="C1222" t="str">
        <f t="shared" si="159"/>
        <v>PRA</v>
      </c>
      <c r="D1222">
        <v>12</v>
      </c>
      <c r="E1222" t="str">
        <f t="shared" si="160"/>
        <v>585</v>
      </c>
      <c r="F1222" t="str">
        <f>"  49"</f>
        <v xml:space="preserve">  49</v>
      </c>
    </row>
    <row r="1223" spans="1:6">
      <c r="A1223" t="str">
        <f>"E1081-49"</f>
        <v>E1081-49</v>
      </c>
      <c r="B1223" t="str">
        <f t="shared" si="163"/>
        <v>VIA AGOSTINO NOVELLA  9-</v>
      </c>
      <c r="C1223" t="str">
        <f t="shared" si="159"/>
        <v>PRA</v>
      </c>
      <c r="D1223">
        <v>12</v>
      </c>
      <c r="E1223" t="str">
        <f t="shared" si="160"/>
        <v>585</v>
      </c>
      <c r="F1223" t="str">
        <f>"  50"</f>
        <v xml:space="preserve">  50</v>
      </c>
    </row>
    <row r="1224" spans="1:6">
      <c r="A1224" t="str">
        <f>"E1081-50"</f>
        <v>E1081-50</v>
      </c>
      <c r="B1224" t="str">
        <f t="shared" si="163"/>
        <v>VIA AGOSTINO NOVELLA  9-</v>
      </c>
      <c r="C1224" t="str">
        <f t="shared" si="159"/>
        <v>PRA</v>
      </c>
      <c r="D1224">
        <v>12</v>
      </c>
      <c r="E1224" t="str">
        <f t="shared" si="160"/>
        <v>585</v>
      </c>
      <c r="F1224" t="str">
        <f>"  51"</f>
        <v xml:space="preserve">  51</v>
      </c>
    </row>
    <row r="1225" spans="1:6">
      <c r="A1225" t="str">
        <f>"E1081-51"</f>
        <v>E1081-51</v>
      </c>
      <c r="B1225" t="str">
        <f t="shared" si="163"/>
        <v>VIA AGOSTINO NOVELLA  9-</v>
      </c>
      <c r="C1225" t="str">
        <f t="shared" si="159"/>
        <v>PRA</v>
      </c>
      <c r="D1225">
        <v>12</v>
      </c>
      <c r="E1225" t="str">
        <f t="shared" si="160"/>
        <v>585</v>
      </c>
      <c r="F1225" t="str">
        <f>"  52"</f>
        <v xml:space="preserve">  52</v>
      </c>
    </row>
    <row r="1226" spans="1:6">
      <c r="A1226" t="str">
        <f>"E1081-52"</f>
        <v>E1081-52</v>
      </c>
      <c r="B1226" t="str">
        <f t="shared" si="163"/>
        <v>VIA AGOSTINO NOVELLA  9-</v>
      </c>
      <c r="C1226" t="str">
        <f t="shared" si="159"/>
        <v>PRA</v>
      </c>
      <c r="D1226">
        <v>12</v>
      </c>
      <c r="E1226" t="str">
        <f t="shared" si="160"/>
        <v>585</v>
      </c>
      <c r="F1226" t="str">
        <f>"  53"</f>
        <v xml:space="preserve">  53</v>
      </c>
    </row>
    <row r="1227" spans="1:6">
      <c r="A1227" t="str">
        <f>"E1081-53"</f>
        <v>E1081-53</v>
      </c>
      <c r="B1227" t="str">
        <f t="shared" si="163"/>
        <v>VIA AGOSTINO NOVELLA  9-</v>
      </c>
      <c r="C1227" t="str">
        <f t="shared" si="159"/>
        <v>PRA</v>
      </c>
      <c r="D1227">
        <v>12</v>
      </c>
      <c r="E1227" t="str">
        <f t="shared" si="160"/>
        <v>585</v>
      </c>
      <c r="F1227" t="str">
        <f>"  54"</f>
        <v xml:space="preserve">  54</v>
      </c>
    </row>
    <row r="1228" spans="1:6">
      <c r="A1228" t="str">
        <f>"E1081-54"</f>
        <v>E1081-54</v>
      </c>
      <c r="B1228" t="str">
        <f t="shared" si="163"/>
        <v>VIA AGOSTINO NOVELLA  9-</v>
      </c>
      <c r="C1228" t="str">
        <f t="shared" si="159"/>
        <v>PRA</v>
      </c>
      <c r="D1228">
        <v>12</v>
      </c>
      <c r="E1228" t="str">
        <f t="shared" si="160"/>
        <v>585</v>
      </c>
      <c r="F1228" t="str">
        <f>"  55"</f>
        <v xml:space="preserve">  55</v>
      </c>
    </row>
    <row r="1229" spans="1:6">
      <c r="A1229" t="str">
        <f>"E1081-55"</f>
        <v>E1081-55</v>
      </c>
      <c r="B1229" t="str">
        <f t="shared" si="163"/>
        <v>VIA AGOSTINO NOVELLA  9-</v>
      </c>
      <c r="C1229" t="str">
        <f t="shared" si="159"/>
        <v>PRA</v>
      </c>
      <c r="D1229">
        <v>12</v>
      </c>
      <c r="E1229" t="str">
        <f t="shared" si="160"/>
        <v>585</v>
      </c>
      <c r="F1229" t="str">
        <f>"  56"</f>
        <v xml:space="preserve">  56</v>
      </c>
    </row>
    <row r="1230" spans="1:6">
      <c r="A1230" t="str">
        <f>"E1081-56"</f>
        <v>E1081-56</v>
      </c>
      <c r="B1230" t="str">
        <f t="shared" si="163"/>
        <v>VIA AGOSTINO NOVELLA  9-</v>
      </c>
      <c r="C1230" t="str">
        <f t="shared" si="159"/>
        <v>PRA</v>
      </c>
      <c r="D1230">
        <v>12</v>
      </c>
      <c r="E1230" t="str">
        <f t="shared" si="160"/>
        <v>585</v>
      </c>
      <c r="F1230" t="str">
        <f>"  57"</f>
        <v xml:space="preserve">  57</v>
      </c>
    </row>
    <row r="1231" spans="1:6">
      <c r="A1231" t="str">
        <f>"E1081-57"</f>
        <v>E1081-57</v>
      </c>
      <c r="B1231" t="str">
        <f t="shared" ref="B1231:B1244" si="164">"VIA AGOSTINO NOVELLA  21-"</f>
        <v>VIA AGOSTINO NOVELLA  21-</v>
      </c>
      <c r="C1231" t="str">
        <f t="shared" si="159"/>
        <v>PRA</v>
      </c>
      <c r="D1231">
        <v>12</v>
      </c>
      <c r="E1231" t="str">
        <f t="shared" si="160"/>
        <v>585</v>
      </c>
      <c r="F1231" t="str">
        <f>"  66"</f>
        <v xml:space="preserve">  66</v>
      </c>
    </row>
    <row r="1232" spans="1:6">
      <c r="A1232" t="str">
        <f>"E1081-58"</f>
        <v>E1081-58</v>
      </c>
      <c r="B1232" t="str">
        <f t="shared" si="164"/>
        <v>VIA AGOSTINO NOVELLA  21-</v>
      </c>
      <c r="C1232" t="str">
        <f t="shared" si="159"/>
        <v>PRA</v>
      </c>
      <c r="D1232">
        <v>12</v>
      </c>
      <c r="E1232" t="str">
        <f t="shared" si="160"/>
        <v>585</v>
      </c>
      <c r="F1232" t="str">
        <f>"  67"</f>
        <v xml:space="preserve">  67</v>
      </c>
    </row>
    <row r="1233" spans="1:6">
      <c r="A1233" t="str">
        <f>"E1081-59"</f>
        <v>E1081-59</v>
      </c>
      <c r="B1233" t="str">
        <f t="shared" si="164"/>
        <v>VIA AGOSTINO NOVELLA  21-</v>
      </c>
      <c r="C1233" t="str">
        <f t="shared" si="159"/>
        <v>PRA</v>
      </c>
      <c r="D1233">
        <v>12</v>
      </c>
      <c r="E1233" t="str">
        <f t="shared" si="160"/>
        <v>585</v>
      </c>
      <c r="F1233" t="str">
        <f>"  68"</f>
        <v xml:space="preserve">  68</v>
      </c>
    </row>
    <row r="1234" spans="1:6">
      <c r="A1234" t="str">
        <f>"E1081-60"</f>
        <v>E1081-60</v>
      </c>
      <c r="B1234" t="str">
        <f t="shared" si="164"/>
        <v>VIA AGOSTINO NOVELLA  21-</v>
      </c>
      <c r="C1234" t="str">
        <f t="shared" si="159"/>
        <v>PRA</v>
      </c>
      <c r="D1234">
        <v>12</v>
      </c>
      <c r="E1234" t="str">
        <f t="shared" si="160"/>
        <v>585</v>
      </c>
      <c r="F1234" t="str">
        <f>"  69"</f>
        <v xml:space="preserve">  69</v>
      </c>
    </row>
    <row r="1235" spans="1:6">
      <c r="A1235" t="str">
        <f>"E1081-61"</f>
        <v>E1081-61</v>
      </c>
      <c r="B1235" t="str">
        <f t="shared" si="164"/>
        <v>VIA AGOSTINO NOVELLA  21-</v>
      </c>
      <c r="C1235" t="str">
        <f t="shared" si="159"/>
        <v>PRA</v>
      </c>
      <c r="D1235">
        <v>12</v>
      </c>
      <c r="E1235" t="str">
        <f t="shared" si="160"/>
        <v>585</v>
      </c>
      <c r="F1235" t="str">
        <f>"  70"</f>
        <v xml:space="preserve">  70</v>
      </c>
    </row>
    <row r="1236" spans="1:6">
      <c r="A1236" t="str">
        <f>"E1081-62"</f>
        <v>E1081-62</v>
      </c>
      <c r="B1236" t="str">
        <f t="shared" si="164"/>
        <v>VIA AGOSTINO NOVELLA  21-</v>
      </c>
      <c r="C1236" t="str">
        <f t="shared" si="159"/>
        <v>PRA</v>
      </c>
      <c r="D1236">
        <v>12</v>
      </c>
      <c r="E1236" t="str">
        <f t="shared" si="160"/>
        <v>585</v>
      </c>
      <c r="F1236" t="str">
        <f>"  71"</f>
        <v xml:space="preserve">  71</v>
      </c>
    </row>
    <row r="1237" spans="1:6">
      <c r="A1237" t="str">
        <f>"E1081-63"</f>
        <v>E1081-63</v>
      </c>
      <c r="B1237" t="str">
        <f t="shared" si="164"/>
        <v>VIA AGOSTINO NOVELLA  21-</v>
      </c>
      <c r="C1237" t="str">
        <f t="shared" si="159"/>
        <v>PRA</v>
      </c>
      <c r="D1237">
        <v>12</v>
      </c>
      <c r="E1237" t="str">
        <f t="shared" si="160"/>
        <v>585</v>
      </c>
      <c r="F1237" t="str">
        <f>"  72"</f>
        <v xml:space="preserve">  72</v>
      </c>
    </row>
    <row r="1238" spans="1:6">
      <c r="A1238" t="str">
        <f>"E1081-64"</f>
        <v>E1081-64</v>
      </c>
      <c r="B1238" t="str">
        <f t="shared" si="164"/>
        <v>VIA AGOSTINO NOVELLA  21-</v>
      </c>
      <c r="C1238" t="str">
        <f t="shared" si="159"/>
        <v>PRA</v>
      </c>
      <c r="D1238">
        <v>12</v>
      </c>
      <c r="E1238" t="str">
        <f t="shared" si="160"/>
        <v>585</v>
      </c>
      <c r="F1238" t="str">
        <f>"  73"</f>
        <v xml:space="preserve">  73</v>
      </c>
    </row>
    <row r="1239" spans="1:6">
      <c r="A1239" t="str">
        <f>"E1081-65"</f>
        <v>E1081-65</v>
      </c>
      <c r="B1239" t="str">
        <f t="shared" si="164"/>
        <v>VIA AGOSTINO NOVELLA  21-</v>
      </c>
      <c r="C1239" t="str">
        <f t="shared" ref="C1239:C1302" si="165">"PRA"</f>
        <v>PRA</v>
      </c>
      <c r="D1239">
        <v>12</v>
      </c>
      <c r="E1239" t="str">
        <f t="shared" ref="E1239:E1302" si="166">"585"</f>
        <v>585</v>
      </c>
      <c r="F1239" t="str">
        <f>"  74"</f>
        <v xml:space="preserve">  74</v>
      </c>
    </row>
    <row r="1240" spans="1:6">
      <c r="A1240" t="str">
        <f>"E1081-66"</f>
        <v>E1081-66</v>
      </c>
      <c r="B1240" t="str">
        <f t="shared" si="164"/>
        <v>VIA AGOSTINO NOVELLA  21-</v>
      </c>
      <c r="C1240" t="str">
        <f t="shared" si="165"/>
        <v>PRA</v>
      </c>
      <c r="D1240">
        <v>12</v>
      </c>
      <c r="E1240" t="str">
        <f t="shared" si="166"/>
        <v>585</v>
      </c>
      <c r="F1240" t="str">
        <f>"  75"</f>
        <v xml:space="preserve">  75</v>
      </c>
    </row>
    <row r="1241" spans="1:6">
      <c r="A1241" t="str">
        <f>"E1081-67"</f>
        <v>E1081-67</v>
      </c>
      <c r="B1241" t="str">
        <f t="shared" si="164"/>
        <v>VIA AGOSTINO NOVELLA  21-</v>
      </c>
      <c r="C1241" t="str">
        <f t="shared" si="165"/>
        <v>PRA</v>
      </c>
      <c r="D1241">
        <v>12</v>
      </c>
      <c r="E1241" t="str">
        <f t="shared" si="166"/>
        <v>585</v>
      </c>
      <c r="F1241" t="str">
        <f>"  76"</f>
        <v xml:space="preserve">  76</v>
      </c>
    </row>
    <row r="1242" spans="1:6">
      <c r="A1242" t="str">
        <f>"E1081-68"</f>
        <v>E1081-68</v>
      </c>
      <c r="B1242" t="str">
        <f t="shared" si="164"/>
        <v>VIA AGOSTINO NOVELLA  21-</v>
      </c>
      <c r="C1242" t="str">
        <f t="shared" si="165"/>
        <v>PRA</v>
      </c>
      <c r="D1242">
        <v>12</v>
      </c>
      <c r="E1242" t="str">
        <f t="shared" si="166"/>
        <v>585</v>
      </c>
      <c r="F1242" t="str">
        <f>"  77"</f>
        <v xml:space="preserve">  77</v>
      </c>
    </row>
    <row r="1243" spans="1:6">
      <c r="A1243" t="str">
        <f>"E1081-69"</f>
        <v>E1081-69</v>
      </c>
      <c r="B1243" t="str">
        <f t="shared" si="164"/>
        <v>VIA AGOSTINO NOVELLA  21-</v>
      </c>
      <c r="C1243" t="str">
        <f t="shared" si="165"/>
        <v>PRA</v>
      </c>
      <c r="D1243">
        <v>12</v>
      </c>
      <c r="E1243" t="str">
        <f t="shared" si="166"/>
        <v>585</v>
      </c>
      <c r="F1243" t="str">
        <f>"  78"</f>
        <v xml:space="preserve">  78</v>
      </c>
    </row>
    <row r="1244" spans="1:6">
      <c r="A1244" t="str">
        <f>"E1081-70"</f>
        <v>E1081-70</v>
      </c>
      <c r="B1244" t="str">
        <f t="shared" si="164"/>
        <v>VIA AGOSTINO NOVELLA  21-</v>
      </c>
      <c r="C1244" t="str">
        <f t="shared" si="165"/>
        <v>PRA</v>
      </c>
      <c r="D1244">
        <v>12</v>
      </c>
      <c r="E1244" t="str">
        <f t="shared" si="166"/>
        <v>585</v>
      </c>
      <c r="F1244" t="str">
        <f>"  79"</f>
        <v xml:space="preserve">  79</v>
      </c>
    </row>
    <row r="1245" spans="1:6">
      <c r="A1245" t="str">
        <f>"E1081-71"</f>
        <v>E1081-71</v>
      </c>
      <c r="B1245" t="str">
        <f t="shared" ref="B1245:B1258" si="167">"VIA AGOSTINO NOVELLA  23-"</f>
        <v>VIA AGOSTINO NOVELLA  23-</v>
      </c>
      <c r="C1245" t="str">
        <f t="shared" si="165"/>
        <v>PRA</v>
      </c>
      <c r="D1245">
        <v>12</v>
      </c>
      <c r="E1245" t="str">
        <f t="shared" si="166"/>
        <v>585</v>
      </c>
      <c r="F1245" t="str">
        <f>"  80"</f>
        <v xml:space="preserve">  80</v>
      </c>
    </row>
    <row r="1246" spans="1:6">
      <c r="A1246" t="str">
        <f>"E1081-72"</f>
        <v>E1081-72</v>
      </c>
      <c r="B1246" t="str">
        <f t="shared" si="167"/>
        <v>VIA AGOSTINO NOVELLA  23-</v>
      </c>
      <c r="C1246" t="str">
        <f t="shared" si="165"/>
        <v>PRA</v>
      </c>
      <c r="D1246">
        <v>12</v>
      </c>
      <c r="E1246" t="str">
        <f t="shared" si="166"/>
        <v>585</v>
      </c>
      <c r="F1246" t="str">
        <f>"  81"</f>
        <v xml:space="preserve">  81</v>
      </c>
    </row>
    <row r="1247" spans="1:6">
      <c r="A1247" t="str">
        <f>"E1081-73"</f>
        <v>E1081-73</v>
      </c>
      <c r="B1247" t="str">
        <f t="shared" si="167"/>
        <v>VIA AGOSTINO NOVELLA  23-</v>
      </c>
      <c r="C1247" t="str">
        <f t="shared" si="165"/>
        <v>PRA</v>
      </c>
      <c r="D1247">
        <v>12</v>
      </c>
      <c r="E1247" t="str">
        <f t="shared" si="166"/>
        <v>585</v>
      </c>
      <c r="F1247" t="str">
        <f>"  82"</f>
        <v xml:space="preserve">  82</v>
      </c>
    </row>
    <row r="1248" spans="1:6">
      <c r="A1248" t="str">
        <f>"E1081-74"</f>
        <v>E1081-74</v>
      </c>
      <c r="B1248" t="str">
        <f t="shared" si="167"/>
        <v>VIA AGOSTINO NOVELLA  23-</v>
      </c>
      <c r="C1248" t="str">
        <f t="shared" si="165"/>
        <v>PRA</v>
      </c>
      <c r="D1248">
        <v>12</v>
      </c>
      <c r="E1248" t="str">
        <f t="shared" si="166"/>
        <v>585</v>
      </c>
      <c r="F1248" t="str">
        <f>"  83"</f>
        <v xml:space="preserve">  83</v>
      </c>
    </row>
    <row r="1249" spans="1:6">
      <c r="A1249" t="str">
        <f>"E1081-75"</f>
        <v>E1081-75</v>
      </c>
      <c r="B1249" t="str">
        <f t="shared" si="167"/>
        <v>VIA AGOSTINO NOVELLA  23-</v>
      </c>
      <c r="C1249" t="str">
        <f t="shared" si="165"/>
        <v>PRA</v>
      </c>
      <c r="D1249">
        <v>12</v>
      </c>
      <c r="E1249" t="str">
        <f t="shared" si="166"/>
        <v>585</v>
      </c>
      <c r="F1249" t="str">
        <f>"  84"</f>
        <v xml:space="preserve">  84</v>
      </c>
    </row>
    <row r="1250" spans="1:6">
      <c r="A1250" t="str">
        <f>"E1081-76"</f>
        <v>E1081-76</v>
      </c>
      <c r="B1250" t="str">
        <f t="shared" si="167"/>
        <v>VIA AGOSTINO NOVELLA  23-</v>
      </c>
      <c r="C1250" t="str">
        <f t="shared" si="165"/>
        <v>PRA</v>
      </c>
      <c r="D1250">
        <v>12</v>
      </c>
      <c r="E1250" t="str">
        <f t="shared" si="166"/>
        <v>585</v>
      </c>
      <c r="F1250" t="str">
        <f>"  85"</f>
        <v xml:space="preserve">  85</v>
      </c>
    </row>
    <row r="1251" spans="1:6">
      <c r="A1251" t="str">
        <f>"E1081-77"</f>
        <v>E1081-77</v>
      </c>
      <c r="B1251" t="str">
        <f t="shared" si="167"/>
        <v>VIA AGOSTINO NOVELLA  23-</v>
      </c>
      <c r="C1251" t="str">
        <f t="shared" si="165"/>
        <v>PRA</v>
      </c>
      <c r="D1251">
        <v>12</v>
      </c>
      <c r="E1251" t="str">
        <f t="shared" si="166"/>
        <v>585</v>
      </c>
      <c r="F1251" t="str">
        <f>"  86"</f>
        <v xml:space="preserve">  86</v>
      </c>
    </row>
    <row r="1252" spans="1:6">
      <c r="A1252" t="str">
        <f>"E1081-78"</f>
        <v>E1081-78</v>
      </c>
      <c r="B1252" t="str">
        <f t="shared" si="167"/>
        <v>VIA AGOSTINO NOVELLA  23-</v>
      </c>
      <c r="C1252" t="str">
        <f t="shared" si="165"/>
        <v>PRA</v>
      </c>
      <c r="D1252">
        <v>12</v>
      </c>
      <c r="E1252" t="str">
        <f t="shared" si="166"/>
        <v>585</v>
      </c>
      <c r="F1252" t="str">
        <f>"  87"</f>
        <v xml:space="preserve">  87</v>
      </c>
    </row>
    <row r="1253" spans="1:6">
      <c r="A1253" t="str">
        <f>"E1081-79"</f>
        <v>E1081-79</v>
      </c>
      <c r="B1253" t="str">
        <f t="shared" si="167"/>
        <v>VIA AGOSTINO NOVELLA  23-</v>
      </c>
      <c r="C1253" t="str">
        <f t="shared" si="165"/>
        <v>PRA</v>
      </c>
      <c r="D1253">
        <v>12</v>
      </c>
      <c r="E1253" t="str">
        <f t="shared" si="166"/>
        <v>585</v>
      </c>
      <c r="F1253" t="str">
        <f>"  88"</f>
        <v xml:space="preserve">  88</v>
      </c>
    </row>
    <row r="1254" spans="1:6">
      <c r="A1254" t="str">
        <f>"E1081-80"</f>
        <v>E1081-80</v>
      </c>
      <c r="B1254" t="str">
        <f t="shared" si="167"/>
        <v>VIA AGOSTINO NOVELLA  23-</v>
      </c>
      <c r="C1254" t="str">
        <f t="shared" si="165"/>
        <v>PRA</v>
      </c>
      <c r="D1254">
        <v>12</v>
      </c>
      <c r="E1254" t="str">
        <f t="shared" si="166"/>
        <v>585</v>
      </c>
      <c r="F1254" t="str">
        <f>"  89"</f>
        <v xml:space="preserve">  89</v>
      </c>
    </row>
    <row r="1255" spans="1:6">
      <c r="A1255" t="str">
        <f>"E1081-81"</f>
        <v>E1081-81</v>
      </c>
      <c r="B1255" t="str">
        <f t="shared" si="167"/>
        <v>VIA AGOSTINO NOVELLA  23-</v>
      </c>
      <c r="C1255" t="str">
        <f t="shared" si="165"/>
        <v>PRA</v>
      </c>
      <c r="D1255">
        <v>12</v>
      </c>
      <c r="E1255" t="str">
        <f t="shared" si="166"/>
        <v>585</v>
      </c>
      <c r="F1255" t="str">
        <f>"  90"</f>
        <v xml:space="preserve">  90</v>
      </c>
    </row>
    <row r="1256" spans="1:6">
      <c r="A1256" t="str">
        <f>"E1081-82"</f>
        <v>E1081-82</v>
      </c>
      <c r="B1256" t="str">
        <f t="shared" si="167"/>
        <v>VIA AGOSTINO NOVELLA  23-</v>
      </c>
      <c r="C1256" t="str">
        <f t="shared" si="165"/>
        <v>PRA</v>
      </c>
      <c r="D1256">
        <v>12</v>
      </c>
      <c r="E1256" t="str">
        <f t="shared" si="166"/>
        <v>585</v>
      </c>
      <c r="F1256" t="str">
        <f>"  91"</f>
        <v xml:space="preserve">  91</v>
      </c>
    </row>
    <row r="1257" spans="1:6">
      <c r="A1257" t="str">
        <f>"E1081-83"</f>
        <v>E1081-83</v>
      </c>
      <c r="B1257" t="str">
        <f t="shared" si="167"/>
        <v>VIA AGOSTINO NOVELLA  23-</v>
      </c>
      <c r="C1257" t="str">
        <f t="shared" si="165"/>
        <v>PRA</v>
      </c>
      <c r="D1257">
        <v>12</v>
      </c>
      <c r="E1257" t="str">
        <f t="shared" si="166"/>
        <v>585</v>
      </c>
      <c r="F1257" t="str">
        <f>"  92"</f>
        <v xml:space="preserve">  92</v>
      </c>
    </row>
    <row r="1258" spans="1:6">
      <c r="A1258" t="str">
        <f>"E1081-84"</f>
        <v>E1081-84</v>
      </c>
      <c r="B1258" t="str">
        <f t="shared" si="167"/>
        <v>VIA AGOSTINO NOVELLA  23-</v>
      </c>
      <c r="C1258" t="str">
        <f t="shared" si="165"/>
        <v>PRA</v>
      </c>
      <c r="D1258">
        <v>12</v>
      </c>
      <c r="E1258" t="str">
        <f t="shared" si="166"/>
        <v>585</v>
      </c>
      <c r="F1258" t="str">
        <f>"  93"</f>
        <v xml:space="preserve">  93</v>
      </c>
    </row>
    <row r="1259" spans="1:6">
      <c r="A1259" t="str">
        <f>"E1081-85"</f>
        <v>E1081-85</v>
      </c>
      <c r="B1259" t="str">
        <f t="shared" ref="B1259:B1272" si="168">"VIA AGOSTINO NOVELLA  25-"</f>
        <v>VIA AGOSTINO NOVELLA  25-</v>
      </c>
      <c r="C1259" t="str">
        <f t="shared" si="165"/>
        <v>PRA</v>
      </c>
      <c r="D1259">
        <v>12</v>
      </c>
      <c r="E1259" t="str">
        <f t="shared" si="166"/>
        <v>585</v>
      </c>
      <c r="F1259" t="str">
        <f>"  94"</f>
        <v xml:space="preserve">  94</v>
      </c>
    </row>
    <row r="1260" spans="1:6">
      <c r="A1260" t="str">
        <f>"E1081-86"</f>
        <v>E1081-86</v>
      </c>
      <c r="B1260" t="str">
        <f t="shared" si="168"/>
        <v>VIA AGOSTINO NOVELLA  25-</v>
      </c>
      <c r="C1260" t="str">
        <f t="shared" si="165"/>
        <v>PRA</v>
      </c>
      <c r="D1260">
        <v>12</v>
      </c>
      <c r="E1260" t="str">
        <f t="shared" si="166"/>
        <v>585</v>
      </c>
      <c r="F1260" t="str">
        <f>"  95"</f>
        <v xml:space="preserve">  95</v>
      </c>
    </row>
    <row r="1261" spans="1:6">
      <c r="A1261" t="str">
        <f>"E1081-87"</f>
        <v>E1081-87</v>
      </c>
      <c r="B1261" t="str">
        <f t="shared" si="168"/>
        <v>VIA AGOSTINO NOVELLA  25-</v>
      </c>
      <c r="C1261" t="str">
        <f t="shared" si="165"/>
        <v>PRA</v>
      </c>
      <c r="D1261">
        <v>12</v>
      </c>
      <c r="E1261" t="str">
        <f t="shared" si="166"/>
        <v>585</v>
      </c>
      <c r="F1261" t="str">
        <f>"  96"</f>
        <v xml:space="preserve">  96</v>
      </c>
    </row>
    <row r="1262" spans="1:6">
      <c r="A1262" t="str">
        <f>"E1081-88"</f>
        <v>E1081-88</v>
      </c>
      <c r="B1262" t="str">
        <f t="shared" si="168"/>
        <v>VIA AGOSTINO NOVELLA  25-</v>
      </c>
      <c r="C1262" t="str">
        <f t="shared" si="165"/>
        <v>PRA</v>
      </c>
      <c r="D1262">
        <v>12</v>
      </c>
      <c r="E1262" t="str">
        <f t="shared" si="166"/>
        <v>585</v>
      </c>
      <c r="F1262" t="str">
        <f>"  97"</f>
        <v xml:space="preserve">  97</v>
      </c>
    </row>
    <row r="1263" spans="1:6">
      <c r="A1263" t="str">
        <f>"E1081-89"</f>
        <v>E1081-89</v>
      </c>
      <c r="B1263" t="str">
        <f t="shared" si="168"/>
        <v>VIA AGOSTINO NOVELLA  25-</v>
      </c>
      <c r="C1263" t="str">
        <f t="shared" si="165"/>
        <v>PRA</v>
      </c>
      <c r="D1263">
        <v>12</v>
      </c>
      <c r="E1263" t="str">
        <f t="shared" si="166"/>
        <v>585</v>
      </c>
      <c r="F1263" t="str">
        <f>"  98"</f>
        <v xml:space="preserve">  98</v>
      </c>
    </row>
    <row r="1264" spans="1:6">
      <c r="A1264" t="str">
        <f>"E1081-90"</f>
        <v>E1081-90</v>
      </c>
      <c r="B1264" t="str">
        <f t="shared" si="168"/>
        <v>VIA AGOSTINO NOVELLA  25-</v>
      </c>
      <c r="C1264" t="str">
        <f t="shared" si="165"/>
        <v>PRA</v>
      </c>
      <c r="D1264">
        <v>12</v>
      </c>
      <c r="E1264" t="str">
        <f t="shared" si="166"/>
        <v>585</v>
      </c>
      <c r="F1264" t="str">
        <f>"  99"</f>
        <v xml:space="preserve">  99</v>
      </c>
    </row>
    <row r="1265" spans="1:6">
      <c r="A1265" t="str">
        <f>"E1081-91"</f>
        <v>E1081-91</v>
      </c>
      <c r="B1265" t="str">
        <f t="shared" si="168"/>
        <v>VIA AGOSTINO NOVELLA  25-</v>
      </c>
      <c r="C1265" t="str">
        <f t="shared" si="165"/>
        <v>PRA</v>
      </c>
      <c r="D1265">
        <v>12</v>
      </c>
      <c r="E1265" t="str">
        <f t="shared" si="166"/>
        <v>585</v>
      </c>
      <c r="F1265" t="str">
        <f>" 100"</f>
        <v xml:space="preserve"> 100</v>
      </c>
    </row>
    <row r="1266" spans="1:6">
      <c r="A1266" t="str">
        <f>"E1081-92"</f>
        <v>E1081-92</v>
      </c>
      <c r="B1266" t="str">
        <f t="shared" si="168"/>
        <v>VIA AGOSTINO NOVELLA  25-</v>
      </c>
      <c r="C1266" t="str">
        <f t="shared" si="165"/>
        <v>PRA</v>
      </c>
      <c r="D1266">
        <v>12</v>
      </c>
      <c r="E1266" t="str">
        <f t="shared" si="166"/>
        <v>585</v>
      </c>
      <c r="F1266" t="str">
        <f>" 101"</f>
        <v xml:space="preserve"> 101</v>
      </c>
    </row>
    <row r="1267" spans="1:6">
      <c r="A1267" t="str">
        <f>"E1081-93"</f>
        <v>E1081-93</v>
      </c>
      <c r="B1267" t="str">
        <f t="shared" si="168"/>
        <v>VIA AGOSTINO NOVELLA  25-</v>
      </c>
      <c r="C1267" t="str">
        <f t="shared" si="165"/>
        <v>PRA</v>
      </c>
      <c r="D1267">
        <v>12</v>
      </c>
      <c r="E1267" t="str">
        <f t="shared" si="166"/>
        <v>585</v>
      </c>
      <c r="F1267" t="str">
        <f>" 102"</f>
        <v xml:space="preserve"> 102</v>
      </c>
    </row>
    <row r="1268" spans="1:6">
      <c r="A1268" t="str">
        <f>"E1081-94"</f>
        <v>E1081-94</v>
      </c>
      <c r="B1268" t="str">
        <f t="shared" si="168"/>
        <v>VIA AGOSTINO NOVELLA  25-</v>
      </c>
      <c r="C1268" t="str">
        <f t="shared" si="165"/>
        <v>PRA</v>
      </c>
      <c r="D1268">
        <v>12</v>
      </c>
      <c r="E1268" t="str">
        <f t="shared" si="166"/>
        <v>585</v>
      </c>
      <c r="F1268" t="str">
        <f>" 103"</f>
        <v xml:space="preserve"> 103</v>
      </c>
    </row>
    <row r="1269" spans="1:6">
      <c r="A1269" t="str">
        <f>"E1081-95"</f>
        <v>E1081-95</v>
      </c>
      <c r="B1269" t="str">
        <f t="shared" si="168"/>
        <v>VIA AGOSTINO NOVELLA  25-</v>
      </c>
      <c r="C1269" t="str">
        <f t="shared" si="165"/>
        <v>PRA</v>
      </c>
      <c r="D1269">
        <v>12</v>
      </c>
      <c r="E1269" t="str">
        <f t="shared" si="166"/>
        <v>585</v>
      </c>
      <c r="F1269" t="str">
        <f>" 104"</f>
        <v xml:space="preserve"> 104</v>
      </c>
    </row>
    <row r="1270" spans="1:6">
      <c r="A1270" t="str">
        <f>"E1081-96"</f>
        <v>E1081-96</v>
      </c>
      <c r="B1270" t="str">
        <f t="shared" si="168"/>
        <v>VIA AGOSTINO NOVELLA  25-</v>
      </c>
      <c r="C1270" t="str">
        <f t="shared" si="165"/>
        <v>PRA</v>
      </c>
      <c r="D1270">
        <v>12</v>
      </c>
      <c r="E1270" t="str">
        <f t="shared" si="166"/>
        <v>585</v>
      </c>
      <c r="F1270" t="str">
        <f>" 105"</f>
        <v xml:space="preserve"> 105</v>
      </c>
    </row>
    <row r="1271" spans="1:6">
      <c r="A1271" t="str">
        <f>"E1081-97"</f>
        <v>E1081-97</v>
      </c>
      <c r="B1271" t="str">
        <f t="shared" si="168"/>
        <v>VIA AGOSTINO NOVELLA  25-</v>
      </c>
      <c r="C1271" t="str">
        <f t="shared" si="165"/>
        <v>PRA</v>
      </c>
      <c r="D1271">
        <v>12</v>
      </c>
      <c r="E1271" t="str">
        <f t="shared" si="166"/>
        <v>585</v>
      </c>
      <c r="F1271" t="str">
        <f>" 106"</f>
        <v xml:space="preserve"> 106</v>
      </c>
    </row>
    <row r="1272" spans="1:6">
      <c r="A1272" t="str">
        <f>"E1081-98"</f>
        <v>E1081-98</v>
      </c>
      <c r="B1272" t="str">
        <f t="shared" si="168"/>
        <v>VIA AGOSTINO NOVELLA  25-</v>
      </c>
      <c r="C1272" t="str">
        <f t="shared" si="165"/>
        <v>PRA</v>
      </c>
      <c r="D1272">
        <v>12</v>
      </c>
      <c r="E1272" t="str">
        <f t="shared" si="166"/>
        <v>585</v>
      </c>
      <c r="F1272" t="str">
        <f>" 107"</f>
        <v xml:space="preserve"> 107</v>
      </c>
    </row>
    <row r="1273" spans="1:6">
      <c r="A1273" t="str">
        <f>"E1081-99"</f>
        <v>E1081-99</v>
      </c>
      <c r="B1273" t="str">
        <f t="shared" ref="B1273:B1286" si="169">"VIA AGOSTINO NOVELLA  35-"</f>
        <v>VIA AGOSTINO NOVELLA  35-</v>
      </c>
      <c r="C1273" t="str">
        <f t="shared" si="165"/>
        <v>PRA</v>
      </c>
      <c r="D1273">
        <v>12</v>
      </c>
      <c r="E1273" t="str">
        <f t="shared" si="166"/>
        <v>585</v>
      </c>
      <c r="F1273" t="str">
        <f>" 114"</f>
        <v xml:space="preserve"> 114</v>
      </c>
    </row>
    <row r="1274" spans="1:6">
      <c r="A1274" t="str">
        <f>"E1081-100"</f>
        <v>E1081-100</v>
      </c>
      <c r="B1274" t="str">
        <f t="shared" si="169"/>
        <v>VIA AGOSTINO NOVELLA  35-</v>
      </c>
      <c r="C1274" t="str">
        <f t="shared" si="165"/>
        <v>PRA</v>
      </c>
      <c r="D1274">
        <v>12</v>
      </c>
      <c r="E1274" t="str">
        <f t="shared" si="166"/>
        <v>585</v>
      </c>
      <c r="F1274" t="str">
        <f>" 115"</f>
        <v xml:space="preserve"> 115</v>
      </c>
    </row>
    <row r="1275" spans="1:6">
      <c r="A1275" t="str">
        <f>"E1081-101"</f>
        <v>E1081-101</v>
      </c>
      <c r="B1275" t="str">
        <f t="shared" si="169"/>
        <v>VIA AGOSTINO NOVELLA  35-</v>
      </c>
      <c r="C1275" t="str">
        <f t="shared" si="165"/>
        <v>PRA</v>
      </c>
      <c r="D1275">
        <v>12</v>
      </c>
      <c r="E1275" t="str">
        <f t="shared" si="166"/>
        <v>585</v>
      </c>
      <c r="F1275" t="str">
        <f>" 116"</f>
        <v xml:space="preserve"> 116</v>
      </c>
    </row>
    <row r="1276" spans="1:6">
      <c r="A1276" t="str">
        <f>"E1081-102"</f>
        <v>E1081-102</v>
      </c>
      <c r="B1276" t="str">
        <f t="shared" si="169"/>
        <v>VIA AGOSTINO NOVELLA  35-</v>
      </c>
      <c r="C1276" t="str">
        <f t="shared" si="165"/>
        <v>PRA</v>
      </c>
      <c r="D1276">
        <v>12</v>
      </c>
      <c r="E1276" t="str">
        <f t="shared" si="166"/>
        <v>585</v>
      </c>
      <c r="F1276" t="str">
        <f>" 117"</f>
        <v xml:space="preserve"> 117</v>
      </c>
    </row>
    <row r="1277" spans="1:6">
      <c r="A1277" t="str">
        <f>"E1081-103"</f>
        <v>E1081-103</v>
      </c>
      <c r="B1277" t="str">
        <f t="shared" si="169"/>
        <v>VIA AGOSTINO NOVELLA  35-</v>
      </c>
      <c r="C1277" t="str">
        <f t="shared" si="165"/>
        <v>PRA</v>
      </c>
      <c r="D1277">
        <v>12</v>
      </c>
      <c r="E1277" t="str">
        <f t="shared" si="166"/>
        <v>585</v>
      </c>
      <c r="F1277" t="str">
        <f>" 118"</f>
        <v xml:space="preserve"> 118</v>
      </c>
    </row>
    <row r="1278" spans="1:6">
      <c r="A1278" t="str">
        <f>"E1081-104"</f>
        <v>E1081-104</v>
      </c>
      <c r="B1278" t="str">
        <f t="shared" si="169"/>
        <v>VIA AGOSTINO NOVELLA  35-</v>
      </c>
      <c r="C1278" t="str">
        <f t="shared" si="165"/>
        <v>PRA</v>
      </c>
      <c r="D1278">
        <v>12</v>
      </c>
      <c r="E1278" t="str">
        <f t="shared" si="166"/>
        <v>585</v>
      </c>
      <c r="F1278" t="str">
        <f>" 119"</f>
        <v xml:space="preserve"> 119</v>
      </c>
    </row>
    <row r="1279" spans="1:6">
      <c r="A1279" t="str">
        <f>"E1081-105"</f>
        <v>E1081-105</v>
      </c>
      <c r="B1279" t="str">
        <f t="shared" si="169"/>
        <v>VIA AGOSTINO NOVELLA  35-</v>
      </c>
      <c r="C1279" t="str">
        <f t="shared" si="165"/>
        <v>PRA</v>
      </c>
      <c r="D1279">
        <v>12</v>
      </c>
      <c r="E1279" t="str">
        <f t="shared" si="166"/>
        <v>585</v>
      </c>
      <c r="F1279" t="str">
        <f>" 120"</f>
        <v xml:space="preserve"> 120</v>
      </c>
    </row>
    <row r="1280" spans="1:6">
      <c r="A1280" t="str">
        <f>"E1081-106"</f>
        <v>E1081-106</v>
      </c>
      <c r="B1280" t="str">
        <f t="shared" si="169"/>
        <v>VIA AGOSTINO NOVELLA  35-</v>
      </c>
      <c r="C1280" t="str">
        <f t="shared" si="165"/>
        <v>PRA</v>
      </c>
      <c r="D1280">
        <v>12</v>
      </c>
      <c r="E1280" t="str">
        <f t="shared" si="166"/>
        <v>585</v>
      </c>
      <c r="F1280" t="str">
        <f>" 121"</f>
        <v xml:space="preserve"> 121</v>
      </c>
    </row>
    <row r="1281" spans="1:6">
      <c r="A1281" t="str">
        <f>"E1081-107"</f>
        <v>E1081-107</v>
      </c>
      <c r="B1281" t="str">
        <f t="shared" si="169"/>
        <v>VIA AGOSTINO NOVELLA  35-</v>
      </c>
      <c r="C1281" t="str">
        <f t="shared" si="165"/>
        <v>PRA</v>
      </c>
      <c r="D1281">
        <v>12</v>
      </c>
      <c r="E1281" t="str">
        <f t="shared" si="166"/>
        <v>585</v>
      </c>
      <c r="F1281" t="str">
        <f>" 122"</f>
        <v xml:space="preserve"> 122</v>
      </c>
    </row>
    <row r="1282" spans="1:6">
      <c r="A1282" t="str">
        <f>"E1081-108"</f>
        <v>E1081-108</v>
      </c>
      <c r="B1282" t="str">
        <f t="shared" si="169"/>
        <v>VIA AGOSTINO NOVELLA  35-</v>
      </c>
      <c r="C1282" t="str">
        <f t="shared" si="165"/>
        <v>PRA</v>
      </c>
      <c r="D1282">
        <v>12</v>
      </c>
      <c r="E1282" t="str">
        <f t="shared" si="166"/>
        <v>585</v>
      </c>
      <c r="F1282" t="str">
        <f>" 123"</f>
        <v xml:space="preserve"> 123</v>
      </c>
    </row>
    <row r="1283" spans="1:6">
      <c r="A1283" t="str">
        <f>"E1081-109"</f>
        <v>E1081-109</v>
      </c>
      <c r="B1283" t="str">
        <f t="shared" si="169"/>
        <v>VIA AGOSTINO NOVELLA  35-</v>
      </c>
      <c r="C1283" t="str">
        <f t="shared" si="165"/>
        <v>PRA</v>
      </c>
      <c r="D1283">
        <v>12</v>
      </c>
      <c r="E1283" t="str">
        <f t="shared" si="166"/>
        <v>585</v>
      </c>
      <c r="F1283" t="str">
        <f>" 124"</f>
        <v xml:space="preserve"> 124</v>
      </c>
    </row>
    <row r="1284" spans="1:6">
      <c r="A1284" t="str">
        <f>"E1081-110"</f>
        <v>E1081-110</v>
      </c>
      <c r="B1284" t="str">
        <f t="shared" si="169"/>
        <v>VIA AGOSTINO NOVELLA  35-</v>
      </c>
      <c r="C1284" t="str">
        <f t="shared" si="165"/>
        <v>PRA</v>
      </c>
      <c r="D1284">
        <v>12</v>
      </c>
      <c r="E1284" t="str">
        <f t="shared" si="166"/>
        <v>585</v>
      </c>
      <c r="F1284" t="str">
        <f>" 125"</f>
        <v xml:space="preserve"> 125</v>
      </c>
    </row>
    <row r="1285" spans="1:6">
      <c r="A1285" t="str">
        <f>"E1081-111"</f>
        <v>E1081-111</v>
      </c>
      <c r="B1285" t="str">
        <f t="shared" si="169"/>
        <v>VIA AGOSTINO NOVELLA  35-</v>
      </c>
      <c r="C1285" t="str">
        <f t="shared" si="165"/>
        <v>PRA</v>
      </c>
      <c r="D1285">
        <v>12</v>
      </c>
      <c r="E1285" t="str">
        <f t="shared" si="166"/>
        <v>585</v>
      </c>
      <c r="F1285" t="str">
        <f>" 126"</f>
        <v xml:space="preserve"> 126</v>
      </c>
    </row>
    <row r="1286" spans="1:6">
      <c r="A1286" t="str">
        <f>"E1081-112"</f>
        <v>E1081-112</v>
      </c>
      <c r="B1286" t="str">
        <f t="shared" si="169"/>
        <v>VIA AGOSTINO NOVELLA  35-</v>
      </c>
      <c r="C1286" t="str">
        <f t="shared" si="165"/>
        <v>PRA</v>
      </c>
      <c r="D1286">
        <v>12</v>
      </c>
      <c r="E1286" t="str">
        <f t="shared" si="166"/>
        <v>585</v>
      </c>
      <c r="F1286" t="str">
        <f>" 127"</f>
        <v xml:space="preserve"> 127</v>
      </c>
    </row>
    <row r="1287" spans="1:6">
      <c r="A1287" t="str">
        <f>"E1081-113"</f>
        <v>E1081-113</v>
      </c>
      <c r="B1287" t="str">
        <f t="shared" ref="B1287:B1300" si="170">"VIA AGOSTINO NOVELLA  37-"</f>
        <v>VIA AGOSTINO NOVELLA  37-</v>
      </c>
      <c r="C1287" t="str">
        <f t="shared" si="165"/>
        <v>PRA</v>
      </c>
      <c r="D1287">
        <v>12</v>
      </c>
      <c r="E1287" t="str">
        <f t="shared" si="166"/>
        <v>585</v>
      </c>
      <c r="F1287" t="str">
        <f>" 128"</f>
        <v xml:space="preserve"> 128</v>
      </c>
    </row>
    <row r="1288" spans="1:6">
      <c r="A1288" t="str">
        <f>"E1081-114"</f>
        <v>E1081-114</v>
      </c>
      <c r="B1288" t="str">
        <f t="shared" si="170"/>
        <v>VIA AGOSTINO NOVELLA  37-</v>
      </c>
      <c r="C1288" t="str">
        <f t="shared" si="165"/>
        <v>PRA</v>
      </c>
      <c r="D1288">
        <v>12</v>
      </c>
      <c r="E1288" t="str">
        <f t="shared" si="166"/>
        <v>585</v>
      </c>
      <c r="F1288" t="str">
        <f>" 129"</f>
        <v xml:space="preserve"> 129</v>
      </c>
    </row>
    <row r="1289" spans="1:6">
      <c r="A1289" t="str">
        <f>"E1081-115"</f>
        <v>E1081-115</v>
      </c>
      <c r="B1289" t="str">
        <f t="shared" si="170"/>
        <v>VIA AGOSTINO NOVELLA  37-</v>
      </c>
      <c r="C1289" t="str">
        <f t="shared" si="165"/>
        <v>PRA</v>
      </c>
      <c r="D1289">
        <v>12</v>
      </c>
      <c r="E1289" t="str">
        <f t="shared" si="166"/>
        <v>585</v>
      </c>
      <c r="F1289" t="str">
        <f>" 130"</f>
        <v xml:space="preserve"> 130</v>
      </c>
    </row>
    <row r="1290" spans="1:6">
      <c r="A1290" t="str">
        <f>"E1081-116"</f>
        <v>E1081-116</v>
      </c>
      <c r="B1290" t="str">
        <f t="shared" si="170"/>
        <v>VIA AGOSTINO NOVELLA  37-</v>
      </c>
      <c r="C1290" t="str">
        <f t="shared" si="165"/>
        <v>PRA</v>
      </c>
      <c r="D1290">
        <v>12</v>
      </c>
      <c r="E1290" t="str">
        <f t="shared" si="166"/>
        <v>585</v>
      </c>
      <c r="F1290" t="str">
        <f>" 131"</f>
        <v xml:space="preserve"> 131</v>
      </c>
    </row>
    <row r="1291" spans="1:6">
      <c r="A1291" t="str">
        <f>"E1081-117"</f>
        <v>E1081-117</v>
      </c>
      <c r="B1291" t="str">
        <f t="shared" si="170"/>
        <v>VIA AGOSTINO NOVELLA  37-</v>
      </c>
      <c r="C1291" t="str">
        <f t="shared" si="165"/>
        <v>PRA</v>
      </c>
      <c r="D1291">
        <v>12</v>
      </c>
      <c r="E1291" t="str">
        <f t="shared" si="166"/>
        <v>585</v>
      </c>
      <c r="F1291" t="str">
        <f>" 132"</f>
        <v xml:space="preserve"> 132</v>
      </c>
    </row>
    <row r="1292" spans="1:6">
      <c r="A1292" t="str">
        <f>"E1081-118"</f>
        <v>E1081-118</v>
      </c>
      <c r="B1292" t="str">
        <f t="shared" si="170"/>
        <v>VIA AGOSTINO NOVELLA  37-</v>
      </c>
      <c r="C1292" t="str">
        <f t="shared" si="165"/>
        <v>PRA</v>
      </c>
      <c r="D1292">
        <v>12</v>
      </c>
      <c r="E1292" t="str">
        <f t="shared" si="166"/>
        <v>585</v>
      </c>
      <c r="F1292" t="str">
        <f>" 133"</f>
        <v xml:space="preserve"> 133</v>
      </c>
    </row>
    <row r="1293" spans="1:6">
      <c r="A1293" t="str">
        <f>"E1081-119"</f>
        <v>E1081-119</v>
      </c>
      <c r="B1293" t="str">
        <f t="shared" si="170"/>
        <v>VIA AGOSTINO NOVELLA  37-</v>
      </c>
      <c r="C1293" t="str">
        <f t="shared" si="165"/>
        <v>PRA</v>
      </c>
      <c r="D1293">
        <v>12</v>
      </c>
      <c r="E1293" t="str">
        <f t="shared" si="166"/>
        <v>585</v>
      </c>
      <c r="F1293" t="str">
        <f>" 134"</f>
        <v xml:space="preserve"> 134</v>
      </c>
    </row>
    <row r="1294" spans="1:6">
      <c r="A1294" t="str">
        <f>"E1081-120"</f>
        <v>E1081-120</v>
      </c>
      <c r="B1294" t="str">
        <f t="shared" si="170"/>
        <v>VIA AGOSTINO NOVELLA  37-</v>
      </c>
      <c r="C1294" t="str">
        <f t="shared" si="165"/>
        <v>PRA</v>
      </c>
      <c r="D1294">
        <v>12</v>
      </c>
      <c r="E1294" t="str">
        <f t="shared" si="166"/>
        <v>585</v>
      </c>
      <c r="F1294" t="str">
        <f>" 135"</f>
        <v xml:space="preserve"> 135</v>
      </c>
    </row>
    <row r="1295" spans="1:6">
      <c r="A1295" t="str">
        <f>"E1081-121"</f>
        <v>E1081-121</v>
      </c>
      <c r="B1295" t="str">
        <f t="shared" si="170"/>
        <v>VIA AGOSTINO NOVELLA  37-</v>
      </c>
      <c r="C1295" t="str">
        <f t="shared" si="165"/>
        <v>PRA</v>
      </c>
      <c r="D1295">
        <v>12</v>
      </c>
      <c r="E1295" t="str">
        <f t="shared" si="166"/>
        <v>585</v>
      </c>
      <c r="F1295" t="str">
        <f>" 136"</f>
        <v xml:space="preserve"> 136</v>
      </c>
    </row>
    <row r="1296" spans="1:6">
      <c r="A1296" t="str">
        <f>"E1081-122"</f>
        <v>E1081-122</v>
      </c>
      <c r="B1296" t="str">
        <f t="shared" si="170"/>
        <v>VIA AGOSTINO NOVELLA  37-</v>
      </c>
      <c r="C1296" t="str">
        <f t="shared" si="165"/>
        <v>PRA</v>
      </c>
      <c r="D1296">
        <v>12</v>
      </c>
      <c r="E1296" t="str">
        <f t="shared" si="166"/>
        <v>585</v>
      </c>
      <c r="F1296" t="str">
        <f>" 137"</f>
        <v xml:space="preserve"> 137</v>
      </c>
    </row>
    <row r="1297" spans="1:6">
      <c r="A1297" t="str">
        <f>"E1081-123"</f>
        <v>E1081-123</v>
      </c>
      <c r="B1297" t="str">
        <f t="shared" si="170"/>
        <v>VIA AGOSTINO NOVELLA  37-</v>
      </c>
      <c r="C1297" t="str">
        <f t="shared" si="165"/>
        <v>PRA</v>
      </c>
      <c r="D1297">
        <v>12</v>
      </c>
      <c r="E1297" t="str">
        <f t="shared" si="166"/>
        <v>585</v>
      </c>
      <c r="F1297" t="str">
        <f>" 138"</f>
        <v xml:space="preserve"> 138</v>
      </c>
    </row>
    <row r="1298" spans="1:6">
      <c r="A1298" t="str">
        <f>"E1081-124"</f>
        <v>E1081-124</v>
      </c>
      <c r="B1298" t="str">
        <f t="shared" si="170"/>
        <v>VIA AGOSTINO NOVELLA  37-</v>
      </c>
      <c r="C1298" t="str">
        <f t="shared" si="165"/>
        <v>PRA</v>
      </c>
      <c r="D1298">
        <v>12</v>
      </c>
      <c r="E1298" t="str">
        <f t="shared" si="166"/>
        <v>585</v>
      </c>
      <c r="F1298" t="str">
        <f>" 139"</f>
        <v xml:space="preserve"> 139</v>
      </c>
    </row>
    <row r="1299" spans="1:6">
      <c r="A1299" t="str">
        <f>"E1081-125"</f>
        <v>E1081-125</v>
      </c>
      <c r="B1299" t="str">
        <f t="shared" si="170"/>
        <v>VIA AGOSTINO NOVELLA  37-</v>
      </c>
      <c r="C1299" t="str">
        <f t="shared" si="165"/>
        <v>PRA</v>
      </c>
      <c r="D1299">
        <v>12</v>
      </c>
      <c r="E1299" t="str">
        <f t="shared" si="166"/>
        <v>585</v>
      </c>
      <c r="F1299" t="str">
        <f>" 140"</f>
        <v xml:space="preserve"> 140</v>
      </c>
    </row>
    <row r="1300" spans="1:6">
      <c r="A1300" t="str">
        <f>"E1081-126"</f>
        <v>E1081-126</v>
      </c>
      <c r="B1300" t="str">
        <f t="shared" si="170"/>
        <v>VIA AGOSTINO NOVELLA  37-</v>
      </c>
      <c r="C1300" t="str">
        <f t="shared" si="165"/>
        <v>PRA</v>
      </c>
      <c r="D1300">
        <v>12</v>
      </c>
      <c r="E1300" t="str">
        <f t="shared" si="166"/>
        <v>585</v>
      </c>
      <c r="F1300" t="str">
        <f>" 141"</f>
        <v xml:space="preserve"> 141</v>
      </c>
    </row>
    <row r="1301" spans="1:6">
      <c r="A1301" t="str">
        <f>"E1081-127"</f>
        <v>E1081-127</v>
      </c>
      <c r="B1301" t="str">
        <f t="shared" ref="B1301:B1314" si="171">"VIA AGOSTINO NOVELLA  39-"</f>
        <v>VIA AGOSTINO NOVELLA  39-</v>
      </c>
      <c r="C1301" t="str">
        <f t="shared" si="165"/>
        <v>PRA</v>
      </c>
      <c r="D1301">
        <v>12</v>
      </c>
      <c r="E1301" t="str">
        <f t="shared" si="166"/>
        <v>585</v>
      </c>
      <c r="F1301" t="str">
        <f>" 142"</f>
        <v xml:space="preserve"> 142</v>
      </c>
    </row>
    <row r="1302" spans="1:6">
      <c r="A1302" t="str">
        <f>"E1081-128"</f>
        <v>E1081-128</v>
      </c>
      <c r="B1302" t="str">
        <f t="shared" si="171"/>
        <v>VIA AGOSTINO NOVELLA  39-</v>
      </c>
      <c r="C1302" t="str">
        <f t="shared" si="165"/>
        <v>PRA</v>
      </c>
      <c r="D1302">
        <v>12</v>
      </c>
      <c r="E1302" t="str">
        <f t="shared" si="166"/>
        <v>585</v>
      </c>
      <c r="F1302" t="str">
        <f>" 143"</f>
        <v xml:space="preserve"> 143</v>
      </c>
    </row>
    <row r="1303" spans="1:6">
      <c r="A1303" t="str">
        <f>"E1081-129"</f>
        <v>E1081-129</v>
      </c>
      <c r="B1303" t="str">
        <f t="shared" si="171"/>
        <v>VIA AGOSTINO NOVELLA  39-</v>
      </c>
      <c r="C1303" t="str">
        <f t="shared" ref="C1303:C1366" si="172">"PRA"</f>
        <v>PRA</v>
      </c>
      <c r="D1303">
        <v>12</v>
      </c>
      <c r="E1303" t="str">
        <f t="shared" ref="E1303:E1366" si="173">"585"</f>
        <v>585</v>
      </c>
      <c r="F1303" t="str">
        <f>" 144"</f>
        <v xml:space="preserve"> 144</v>
      </c>
    </row>
    <row r="1304" spans="1:6">
      <c r="A1304" t="str">
        <f>"E1081-130"</f>
        <v>E1081-130</v>
      </c>
      <c r="B1304" t="str">
        <f t="shared" si="171"/>
        <v>VIA AGOSTINO NOVELLA  39-</v>
      </c>
      <c r="C1304" t="str">
        <f t="shared" si="172"/>
        <v>PRA</v>
      </c>
      <c r="D1304">
        <v>12</v>
      </c>
      <c r="E1304" t="str">
        <f t="shared" si="173"/>
        <v>585</v>
      </c>
      <c r="F1304" t="str">
        <f>" 145"</f>
        <v xml:space="preserve"> 145</v>
      </c>
    </row>
    <row r="1305" spans="1:6">
      <c r="A1305" t="str">
        <f>"E1081-131"</f>
        <v>E1081-131</v>
      </c>
      <c r="B1305" t="str">
        <f t="shared" si="171"/>
        <v>VIA AGOSTINO NOVELLA  39-</v>
      </c>
      <c r="C1305" t="str">
        <f t="shared" si="172"/>
        <v>PRA</v>
      </c>
      <c r="D1305">
        <v>12</v>
      </c>
      <c r="E1305" t="str">
        <f t="shared" si="173"/>
        <v>585</v>
      </c>
      <c r="F1305" t="str">
        <f>" 146"</f>
        <v xml:space="preserve"> 146</v>
      </c>
    </row>
    <row r="1306" spans="1:6">
      <c r="A1306" t="str">
        <f>"E1081-132"</f>
        <v>E1081-132</v>
      </c>
      <c r="B1306" t="str">
        <f t="shared" si="171"/>
        <v>VIA AGOSTINO NOVELLA  39-</v>
      </c>
      <c r="C1306" t="str">
        <f t="shared" si="172"/>
        <v>PRA</v>
      </c>
      <c r="D1306">
        <v>12</v>
      </c>
      <c r="E1306" t="str">
        <f t="shared" si="173"/>
        <v>585</v>
      </c>
      <c r="F1306" t="str">
        <f>" 147"</f>
        <v xml:space="preserve"> 147</v>
      </c>
    </row>
    <row r="1307" spans="1:6">
      <c r="A1307" t="str">
        <f>"E1081-133"</f>
        <v>E1081-133</v>
      </c>
      <c r="B1307" t="str">
        <f t="shared" si="171"/>
        <v>VIA AGOSTINO NOVELLA  39-</v>
      </c>
      <c r="C1307" t="str">
        <f t="shared" si="172"/>
        <v>PRA</v>
      </c>
      <c r="D1307">
        <v>12</v>
      </c>
      <c r="E1307" t="str">
        <f t="shared" si="173"/>
        <v>585</v>
      </c>
      <c r="F1307" t="str">
        <f>" 148"</f>
        <v xml:space="preserve"> 148</v>
      </c>
    </row>
    <row r="1308" spans="1:6">
      <c r="A1308" t="str">
        <f>"E1081-134"</f>
        <v>E1081-134</v>
      </c>
      <c r="B1308" t="str">
        <f t="shared" si="171"/>
        <v>VIA AGOSTINO NOVELLA  39-</v>
      </c>
      <c r="C1308" t="str">
        <f t="shared" si="172"/>
        <v>PRA</v>
      </c>
      <c r="D1308">
        <v>12</v>
      </c>
      <c r="E1308" t="str">
        <f t="shared" si="173"/>
        <v>585</v>
      </c>
      <c r="F1308" t="str">
        <f>" 149"</f>
        <v xml:space="preserve"> 149</v>
      </c>
    </row>
    <row r="1309" spans="1:6">
      <c r="A1309" t="str">
        <f>"E1081-135"</f>
        <v>E1081-135</v>
      </c>
      <c r="B1309" t="str">
        <f t="shared" si="171"/>
        <v>VIA AGOSTINO NOVELLA  39-</v>
      </c>
      <c r="C1309" t="str">
        <f t="shared" si="172"/>
        <v>PRA</v>
      </c>
      <c r="D1309">
        <v>12</v>
      </c>
      <c r="E1309" t="str">
        <f t="shared" si="173"/>
        <v>585</v>
      </c>
      <c r="F1309" t="str">
        <f>" 150"</f>
        <v xml:space="preserve"> 150</v>
      </c>
    </row>
    <row r="1310" spans="1:6">
      <c r="A1310" t="str">
        <f>"E1081-136"</f>
        <v>E1081-136</v>
      </c>
      <c r="B1310" t="str">
        <f t="shared" si="171"/>
        <v>VIA AGOSTINO NOVELLA  39-</v>
      </c>
      <c r="C1310" t="str">
        <f t="shared" si="172"/>
        <v>PRA</v>
      </c>
      <c r="D1310">
        <v>12</v>
      </c>
      <c r="E1310" t="str">
        <f t="shared" si="173"/>
        <v>585</v>
      </c>
      <c r="F1310" t="str">
        <f>" 151"</f>
        <v xml:space="preserve"> 151</v>
      </c>
    </row>
    <row r="1311" spans="1:6">
      <c r="A1311" t="str">
        <f>"E1081-137"</f>
        <v>E1081-137</v>
      </c>
      <c r="B1311" t="str">
        <f t="shared" si="171"/>
        <v>VIA AGOSTINO NOVELLA  39-</v>
      </c>
      <c r="C1311" t="str">
        <f t="shared" si="172"/>
        <v>PRA</v>
      </c>
      <c r="D1311">
        <v>12</v>
      </c>
      <c r="E1311" t="str">
        <f t="shared" si="173"/>
        <v>585</v>
      </c>
      <c r="F1311" t="str">
        <f>" 152"</f>
        <v xml:space="preserve"> 152</v>
      </c>
    </row>
    <row r="1312" spans="1:6">
      <c r="A1312" t="str">
        <f>"E1081-138"</f>
        <v>E1081-138</v>
      </c>
      <c r="B1312" t="str">
        <f t="shared" si="171"/>
        <v>VIA AGOSTINO NOVELLA  39-</v>
      </c>
      <c r="C1312" t="str">
        <f t="shared" si="172"/>
        <v>PRA</v>
      </c>
      <c r="D1312">
        <v>12</v>
      </c>
      <c r="E1312" t="str">
        <f t="shared" si="173"/>
        <v>585</v>
      </c>
      <c r="F1312" t="str">
        <f>" 153"</f>
        <v xml:space="preserve"> 153</v>
      </c>
    </row>
    <row r="1313" spans="1:6">
      <c r="A1313" t="str">
        <f>"E1081-139"</f>
        <v>E1081-139</v>
      </c>
      <c r="B1313" t="str">
        <f t="shared" si="171"/>
        <v>VIA AGOSTINO NOVELLA  39-</v>
      </c>
      <c r="C1313" t="str">
        <f t="shared" si="172"/>
        <v>PRA</v>
      </c>
      <c r="D1313">
        <v>12</v>
      </c>
      <c r="E1313" t="str">
        <f t="shared" si="173"/>
        <v>585</v>
      </c>
      <c r="F1313" t="str">
        <f>" 154"</f>
        <v xml:space="preserve"> 154</v>
      </c>
    </row>
    <row r="1314" spans="1:6">
      <c r="A1314" t="str">
        <f>"E1081-140"</f>
        <v>E1081-140</v>
      </c>
      <c r="B1314" t="str">
        <f t="shared" si="171"/>
        <v>VIA AGOSTINO NOVELLA  39-</v>
      </c>
      <c r="C1314" t="str">
        <f t="shared" si="172"/>
        <v>PRA</v>
      </c>
      <c r="D1314">
        <v>12</v>
      </c>
      <c r="E1314" t="str">
        <f t="shared" si="173"/>
        <v>585</v>
      </c>
      <c r="F1314" t="str">
        <f>" 155"</f>
        <v xml:space="preserve"> 155</v>
      </c>
    </row>
    <row r="1315" spans="1:6">
      <c r="A1315" t="str">
        <f>"E1081-141"</f>
        <v>E1081-141</v>
      </c>
      <c r="B1315" t="str">
        <f t="shared" ref="B1315:B1328" si="174">"VIA AGOSTINO NOVELLA  49-"</f>
        <v>VIA AGOSTINO NOVELLA  49-</v>
      </c>
      <c r="C1315" t="str">
        <f t="shared" si="172"/>
        <v>PRA</v>
      </c>
      <c r="D1315">
        <v>12</v>
      </c>
      <c r="E1315" t="str">
        <f t="shared" si="173"/>
        <v>585</v>
      </c>
      <c r="F1315" t="str">
        <f>" 162"</f>
        <v xml:space="preserve"> 162</v>
      </c>
    </row>
    <row r="1316" spans="1:6">
      <c r="A1316" t="str">
        <f>"E1081-142"</f>
        <v>E1081-142</v>
      </c>
      <c r="B1316" t="str">
        <f t="shared" si="174"/>
        <v>VIA AGOSTINO NOVELLA  49-</v>
      </c>
      <c r="C1316" t="str">
        <f t="shared" si="172"/>
        <v>PRA</v>
      </c>
      <c r="D1316">
        <v>12</v>
      </c>
      <c r="E1316" t="str">
        <f t="shared" si="173"/>
        <v>585</v>
      </c>
      <c r="F1316" t="str">
        <f>" 163"</f>
        <v xml:space="preserve"> 163</v>
      </c>
    </row>
    <row r="1317" spans="1:6">
      <c r="A1317" t="str">
        <f>"E1081-143"</f>
        <v>E1081-143</v>
      </c>
      <c r="B1317" t="str">
        <f t="shared" si="174"/>
        <v>VIA AGOSTINO NOVELLA  49-</v>
      </c>
      <c r="C1317" t="str">
        <f t="shared" si="172"/>
        <v>PRA</v>
      </c>
      <c r="D1317">
        <v>12</v>
      </c>
      <c r="E1317" t="str">
        <f t="shared" si="173"/>
        <v>585</v>
      </c>
      <c r="F1317" t="str">
        <f>" 164"</f>
        <v xml:space="preserve"> 164</v>
      </c>
    </row>
    <row r="1318" spans="1:6">
      <c r="A1318" t="str">
        <f>"E1081-144"</f>
        <v>E1081-144</v>
      </c>
      <c r="B1318" t="str">
        <f t="shared" si="174"/>
        <v>VIA AGOSTINO NOVELLA  49-</v>
      </c>
      <c r="C1318" t="str">
        <f t="shared" si="172"/>
        <v>PRA</v>
      </c>
      <c r="D1318">
        <v>12</v>
      </c>
      <c r="E1318" t="str">
        <f t="shared" si="173"/>
        <v>585</v>
      </c>
      <c r="F1318" t="str">
        <f>" 165"</f>
        <v xml:space="preserve"> 165</v>
      </c>
    </row>
    <row r="1319" spans="1:6">
      <c r="A1319" t="str">
        <f>"E1081-145"</f>
        <v>E1081-145</v>
      </c>
      <c r="B1319" t="str">
        <f t="shared" si="174"/>
        <v>VIA AGOSTINO NOVELLA  49-</v>
      </c>
      <c r="C1319" t="str">
        <f t="shared" si="172"/>
        <v>PRA</v>
      </c>
      <c r="D1319">
        <v>12</v>
      </c>
      <c r="E1319" t="str">
        <f t="shared" si="173"/>
        <v>585</v>
      </c>
      <c r="F1319" t="str">
        <f>" 166"</f>
        <v xml:space="preserve"> 166</v>
      </c>
    </row>
    <row r="1320" spans="1:6">
      <c r="A1320" t="str">
        <f>"E1081-146"</f>
        <v>E1081-146</v>
      </c>
      <c r="B1320" t="str">
        <f t="shared" si="174"/>
        <v>VIA AGOSTINO NOVELLA  49-</v>
      </c>
      <c r="C1320" t="str">
        <f t="shared" si="172"/>
        <v>PRA</v>
      </c>
      <c r="D1320">
        <v>12</v>
      </c>
      <c r="E1320" t="str">
        <f t="shared" si="173"/>
        <v>585</v>
      </c>
      <c r="F1320" t="str">
        <f>" 167"</f>
        <v xml:space="preserve"> 167</v>
      </c>
    </row>
    <row r="1321" spans="1:6">
      <c r="A1321" t="str">
        <f>"E1081-147"</f>
        <v>E1081-147</v>
      </c>
      <c r="B1321" t="str">
        <f t="shared" si="174"/>
        <v>VIA AGOSTINO NOVELLA  49-</v>
      </c>
      <c r="C1321" t="str">
        <f t="shared" si="172"/>
        <v>PRA</v>
      </c>
      <c r="D1321">
        <v>12</v>
      </c>
      <c r="E1321" t="str">
        <f t="shared" si="173"/>
        <v>585</v>
      </c>
      <c r="F1321" t="str">
        <f>" 168"</f>
        <v xml:space="preserve"> 168</v>
      </c>
    </row>
    <row r="1322" spans="1:6">
      <c r="A1322" t="str">
        <f>"E1081-148"</f>
        <v>E1081-148</v>
      </c>
      <c r="B1322" t="str">
        <f t="shared" si="174"/>
        <v>VIA AGOSTINO NOVELLA  49-</v>
      </c>
      <c r="C1322" t="str">
        <f t="shared" si="172"/>
        <v>PRA</v>
      </c>
      <c r="D1322">
        <v>12</v>
      </c>
      <c r="E1322" t="str">
        <f t="shared" si="173"/>
        <v>585</v>
      </c>
      <c r="F1322" t="str">
        <f>" 169"</f>
        <v xml:space="preserve"> 169</v>
      </c>
    </row>
    <row r="1323" spans="1:6">
      <c r="A1323" t="str">
        <f>"E1081-149"</f>
        <v>E1081-149</v>
      </c>
      <c r="B1323" t="str">
        <f t="shared" si="174"/>
        <v>VIA AGOSTINO NOVELLA  49-</v>
      </c>
      <c r="C1323" t="str">
        <f t="shared" si="172"/>
        <v>PRA</v>
      </c>
      <c r="D1323">
        <v>12</v>
      </c>
      <c r="E1323" t="str">
        <f t="shared" si="173"/>
        <v>585</v>
      </c>
      <c r="F1323" t="str">
        <f>" 170"</f>
        <v xml:space="preserve"> 170</v>
      </c>
    </row>
    <row r="1324" spans="1:6">
      <c r="A1324" t="str">
        <f>"E1081-150"</f>
        <v>E1081-150</v>
      </c>
      <c r="B1324" t="str">
        <f t="shared" si="174"/>
        <v>VIA AGOSTINO NOVELLA  49-</v>
      </c>
      <c r="C1324" t="str">
        <f t="shared" si="172"/>
        <v>PRA</v>
      </c>
      <c r="D1324">
        <v>12</v>
      </c>
      <c r="E1324" t="str">
        <f t="shared" si="173"/>
        <v>585</v>
      </c>
      <c r="F1324" t="str">
        <f>" 171"</f>
        <v xml:space="preserve"> 171</v>
      </c>
    </row>
    <row r="1325" spans="1:6">
      <c r="A1325" t="str">
        <f>"E1081-151"</f>
        <v>E1081-151</v>
      </c>
      <c r="B1325" t="str">
        <f t="shared" si="174"/>
        <v>VIA AGOSTINO NOVELLA  49-</v>
      </c>
      <c r="C1325" t="str">
        <f t="shared" si="172"/>
        <v>PRA</v>
      </c>
      <c r="D1325">
        <v>12</v>
      </c>
      <c r="E1325" t="str">
        <f t="shared" si="173"/>
        <v>585</v>
      </c>
      <c r="F1325" t="str">
        <f>" 172"</f>
        <v xml:space="preserve"> 172</v>
      </c>
    </row>
    <row r="1326" spans="1:6">
      <c r="A1326" t="str">
        <f>"E1081-152"</f>
        <v>E1081-152</v>
      </c>
      <c r="B1326" t="str">
        <f t="shared" si="174"/>
        <v>VIA AGOSTINO NOVELLA  49-</v>
      </c>
      <c r="C1326" t="str">
        <f t="shared" si="172"/>
        <v>PRA</v>
      </c>
      <c r="D1326">
        <v>12</v>
      </c>
      <c r="E1326" t="str">
        <f t="shared" si="173"/>
        <v>585</v>
      </c>
      <c r="F1326" t="str">
        <f>" 173"</f>
        <v xml:space="preserve"> 173</v>
      </c>
    </row>
    <row r="1327" spans="1:6">
      <c r="A1327" t="str">
        <f>"E1081-153"</f>
        <v>E1081-153</v>
      </c>
      <c r="B1327" t="str">
        <f t="shared" si="174"/>
        <v>VIA AGOSTINO NOVELLA  49-</v>
      </c>
      <c r="C1327" t="str">
        <f t="shared" si="172"/>
        <v>PRA</v>
      </c>
      <c r="D1327">
        <v>12</v>
      </c>
      <c r="E1327" t="str">
        <f t="shared" si="173"/>
        <v>585</v>
      </c>
      <c r="F1327" t="str">
        <f>" 174"</f>
        <v xml:space="preserve"> 174</v>
      </c>
    </row>
    <row r="1328" spans="1:6">
      <c r="A1328" t="str">
        <f>"E1081-154"</f>
        <v>E1081-154</v>
      </c>
      <c r="B1328" t="str">
        <f t="shared" si="174"/>
        <v>VIA AGOSTINO NOVELLA  49-</v>
      </c>
      <c r="C1328" t="str">
        <f t="shared" si="172"/>
        <v>PRA</v>
      </c>
      <c r="D1328">
        <v>12</v>
      </c>
      <c r="E1328" t="str">
        <f t="shared" si="173"/>
        <v>585</v>
      </c>
      <c r="F1328" t="str">
        <f>" 175"</f>
        <v xml:space="preserve"> 175</v>
      </c>
    </row>
    <row r="1329" spans="1:6">
      <c r="A1329" t="str">
        <f>"E1081-155"</f>
        <v>E1081-155</v>
      </c>
      <c r="B1329" t="str">
        <f t="shared" ref="B1329:B1342" si="175">"VIA AGOSTINO NOVELLA  51-"</f>
        <v>VIA AGOSTINO NOVELLA  51-</v>
      </c>
      <c r="C1329" t="str">
        <f t="shared" si="172"/>
        <v>PRA</v>
      </c>
      <c r="D1329">
        <v>12</v>
      </c>
      <c r="E1329" t="str">
        <f t="shared" si="173"/>
        <v>585</v>
      </c>
      <c r="F1329" t="str">
        <f>" 176"</f>
        <v xml:space="preserve"> 176</v>
      </c>
    </row>
    <row r="1330" spans="1:6">
      <c r="A1330" t="str">
        <f>"E1081-156"</f>
        <v>E1081-156</v>
      </c>
      <c r="B1330" t="str">
        <f t="shared" si="175"/>
        <v>VIA AGOSTINO NOVELLA  51-</v>
      </c>
      <c r="C1330" t="str">
        <f t="shared" si="172"/>
        <v>PRA</v>
      </c>
      <c r="D1330">
        <v>12</v>
      </c>
      <c r="E1330" t="str">
        <f t="shared" si="173"/>
        <v>585</v>
      </c>
      <c r="F1330" t="str">
        <f>" 177"</f>
        <v xml:space="preserve"> 177</v>
      </c>
    </row>
    <row r="1331" spans="1:6">
      <c r="A1331" t="str">
        <f>"E1081-157"</f>
        <v>E1081-157</v>
      </c>
      <c r="B1331" t="str">
        <f t="shared" si="175"/>
        <v>VIA AGOSTINO NOVELLA  51-</v>
      </c>
      <c r="C1331" t="str">
        <f t="shared" si="172"/>
        <v>PRA</v>
      </c>
      <c r="D1331">
        <v>12</v>
      </c>
      <c r="E1331" t="str">
        <f t="shared" si="173"/>
        <v>585</v>
      </c>
      <c r="F1331" t="str">
        <f>" 178"</f>
        <v xml:space="preserve"> 178</v>
      </c>
    </row>
    <row r="1332" spans="1:6">
      <c r="A1332" t="str">
        <f>"E1081-158"</f>
        <v>E1081-158</v>
      </c>
      <c r="B1332" t="str">
        <f t="shared" si="175"/>
        <v>VIA AGOSTINO NOVELLA  51-</v>
      </c>
      <c r="C1332" t="str">
        <f t="shared" si="172"/>
        <v>PRA</v>
      </c>
      <c r="D1332">
        <v>12</v>
      </c>
      <c r="E1332" t="str">
        <f t="shared" si="173"/>
        <v>585</v>
      </c>
      <c r="F1332" t="str">
        <f>" 179"</f>
        <v xml:space="preserve"> 179</v>
      </c>
    </row>
    <row r="1333" spans="1:6">
      <c r="A1333" t="str">
        <f>"E1081-159"</f>
        <v>E1081-159</v>
      </c>
      <c r="B1333" t="str">
        <f t="shared" si="175"/>
        <v>VIA AGOSTINO NOVELLA  51-</v>
      </c>
      <c r="C1333" t="str">
        <f t="shared" si="172"/>
        <v>PRA</v>
      </c>
      <c r="D1333">
        <v>12</v>
      </c>
      <c r="E1333" t="str">
        <f t="shared" si="173"/>
        <v>585</v>
      </c>
      <c r="F1333" t="str">
        <f>" 180"</f>
        <v xml:space="preserve"> 180</v>
      </c>
    </row>
    <row r="1334" spans="1:6">
      <c r="A1334" t="str">
        <f>"E1081-160"</f>
        <v>E1081-160</v>
      </c>
      <c r="B1334" t="str">
        <f t="shared" si="175"/>
        <v>VIA AGOSTINO NOVELLA  51-</v>
      </c>
      <c r="C1334" t="str">
        <f t="shared" si="172"/>
        <v>PRA</v>
      </c>
      <c r="D1334">
        <v>12</v>
      </c>
      <c r="E1334" t="str">
        <f t="shared" si="173"/>
        <v>585</v>
      </c>
      <c r="F1334" t="str">
        <f>" 181"</f>
        <v xml:space="preserve"> 181</v>
      </c>
    </row>
    <row r="1335" spans="1:6">
      <c r="A1335" t="str">
        <f>"E1081-161"</f>
        <v>E1081-161</v>
      </c>
      <c r="B1335" t="str">
        <f t="shared" si="175"/>
        <v>VIA AGOSTINO NOVELLA  51-</v>
      </c>
      <c r="C1335" t="str">
        <f t="shared" si="172"/>
        <v>PRA</v>
      </c>
      <c r="D1335">
        <v>12</v>
      </c>
      <c r="E1335" t="str">
        <f t="shared" si="173"/>
        <v>585</v>
      </c>
      <c r="F1335" t="str">
        <f>" 182"</f>
        <v xml:space="preserve"> 182</v>
      </c>
    </row>
    <row r="1336" spans="1:6">
      <c r="A1336" t="str">
        <f>"E1081-162"</f>
        <v>E1081-162</v>
      </c>
      <c r="B1336" t="str">
        <f t="shared" si="175"/>
        <v>VIA AGOSTINO NOVELLA  51-</v>
      </c>
      <c r="C1336" t="str">
        <f t="shared" si="172"/>
        <v>PRA</v>
      </c>
      <c r="D1336">
        <v>12</v>
      </c>
      <c r="E1336" t="str">
        <f t="shared" si="173"/>
        <v>585</v>
      </c>
      <c r="F1336" t="str">
        <f>" 183"</f>
        <v xml:space="preserve"> 183</v>
      </c>
    </row>
    <row r="1337" spans="1:6">
      <c r="A1337" t="str">
        <f>"E1081-163"</f>
        <v>E1081-163</v>
      </c>
      <c r="B1337" t="str">
        <f t="shared" si="175"/>
        <v>VIA AGOSTINO NOVELLA  51-</v>
      </c>
      <c r="C1337" t="str">
        <f t="shared" si="172"/>
        <v>PRA</v>
      </c>
      <c r="D1337">
        <v>12</v>
      </c>
      <c r="E1337" t="str">
        <f t="shared" si="173"/>
        <v>585</v>
      </c>
      <c r="F1337" t="str">
        <f>" 184"</f>
        <v xml:space="preserve"> 184</v>
      </c>
    </row>
    <row r="1338" spans="1:6">
      <c r="A1338" t="str">
        <f>"E1081-164"</f>
        <v>E1081-164</v>
      </c>
      <c r="B1338" t="str">
        <f t="shared" si="175"/>
        <v>VIA AGOSTINO NOVELLA  51-</v>
      </c>
      <c r="C1338" t="str">
        <f t="shared" si="172"/>
        <v>PRA</v>
      </c>
      <c r="D1338">
        <v>12</v>
      </c>
      <c r="E1338" t="str">
        <f t="shared" si="173"/>
        <v>585</v>
      </c>
      <c r="F1338" t="str">
        <f>" 185"</f>
        <v xml:space="preserve"> 185</v>
      </c>
    </row>
    <row r="1339" spans="1:6">
      <c r="A1339" t="str">
        <f>"E1081-165"</f>
        <v>E1081-165</v>
      </c>
      <c r="B1339" t="str">
        <f t="shared" si="175"/>
        <v>VIA AGOSTINO NOVELLA  51-</v>
      </c>
      <c r="C1339" t="str">
        <f t="shared" si="172"/>
        <v>PRA</v>
      </c>
      <c r="D1339">
        <v>12</v>
      </c>
      <c r="E1339" t="str">
        <f t="shared" si="173"/>
        <v>585</v>
      </c>
      <c r="F1339" t="str">
        <f>" 186"</f>
        <v xml:space="preserve"> 186</v>
      </c>
    </row>
    <row r="1340" spans="1:6">
      <c r="A1340" t="str">
        <f>"E1081-166"</f>
        <v>E1081-166</v>
      </c>
      <c r="B1340" t="str">
        <f t="shared" si="175"/>
        <v>VIA AGOSTINO NOVELLA  51-</v>
      </c>
      <c r="C1340" t="str">
        <f t="shared" si="172"/>
        <v>PRA</v>
      </c>
      <c r="D1340">
        <v>12</v>
      </c>
      <c r="E1340" t="str">
        <f t="shared" si="173"/>
        <v>585</v>
      </c>
      <c r="F1340" t="str">
        <f>" 187"</f>
        <v xml:space="preserve"> 187</v>
      </c>
    </row>
    <row r="1341" spans="1:6">
      <c r="A1341" t="str">
        <f>"E1081-167"</f>
        <v>E1081-167</v>
      </c>
      <c r="B1341" t="str">
        <f t="shared" si="175"/>
        <v>VIA AGOSTINO NOVELLA  51-</v>
      </c>
      <c r="C1341" t="str">
        <f t="shared" si="172"/>
        <v>PRA</v>
      </c>
      <c r="D1341">
        <v>12</v>
      </c>
      <c r="E1341" t="str">
        <f t="shared" si="173"/>
        <v>585</v>
      </c>
      <c r="F1341" t="str">
        <f>" 188"</f>
        <v xml:space="preserve"> 188</v>
      </c>
    </row>
    <row r="1342" spans="1:6">
      <c r="A1342" t="str">
        <f>"E1081-168"</f>
        <v>E1081-168</v>
      </c>
      <c r="B1342" t="str">
        <f t="shared" si="175"/>
        <v>VIA AGOSTINO NOVELLA  51-</v>
      </c>
      <c r="C1342" t="str">
        <f t="shared" si="172"/>
        <v>PRA</v>
      </c>
      <c r="D1342">
        <v>12</v>
      </c>
      <c r="E1342" t="str">
        <f t="shared" si="173"/>
        <v>585</v>
      </c>
      <c r="F1342" t="str">
        <f>" 189"</f>
        <v xml:space="preserve"> 189</v>
      </c>
    </row>
    <row r="1343" spans="1:6">
      <c r="A1343" t="str">
        <f>"E1081-169"</f>
        <v>E1081-169</v>
      </c>
      <c r="B1343" t="str">
        <f t="shared" ref="B1343:B1356" si="176">"VIA AGOSTINO NOVELLA  53-"</f>
        <v>VIA AGOSTINO NOVELLA  53-</v>
      </c>
      <c r="C1343" t="str">
        <f t="shared" si="172"/>
        <v>PRA</v>
      </c>
      <c r="D1343">
        <v>12</v>
      </c>
      <c r="E1343" t="str">
        <f t="shared" si="173"/>
        <v>585</v>
      </c>
      <c r="F1343" t="str">
        <f>" 190"</f>
        <v xml:space="preserve"> 190</v>
      </c>
    </row>
    <row r="1344" spans="1:6">
      <c r="A1344" t="str">
        <f>"E1081-170"</f>
        <v>E1081-170</v>
      </c>
      <c r="B1344" t="str">
        <f t="shared" si="176"/>
        <v>VIA AGOSTINO NOVELLA  53-</v>
      </c>
      <c r="C1344" t="str">
        <f t="shared" si="172"/>
        <v>PRA</v>
      </c>
      <c r="D1344">
        <v>12</v>
      </c>
      <c r="E1344" t="str">
        <f t="shared" si="173"/>
        <v>585</v>
      </c>
      <c r="F1344" t="str">
        <f>" 191"</f>
        <v xml:space="preserve"> 191</v>
      </c>
    </row>
    <row r="1345" spans="1:6">
      <c r="A1345" t="str">
        <f>"E1081-171"</f>
        <v>E1081-171</v>
      </c>
      <c r="B1345" t="str">
        <f t="shared" si="176"/>
        <v>VIA AGOSTINO NOVELLA  53-</v>
      </c>
      <c r="C1345" t="str">
        <f t="shared" si="172"/>
        <v>PRA</v>
      </c>
      <c r="D1345">
        <v>12</v>
      </c>
      <c r="E1345" t="str">
        <f t="shared" si="173"/>
        <v>585</v>
      </c>
      <c r="F1345" t="str">
        <f>" 192"</f>
        <v xml:space="preserve"> 192</v>
      </c>
    </row>
    <row r="1346" spans="1:6">
      <c r="A1346" t="str">
        <f>"E1081-172"</f>
        <v>E1081-172</v>
      </c>
      <c r="B1346" t="str">
        <f t="shared" si="176"/>
        <v>VIA AGOSTINO NOVELLA  53-</v>
      </c>
      <c r="C1346" t="str">
        <f t="shared" si="172"/>
        <v>PRA</v>
      </c>
      <c r="D1346">
        <v>12</v>
      </c>
      <c r="E1346" t="str">
        <f t="shared" si="173"/>
        <v>585</v>
      </c>
      <c r="F1346" t="str">
        <f>" 193"</f>
        <v xml:space="preserve"> 193</v>
      </c>
    </row>
    <row r="1347" spans="1:6">
      <c r="A1347" t="str">
        <f>"E1081-173"</f>
        <v>E1081-173</v>
      </c>
      <c r="B1347" t="str">
        <f t="shared" si="176"/>
        <v>VIA AGOSTINO NOVELLA  53-</v>
      </c>
      <c r="C1347" t="str">
        <f t="shared" si="172"/>
        <v>PRA</v>
      </c>
      <c r="D1347">
        <v>12</v>
      </c>
      <c r="E1347" t="str">
        <f t="shared" si="173"/>
        <v>585</v>
      </c>
      <c r="F1347" t="str">
        <f>" 194"</f>
        <v xml:space="preserve"> 194</v>
      </c>
    </row>
    <row r="1348" spans="1:6">
      <c r="A1348" t="str">
        <f>"E1081-174"</f>
        <v>E1081-174</v>
      </c>
      <c r="B1348" t="str">
        <f t="shared" si="176"/>
        <v>VIA AGOSTINO NOVELLA  53-</v>
      </c>
      <c r="C1348" t="str">
        <f t="shared" si="172"/>
        <v>PRA</v>
      </c>
      <c r="D1348">
        <v>12</v>
      </c>
      <c r="E1348" t="str">
        <f t="shared" si="173"/>
        <v>585</v>
      </c>
      <c r="F1348" t="str">
        <f>" 195"</f>
        <v xml:space="preserve"> 195</v>
      </c>
    </row>
    <row r="1349" spans="1:6">
      <c r="A1349" t="str">
        <f>"E1081-175"</f>
        <v>E1081-175</v>
      </c>
      <c r="B1349" t="str">
        <f t="shared" si="176"/>
        <v>VIA AGOSTINO NOVELLA  53-</v>
      </c>
      <c r="C1349" t="str">
        <f t="shared" si="172"/>
        <v>PRA</v>
      </c>
      <c r="D1349">
        <v>12</v>
      </c>
      <c r="E1349" t="str">
        <f t="shared" si="173"/>
        <v>585</v>
      </c>
      <c r="F1349" t="str">
        <f>" 196"</f>
        <v xml:space="preserve"> 196</v>
      </c>
    </row>
    <row r="1350" spans="1:6">
      <c r="A1350" t="str">
        <f>"E1081-176"</f>
        <v>E1081-176</v>
      </c>
      <c r="B1350" t="str">
        <f t="shared" si="176"/>
        <v>VIA AGOSTINO NOVELLA  53-</v>
      </c>
      <c r="C1350" t="str">
        <f t="shared" si="172"/>
        <v>PRA</v>
      </c>
      <c r="D1350">
        <v>12</v>
      </c>
      <c r="E1350" t="str">
        <f t="shared" si="173"/>
        <v>585</v>
      </c>
      <c r="F1350" t="str">
        <f>" 197"</f>
        <v xml:space="preserve"> 197</v>
      </c>
    </row>
    <row r="1351" spans="1:6">
      <c r="A1351" t="str">
        <f>"E1081-177"</f>
        <v>E1081-177</v>
      </c>
      <c r="B1351" t="str">
        <f t="shared" si="176"/>
        <v>VIA AGOSTINO NOVELLA  53-</v>
      </c>
      <c r="C1351" t="str">
        <f t="shared" si="172"/>
        <v>PRA</v>
      </c>
      <c r="D1351">
        <v>12</v>
      </c>
      <c r="E1351" t="str">
        <f t="shared" si="173"/>
        <v>585</v>
      </c>
      <c r="F1351" t="str">
        <f>" 198"</f>
        <v xml:space="preserve"> 198</v>
      </c>
    </row>
    <row r="1352" spans="1:6">
      <c r="A1352" t="str">
        <f>"E1081-178"</f>
        <v>E1081-178</v>
      </c>
      <c r="B1352" t="str">
        <f t="shared" si="176"/>
        <v>VIA AGOSTINO NOVELLA  53-</v>
      </c>
      <c r="C1352" t="str">
        <f t="shared" si="172"/>
        <v>PRA</v>
      </c>
      <c r="D1352">
        <v>12</v>
      </c>
      <c r="E1352" t="str">
        <f t="shared" si="173"/>
        <v>585</v>
      </c>
      <c r="F1352" t="str">
        <f>" 199"</f>
        <v xml:space="preserve"> 199</v>
      </c>
    </row>
    <row r="1353" spans="1:6">
      <c r="A1353" t="str">
        <f>"E1081-179"</f>
        <v>E1081-179</v>
      </c>
      <c r="B1353" t="str">
        <f t="shared" si="176"/>
        <v>VIA AGOSTINO NOVELLA  53-</v>
      </c>
      <c r="C1353" t="str">
        <f t="shared" si="172"/>
        <v>PRA</v>
      </c>
      <c r="D1353">
        <v>12</v>
      </c>
      <c r="E1353" t="str">
        <f t="shared" si="173"/>
        <v>585</v>
      </c>
      <c r="F1353" t="str">
        <f>" 200"</f>
        <v xml:space="preserve"> 200</v>
      </c>
    </row>
    <row r="1354" spans="1:6">
      <c r="A1354" t="str">
        <f>"E1081-180"</f>
        <v>E1081-180</v>
      </c>
      <c r="B1354" t="str">
        <f t="shared" si="176"/>
        <v>VIA AGOSTINO NOVELLA  53-</v>
      </c>
      <c r="C1354" t="str">
        <f t="shared" si="172"/>
        <v>PRA</v>
      </c>
      <c r="D1354">
        <v>12</v>
      </c>
      <c r="E1354" t="str">
        <f t="shared" si="173"/>
        <v>585</v>
      </c>
      <c r="F1354" t="str">
        <f>" 201"</f>
        <v xml:space="preserve"> 201</v>
      </c>
    </row>
    <row r="1355" spans="1:6">
      <c r="A1355" t="str">
        <f>"E1081-181"</f>
        <v>E1081-181</v>
      </c>
      <c r="B1355" t="str">
        <f t="shared" si="176"/>
        <v>VIA AGOSTINO NOVELLA  53-</v>
      </c>
      <c r="C1355" t="str">
        <f t="shared" si="172"/>
        <v>PRA</v>
      </c>
      <c r="D1355">
        <v>12</v>
      </c>
      <c r="E1355" t="str">
        <f t="shared" si="173"/>
        <v>585</v>
      </c>
      <c r="F1355" t="str">
        <f>" 202"</f>
        <v xml:space="preserve"> 202</v>
      </c>
    </row>
    <row r="1356" spans="1:6">
      <c r="A1356" t="str">
        <f>"E1081-182"</f>
        <v>E1081-182</v>
      </c>
      <c r="B1356" t="str">
        <f t="shared" si="176"/>
        <v>VIA AGOSTINO NOVELLA  53-</v>
      </c>
      <c r="C1356" t="str">
        <f t="shared" si="172"/>
        <v>PRA</v>
      </c>
      <c r="D1356">
        <v>12</v>
      </c>
      <c r="E1356" t="str">
        <f t="shared" si="173"/>
        <v>585</v>
      </c>
      <c r="F1356" t="str">
        <f>" 203"</f>
        <v xml:space="preserve"> 203</v>
      </c>
    </row>
    <row r="1357" spans="1:6">
      <c r="A1357" t="str">
        <f>"E1081-183"</f>
        <v>E1081-183</v>
      </c>
      <c r="B1357" t="str">
        <f t="shared" ref="B1357:B1370" si="177">"VIA AGOSTINO NOVELLA  55-"</f>
        <v>VIA AGOSTINO NOVELLA  55-</v>
      </c>
      <c r="C1357" t="str">
        <f t="shared" si="172"/>
        <v>PRA</v>
      </c>
      <c r="D1357">
        <v>12</v>
      </c>
      <c r="E1357" t="str">
        <f t="shared" si="173"/>
        <v>585</v>
      </c>
      <c r="F1357" t="str">
        <f>" 204"</f>
        <v xml:space="preserve"> 204</v>
      </c>
    </row>
    <row r="1358" spans="1:6">
      <c r="A1358" t="str">
        <f>"E1081-184"</f>
        <v>E1081-184</v>
      </c>
      <c r="B1358" t="str">
        <f t="shared" si="177"/>
        <v>VIA AGOSTINO NOVELLA  55-</v>
      </c>
      <c r="C1358" t="str">
        <f t="shared" si="172"/>
        <v>PRA</v>
      </c>
      <c r="D1358">
        <v>12</v>
      </c>
      <c r="E1358" t="str">
        <f t="shared" si="173"/>
        <v>585</v>
      </c>
      <c r="F1358" t="str">
        <f>" 205"</f>
        <v xml:space="preserve"> 205</v>
      </c>
    </row>
    <row r="1359" spans="1:6">
      <c r="A1359" t="str">
        <f>"E1081-185"</f>
        <v>E1081-185</v>
      </c>
      <c r="B1359" t="str">
        <f t="shared" si="177"/>
        <v>VIA AGOSTINO NOVELLA  55-</v>
      </c>
      <c r="C1359" t="str">
        <f t="shared" si="172"/>
        <v>PRA</v>
      </c>
      <c r="D1359">
        <v>12</v>
      </c>
      <c r="E1359" t="str">
        <f t="shared" si="173"/>
        <v>585</v>
      </c>
      <c r="F1359" t="str">
        <f>" 206"</f>
        <v xml:space="preserve"> 206</v>
      </c>
    </row>
    <row r="1360" spans="1:6">
      <c r="A1360" t="str">
        <f>"E1081-186"</f>
        <v>E1081-186</v>
      </c>
      <c r="B1360" t="str">
        <f t="shared" si="177"/>
        <v>VIA AGOSTINO NOVELLA  55-</v>
      </c>
      <c r="C1360" t="str">
        <f t="shared" si="172"/>
        <v>PRA</v>
      </c>
      <c r="D1360">
        <v>12</v>
      </c>
      <c r="E1360" t="str">
        <f t="shared" si="173"/>
        <v>585</v>
      </c>
      <c r="F1360" t="str">
        <f>" 207"</f>
        <v xml:space="preserve"> 207</v>
      </c>
    </row>
    <row r="1361" spans="1:6">
      <c r="A1361" t="str">
        <f>"E1081-187"</f>
        <v>E1081-187</v>
      </c>
      <c r="B1361" t="str">
        <f t="shared" si="177"/>
        <v>VIA AGOSTINO NOVELLA  55-</v>
      </c>
      <c r="C1361" t="str">
        <f t="shared" si="172"/>
        <v>PRA</v>
      </c>
      <c r="D1361">
        <v>12</v>
      </c>
      <c r="E1361" t="str">
        <f t="shared" si="173"/>
        <v>585</v>
      </c>
      <c r="F1361" t="str">
        <f>" 208"</f>
        <v xml:space="preserve"> 208</v>
      </c>
    </row>
    <row r="1362" spans="1:6">
      <c r="A1362" t="str">
        <f>"E1081-188"</f>
        <v>E1081-188</v>
      </c>
      <c r="B1362" t="str">
        <f t="shared" si="177"/>
        <v>VIA AGOSTINO NOVELLA  55-</v>
      </c>
      <c r="C1362" t="str">
        <f t="shared" si="172"/>
        <v>PRA</v>
      </c>
      <c r="D1362">
        <v>12</v>
      </c>
      <c r="E1362" t="str">
        <f t="shared" si="173"/>
        <v>585</v>
      </c>
      <c r="F1362" t="str">
        <f>" 209"</f>
        <v xml:space="preserve"> 209</v>
      </c>
    </row>
    <row r="1363" spans="1:6">
      <c r="A1363" t="str">
        <f>"E1081-189"</f>
        <v>E1081-189</v>
      </c>
      <c r="B1363" t="str">
        <f t="shared" si="177"/>
        <v>VIA AGOSTINO NOVELLA  55-</v>
      </c>
      <c r="C1363" t="str">
        <f t="shared" si="172"/>
        <v>PRA</v>
      </c>
      <c r="D1363">
        <v>12</v>
      </c>
      <c r="E1363" t="str">
        <f t="shared" si="173"/>
        <v>585</v>
      </c>
      <c r="F1363" t="str">
        <f>" 210"</f>
        <v xml:space="preserve"> 210</v>
      </c>
    </row>
    <row r="1364" spans="1:6">
      <c r="A1364" t="str">
        <f>"E1081-190"</f>
        <v>E1081-190</v>
      </c>
      <c r="B1364" t="str">
        <f t="shared" si="177"/>
        <v>VIA AGOSTINO NOVELLA  55-</v>
      </c>
      <c r="C1364" t="str">
        <f t="shared" si="172"/>
        <v>PRA</v>
      </c>
      <c r="D1364">
        <v>12</v>
      </c>
      <c r="E1364" t="str">
        <f t="shared" si="173"/>
        <v>585</v>
      </c>
      <c r="F1364" t="str">
        <f>" 211"</f>
        <v xml:space="preserve"> 211</v>
      </c>
    </row>
    <row r="1365" spans="1:6">
      <c r="A1365" t="str">
        <f>"E1081-191"</f>
        <v>E1081-191</v>
      </c>
      <c r="B1365" t="str">
        <f t="shared" si="177"/>
        <v>VIA AGOSTINO NOVELLA  55-</v>
      </c>
      <c r="C1365" t="str">
        <f t="shared" si="172"/>
        <v>PRA</v>
      </c>
      <c r="D1365">
        <v>12</v>
      </c>
      <c r="E1365" t="str">
        <f t="shared" si="173"/>
        <v>585</v>
      </c>
      <c r="F1365" t="str">
        <f>" 212"</f>
        <v xml:space="preserve"> 212</v>
      </c>
    </row>
    <row r="1366" spans="1:6">
      <c r="A1366" t="str">
        <f>"E1081-192"</f>
        <v>E1081-192</v>
      </c>
      <c r="B1366" t="str">
        <f t="shared" si="177"/>
        <v>VIA AGOSTINO NOVELLA  55-</v>
      </c>
      <c r="C1366" t="str">
        <f t="shared" si="172"/>
        <v>PRA</v>
      </c>
      <c r="D1366">
        <v>12</v>
      </c>
      <c r="E1366" t="str">
        <f t="shared" si="173"/>
        <v>585</v>
      </c>
      <c r="F1366" t="str">
        <f>" 213"</f>
        <v xml:space="preserve"> 213</v>
      </c>
    </row>
    <row r="1367" spans="1:6">
      <c r="A1367" t="str">
        <f>"E1081-193"</f>
        <v>E1081-193</v>
      </c>
      <c r="B1367" t="str">
        <f t="shared" si="177"/>
        <v>VIA AGOSTINO NOVELLA  55-</v>
      </c>
      <c r="C1367" t="str">
        <f t="shared" ref="C1367:C1429" si="178">"PRA"</f>
        <v>PRA</v>
      </c>
      <c r="D1367">
        <v>12</v>
      </c>
      <c r="E1367" t="str">
        <f t="shared" ref="E1367:E1429" si="179">"585"</f>
        <v>585</v>
      </c>
      <c r="F1367" t="str">
        <f>" 214"</f>
        <v xml:space="preserve"> 214</v>
      </c>
    </row>
    <row r="1368" spans="1:6">
      <c r="A1368" t="str">
        <f>"E1081-194"</f>
        <v>E1081-194</v>
      </c>
      <c r="B1368" t="str">
        <f t="shared" si="177"/>
        <v>VIA AGOSTINO NOVELLA  55-</v>
      </c>
      <c r="C1368" t="str">
        <f t="shared" si="178"/>
        <v>PRA</v>
      </c>
      <c r="D1368">
        <v>12</v>
      </c>
      <c r="E1368" t="str">
        <f t="shared" si="179"/>
        <v>585</v>
      </c>
      <c r="F1368" t="str">
        <f>" 215"</f>
        <v xml:space="preserve"> 215</v>
      </c>
    </row>
    <row r="1369" spans="1:6">
      <c r="A1369" t="str">
        <f>"E1081-195"</f>
        <v>E1081-195</v>
      </c>
      <c r="B1369" t="str">
        <f t="shared" si="177"/>
        <v>VIA AGOSTINO NOVELLA  55-</v>
      </c>
      <c r="C1369" t="str">
        <f t="shared" si="178"/>
        <v>PRA</v>
      </c>
      <c r="D1369">
        <v>12</v>
      </c>
      <c r="E1369" t="str">
        <f t="shared" si="179"/>
        <v>585</v>
      </c>
      <c r="F1369" t="str">
        <f>" 216"</f>
        <v xml:space="preserve"> 216</v>
      </c>
    </row>
    <row r="1370" spans="1:6">
      <c r="A1370" t="str">
        <f>"E1081-196"</f>
        <v>E1081-196</v>
      </c>
      <c r="B1370" t="str">
        <f t="shared" si="177"/>
        <v>VIA AGOSTINO NOVELLA  55-</v>
      </c>
      <c r="C1370" t="str">
        <f t="shared" si="178"/>
        <v>PRA</v>
      </c>
      <c r="D1370">
        <v>12</v>
      </c>
      <c r="E1370" t="str">
        <f t="shared" si="179"/>
        <v>585</v>
      </c>
      <c r="F1370" t="str">
        <f>" 217"</f>
        <v xml:space="preserve"> 217</v>
      </c>
    </row>
    <row r="1371" spans="1:6">
      <c r="A1371" t="str">
        <f>"E1081-197"</f>
        <v>E1081-197</v>
      </c>
      <c r="B1371" t="str">
        <f t="shared" ref="B1371:B1384" si="180">"VIA AGOSTINO NOVELLA  57-"</f>
        <v>VIA AGOSTINO NOVELLA  57-</v>
      </c>
      <c r="C1371" t="str">
        <f t="shared" si="178"/>
        <v>PRA</v>
      </c>
      <c r="D1371">
        <v>12</v>
      </c>
      <c r="E1371" t="str">
        <f t="shared" si="179"/>
        <v>585</v>
      </c>
      <c r="F1371" t="str">
        <f>" 218"</f>
        <v xml:space="preserve"> 218</v>
      </c>
    </row>
    <row r="1372" spans="1:6">
      <c r="A1372" t="str">
        <f>"E1081-198"</f>
        <v>E1081-198</v>
      </c>
      <c r="B1372" t="str">
        <f t="shared" si="180"/>
        <v>VIA AGOSTINO NOVELLA  57-</v>
      </c>
      <c r="C1372" t="str">
        <f t="shared" si="178"/>
        <v>PRA</v>
      </c>
      <c r="D1372">
        <v>12</v>
      </c>
      <c r="E1372" t="str">
        <f t="shared" si="179"/>
        <v>585</v>
      </c>
      <c r="F1372" t="str">
        <f>" 219"</f>
        <v xml:space="preserve"> 219</v>
      </c>
    </row>
    <row r="1373" spans="1:6">
      <c r="A1373" t="str">
        <f>"E1081-199"</f>
        <v>E1081-199</v>
      </c>
      <c r="B1373" t="str">
        <f t="shared" si="180"/>
        <v>VIA AGOSTINO NOVELLA  57-</v>
      </c>
      <c r="C1373" t="str">
        <f t="shared" si="178"/>
        <v>PRA</v>
      </c>
      <c r="D1373">
        <v>12</v>
      </c>
      <c r="E1373" t="str">
        <f t="shared" si="179"/>
        <v>585</v>
      </c>
      <c r="F1373" t="str">
        <f>" 220"</f>
        <v xml:space="preserve"> 220</v>
      </c>
    </row>
    <row r="1374" spans="1:6">
      <c r="A1374" t="str">
        <f>"E1081-200"</f>
        <v>E1081-200</v>
      </c>
      <c r="B1374" t="str">
        <f t="shared" si="180"/>
        <v>VIA AGOSTINO NOVELLA  57-</v>
      </c>
      <c r="C1374" t="str">
        <f t="shared" si="178"/>
        <v>PRA</v>
      </c>
      <c r="D1374">
        <v>12</v>
      </c>
      <c r="E1374" t="str">
        <f t="shared" si="179"/>
        <v>585</v>
      </c>
      <c r="F1374" t="str">
        <f>" 221"</f>
        <v xml:space="preserve"> 221</v>
      </c>
    </row>
    <row r="1375" spans="1:6">
      <c r="A1375" t="str">
        <f>"E1081-201"</f>
        <v>E1081-201</v>
      </c>
      <c r="B1375" t="str">
        <f t="shared" si="180"/>
        <v>VIA AGOSTINO NOVELLA  57-</v>
      </c>
      <c r="C1375" t="str">
        <f t="shared" si="178"/>
        <v>PRA</v>
      </c>
      <c r="D1375">
        <v>12</v>
      </c>
      <c r="E1375" t="str">
        <f t="shared" si="179"/>
        <v>585</v>
      </c>
      <c r="F1375" t="str">
        <f>" 222"</f>
        <v xml:space="preserve"> 222</v>
      </c>
    </row>
    <row r="1376" spans="1:6">
      <c r="A1376" t="str">
        <f>"E1081-202"</f>
        <v>E1081-202</v>
      </c>
      <c r="B1376" t="str">
        <f t="shared" si="180"/>
        <v>VIA AGOSTINO NOVELLA  57-</v>
      </c>
      <c r="C1376" t="str">
        <f t="shared" si="178"/>
        <v>PRA</v>
      </c>
      <c r="D1376">
        <v>12</v>
      </c>
      <c r="E1376" t="str">
        <f t="shared" si="179"/>
        <v>585</v>
      </c>
      <c r="F1376" t="str">
        <f>" 223"</f>
        <v xml:space="preserve"> 223</v>
      </c>
    </row>
    <row r="1377" spans="1:6">
      <c r="A1377" t="str">
        <f>"E1081-203"</f>
        <v>E1081-203</v>
      </c>
      <c r="B1377" t="str">
        <f t="shared" si="180"/>
        <v>VIA AGOSTINO NOVELLA  57-</v>
      </c>
      <c r="C1377" t="str">
        <f t="shared" si="178"/>
        <v>PRA</v>
      </c>
      <c r="D1377">
        <v>12</v>
      </c>
      <c r="E1377" t="str">
        <f t="shared" si="179"/>
        <v>585</v>
      </c>
      <c r="F1377" t="str">
        <f>" 224"</f>
        <v xml:space="preserve"> 224</v>
      </c>
    </row>
    <row r="1378" spans="1:6">
      <c r="A1378" t="str">
        <f>"E1081-204"</f>
        <v>E1081-204</v>
      </c>
      <c r="B1378" t="str">
        <f t="shared" si="180"/>
        <v>VIA AGOSTINO NOVELLA  57-</v>
      </c>
      <c r="C1378" t="str">
        <f t="shared" si="178"/>
        <v>PRA</v>
      </c>
      <c r="D1378">
        <v>12</v>
      </c>
      <c r="E1378" t="str">
        <f t="shared" si="179"/>
        <v>585</v>
      </c>
      <c r="F1378" t="str">
        <f>" 225"</f>
        <v xml:space="preserve"> 225</v>
      </c>
    </row>
    <row r="1379" spans="1:6">
      <c r="A1379" t="str">
        <f>"E1081-205"</f>
        <v>E1081-205</v>
      </c>
      <c r="B1379" t="str">
        <f t="shared" si="180"/>
        <v>VIA AGOSTINO NOVELLA  57-</v>
      </c>
      <c r="C1379" t="str">
        <f t="shared" si="178"/>
        <v>PRA</v>
      </c>
      <c r="D1379">
        <v>12</v>
      </c>
      <c r="E1379" t="str">
        <f t="shared" si="179"/>
        <v>585</v>
      </c>
      <c r="F1379" t="str">
        <f>" 226"</f>
        <v xml:space="preserve"> 226</v>
      </c>
    </row>
    <row r="1380" spans="1:6">
      <c r="A1380" t="str">
        <f>"E1081-206"</f>
        <v>E1081-206</v>
      </c>
      <c r="B1380" t="str">
        <f t="shared" si="180"/>
        <v>VIA AGOSTINO NOVELLA  57-</v>
      </c>
      <c r="C1380" t="str">
        <f t="shared" si="178"/>
        <v>PRA</v>
      </c>
      <c r="D1380">
        <v>12</v>
      </c>
      <c r="E1380" t="str">
        <f t="shared" si="179"/>
        <v>585</v>
      </c>
      <c r="F1380" t="str">
        <f>" 227"</f>
        <v xml:space="preserve"> 227</v>
      </c>
    </row>
    <row r="1381" spans="1:6">
      <c r="A1381" t="str">
        <f>"E1081-207"</f>
        <v>E1081-207</v>
      </c>
      <c r="B1381" t="str">
        <f t="shared" si="180"/>
        <v>VIA AGOSTINO NOVELLA  57-</v>
      </c>
      <c r="C1381" t="str">
        <f t="shared" si="178"/>
        <v>PRA</v>
      </c>
      <c r="D1381">
        <v>12</v>
      </c>
      <c r="E1381" t="str">
        <f t="shared" si="179"/>
        <v>585</v>
      </c>
      <c r="F1381" t="str">
        <f>" 228"</f>
        <v xml:space="preserve"> 228</v>
      </c>
    </row>
    <row r="1382" spans="1:6">
      <c r="A1382" t="str">
        <f>"E1081-208"</f>
        <v>E1081-208</v>
      </c>
      <c r="B1382" t="str">
        <f t="shared" si="180"/>
        <v>VIA AGOSTINO NOVELLA  57-</v>
      </c>
      <c r="C1382" t="str">
        <f t="shared" si="178"/>
        <v>PRA</v>
      </c>
      <c r="D1382">
        <v>12</v>
      </c>
      <c r="E1382" t="str">
        <f t="shared" si="179"/>
        <v>585</v>
      </c>
      <c r="F1382" t="str">
        <f>" 229"</f>
        <v xml:space="preserve"> 229</v>
      </c>
    </row>
    <row r="1383" spans="1:6">
      <c r="A1383" t="str">
        <f>"E1081-209"</f>
        <v>E1081-209</v>
      </c>
      <c r="B1383" t="str">
        <f t="shared" si="180"/>
        <v>VIA AGOSTINO NOVELLA  57-</v>
      </c>
      <c r="C1383" t="str">
        <f t="shared" si="178"/>
        <v>PRA</v>
      </c>
      <c r="D1383">
        <v>12</v>
      </c>
      <c r="E1383" t="str">
        <f t="shared" si="179"/>
        <v>585</v>
      </c>
      <c r="F1383" t="str">
        <f>" 230"</f>
        <v xml:space="preserve"> 230</v>
      </c>
    </row>
    <row r="1384" spans="1:6">
      <c r="A1384" t="str">
        <f>"E1081-210"</f>
        <v>E1081-210</v>
      </c>
      <c r="B1384" t="str">
        <f t="shared" si="180"/>
        <v>VIA AGOSTINO NOVELLA  57-</v>
      </c>
      <c r="C1384" t="str">
        <f t="shared" si="178"/>
        <v>PRA</v>
      </c>
      <c r="D1384">
        <v>12</v>
      </c>
      <c r="E1384" t="str">
        <f t="shared" si="179"/>
        <v>585</v>
      </c>
      <c r="F1384" t="str">
        <f>" 231"</f>
        <v xml:space="preserve"> 231</v>
      </c>
    </row>
    <row r="1385" spans="1:6">
      <c r="A1385" t="str">
        <f>"E1081-211"</f>
        <v>E1081-211</v>
      </c>
      <c r="B1385" t="str">
        <f t="shared" ref="B1385:B1398" si="181">"VIA AGOSTINO NOVELLA  59-"</f>
        <v>VIA AGOSTINO NOVELLA  59-</v>
      </c>
      <c r="C1385" t="str">
        <f t="shared" si="178"/>
        <v>PRA</v>
      </c>
      <c r="D1385">
        <v>12</v>
      </c>
      <c r="E1385" t="str">
        <f t="shared" si="179"/>
        <v>585</v>
      </c>
      <c r="F1385" t="str">
        <f>" 232"</f>
        <v xml:space="preserve"> 232</v>
      </c>
    </row>
    <row r="1386" spans="1:6">
      <c r="A1386" t="str">
        <f>"E1081-212"</f>
        <v>E1081-212</v>
      </c>
      <c r="B1386" t="str">
        <f t="shared" si="181"/>
        <v>VIA AGOSTINO NOVELLA  59-</v>
      </c>
      <c r="C1386" t="str">
        <f t="shared" si="178"/>
        <v>PRA</v>
      </c>
      <c r="D1386">
        <v>12</v>
      </c>
      <c r="E1386" t="str">
        <f t="shared" si="179"/>
        <v>585</v>
      </c>
      <c r="F1386" t="str">
        <f>" 233"</f>
        <v xml:space="preserve"> 233</v>
      </c>
    </row>
    <row r="1387" spans="1:6">
      <c r="A1387" t="str">
        <f>"E1081-213"</f>
        <v>E1081-213</v>
      </c>
      <c r="B1387" t="str">
        <f t="shared" si="181"/>
        <v>VIA AGOSTINO NOVELLA  59-</v>
      </c>
      <c r="C1387" t="str">
        <f t="shared" si="178"/>
        <v>PRA</v>
      </c>
      <c r="D1387">
        <v>12</v>
      </c>
      <c r="E1387" t="str">
        <f t="shared" si="179"/>
        <v>585</v>
      </c>
      <c r="F1387" t="str">
        <f>" 234"</f>
        <v xml:space="preserve"> 234</v>
      </c>
    </row>
    <row r="1388" spans="1:6">
      <c r="A1388" t="str">
        <f>"E1081-214"</f>
        <v>E1081-214</v>
      </c>
      <c r="B1388" t="str">
        <f t="shared" si="181"/>
        <v>VIA AGOSTINO NOVELLA  59-</v>
      </c>
      <c r="C1388" t="str">
        <f t="shared" si="178"/>
        <v>PRA</v>
      </c>
      <c r="D1388">
        <v>12</v>
      </c>
      <c r="E1388" t="str">
        <f t="shared" si="179"/>
        <v>585</v>
      </c>
      <c r="F1388" t="str">
        <f>" 235"</f>
        <v xml:space="preserve"> 235</v>
      </c>
    </row>
    <row r="1389" spans="1:6">
      <c r="A1389" t="str">
        <f>"E1081-215"</f>
        <v>E1081-215</v>
      </c>
      <c r="B1389" t="str">
        <f t="shared" si="181"/>
        <v>VIA AGOSTINO NOVELLA  59-</v>
      </c>
      <c r="C1389" t="str">
        <f t="shared" si="178"/>
        <v>PRA</v>
      </c>
      <c r="D1389">
        <v>12</v>
      </c>
      <c r="E1389" t="str">
        <f t="shared" si="179"/>
        <v>585</v>
      </c>
      <c r="F1389" t="str">
        <f>" 236"</f>
        <v xml:space="preserve"> 236</v>
      </c>
    </row>
    <row r="1390" spans="1:6">
      <c r="A1390" t="str">
        <f>"E1081-216"</f>
        <v>E1081-216</v>
      </c>
      <c r="B1390" t="str">
        <f t="shared" si="181"/>
        <v>VIA AGOSTINO NOVELLA  59-</v>
      </c>
      <c r="C1390" t="str">
        <f t="shared" si="178"/>
        <v>PRA</v>
      </c>
      <c r="D1390">
        <v>12</v>
      </c>
      <c r="E1390" t="str">
        <f t="shared" si="179"/>
        <v>585</v>
      </c>
      <c r="F1390" t="str">
        <f>" 237"</f>
        <v xml:space="preserve"> 237</v>
      </c>
    </row>
    <row r="1391" spans="1:6">
      <c r="A1391" t="str">
        <f>"E1081-217"</f>
        <v>E1081-217</v>
      </c>
      <c r="B1391" t="str">
        <f t="shared" si="181"/>
        <v>VIA AGOSTINO NOVELLA  59-</v>
      </c>
      <c r="C1391" t="str">
        <f t="shared" si="178"/>
        <v>PRA</v>
      </c>
      <c r="D1391">
        <v>12</v>
      </c>
      <c r="E1391" t="str">
        <f t="shared" si="179"/>
        <v>585</v>
      </c>
      <c r="F1391" t="str">
        <f>" 238"</f>
        <v xml:space="preserve"> 238</v>
      </c>
    </row>
    <row r="1392" spans="1:6">
      <c r="A1392" t="str">
        <f>"E1081-218"</f>
        <v>E1081-218</v>
      </c>
      <c r="B1392" t="str">
        <f t="shared" si="181"/>
        <v>VIA AGOSTINO NOVELLA  59-</v>
      </c>
      <c r="C1392" t="str">
        <f t="shared" si="178"/>
        <v>PRA</v>
      </c>
      <c r="D1392">
        <v>12</v>
      </c>
      <c r="E1392" t="str">
        <f t="shared" si="179"/>
        <v>585</v>
      </c>
      <c r="F1392" t="str">
        <f>" 239"</f>
        <v xml:space="preserve"> 239</v>
      </c>
    </row>
    <row r="1393" spans="1:6">
      <c r="A1393" t="str">
        <f>"E1081-219"</f>
        <v>E1081-219</v>
      </c>
      <c r="B1393" t="str">
        <f t="shared" si="181"/>
        <v>VIA AGOSTINO NOVELLA  59-</v>
      </c>
      <c r="C1393" t="str">
        <f t="shared" si="178"/>
        <v>PRA</v>
      </c>
      <c r="D1393">
        <v>12</v>
      </c>
      <c r="E1393" t="str">
        <f t="shared" si="179"/>
        <v>585</v>
      </c>
      <c r="F1393" t="str">
        <f>" 240"</f>
        <v xml:space="preserve"> 240</v>
      </c>
    </row>
    <row r="1394" spans="1:6">
      <c r="A1394" t="str">
        <f>"E1081-220"</f>
        <v>E1081-220</v>
      </c>
      <c r="B1394" t="str">
        <f t="shared" si="181"/>
        <v>VIA AGOSTINO NOVELLA  59-</v>
      </c>
      <c r="C1394" t="str">
        <f t="shared" si="178"/>
        <v>PRA</v>
      </c>
      <c r="D1394">
        <v>12</v>
      </c>
      <c r="E1394" t="str">
        <f t="shared" si="179"/>
        <v>585</v>
      </c>
      <c r="F1394" t="str">
        <f>" 241"</f>
        <v xml:space="preserve"> 241</v>
      </c>
    </row>
    <row r="1395" spans="1:6">
      <c r="A1395" t="str">
        <f>"E1081-221"</f>
        <v>E1081-221</v>
      </c>
      <c r="B1395" t="str">
        <f t="shared" si="181"/>
        <v>VIA AGOSTINO NOVELLA  59-</v>
      </c>
      <c r="C1395" t="str">
        <f t="shared" si="178"/>
        <v>PRA</v>
      </c>
      <c r="D1395">
        <v>12</v>
      </c>
      <c r="E1395" t="str">
        <f t="shared" si="179"/>
        <v>585</v>
      </c>
      <c r="F1395" t="str">
        <f>" 242"</f>
        <v xml:space="preserve"> 242</v>
      </c>
    </row>
    <row r="1396" spans="1:6">
      <c r="A1396" t="str">
        <f>"E1081-222"</f>
        <v>E1081-222</v>
      </c>
      <c r="B1396" t="str">
        <f t="shared" si="181"/>
        <v>VIA AGOSTINO NOVELLA  59-</v>
      </c>
      <c r="C1396" t="str">
        <f t="shared" si="178"/>
        <v>PRA</v>
      </c>
      <c r="D1396">
        <v>12</v>
      </c>
      <c r="E1396" t="str">
        <f t="shared" si="179"/>
        <v>585</v>
      </c>
      <c r="F1396" t="str">
        <f>" 243"</f>
        <v xml:space="preserve"> 243</v>
      </c>
    </row>
    <row r="1397" spans="1:6">
      <c r="A1397" t="str">
        <f>"E1081-223"</f>
        <v>E1081-223</v>
      </c>
      <c r="B1397" t="str">
        <f t="shared" si="181"/>
        <v>VIA AGOSTINO NOVELLA  59-</v>
      </c>
      <c r="C1397" t="str">
        <f t="shared" si="178"/>
        <v>PRA</v>
      </c>
      <c r="D1397">
        <v>12</v>
      </c>
      <c r="E1397" t="str">
        <f t="shared" si="179"/>
        <v>585</v>
      </c>
      <c r="F1397" t="str">
        <f>" 244"</f>
        <v xml:space="preserve"> 244</v>
      </c>
    </row>
    <row r="1398" spans="1:6">
      <c r="A1398" t="str">
        <f>"E1081-224"</f>
        <v>E1081-224</v>
      </c>
      <c r="B1398" t="str">
        <f t="shared" si="181"/>
        <v>VIA AGOSTINO NOVELLA  59-</v>
      </c>
      <c r="C1398" t="str">
        <f t="shared" si="178"/>
        <v>PRA</v>
      </c>
      <c r="D1398">
        <v>12</v>
      </c>
      <c r="E1398" t="str">
        <f t="shared" si="179"/>
        <v>585</v>
      </c>
      <c r="F1398" t="str">
        <f>" 245"</f>
        <v xml:space="preserve"> 245</v>
      </c>
    </row>
    <row r="1399" spans="1:6">
      <c r="A1399" t="str">
        <f>"E1081-225"</f>
        <v>E1081-225</v>
      </c>
      <c r="B1399" t="str">
        <f>"VIA AGOSTINO NOVELLA  11-"</f>
        <v>VIA AGOSTINO NOVELLA  11-</v>
      </c>
      <c r="C1399" t="str">
        <f t="shared" si="178"/>
        <v>PRA</v>
      </c>
      <c r="D1399">
        <v>12</v>
      </c>
      <c r="E1399" t="str">
        <f t="shared" si="179"/>
        <v>585</v>
      </c>
      <c r="F1399" t="str">
        <f>"  58"</f>
        <v xml:space="preserve">  58</v>
      </c>
    </row>
    <row r="1400" spans="1:6">
      <c r="A1400" t="str">
        <f>"E1081-226"</f>
        <v>E1081-226</v>
      </c>
      <c r="B1400" t="str">
        <f>"VIA AGOSTINO NOVELLA  11-"</f>
        <v>VIA AGOSTINO NOVELLA  11-</v>
      </c>
      <c r="C1400" t="str">
        <f t="shared" si="178"/>
        <v>PRA</v>
      </c>
      <c r="D1400">
        <v>12</v>
      </c>
      <c r="E1400" t="str">
        <f t="shared" si="179"/>
        <v>585</v>
      </c>
      <c r="F1400" t="str">
        <f>"  59"</f>
        <v xml:space="preserve">  59</v>
      </c>
    </row>
    <row r="1401" spans="1:6">
      <c r="A1401" t="str">
        <f>"E1081-227"</f>
        <v>E1081-227</v>
      </c>
      <c r="B1401" t="str">
        <f>"VIA AGOSTINO NOVELLA  13-"</f>
        <v>VIA AGOSTINO NOVELLA  13-</v>
      </c>
      <c r="C1401" t="str">
        <f t="shared" si="178"/>
        <v>PRA</v>
      </c>
      <c r="D1401">
        <v>12</v>
      </c>
      <c r="E1401" t="str">
        <f t="shared" si="179"/>
        <v>585</v>
      </c>
      <c r="F1401" t="str">
        <f>"  60"</f>
        <v xml:space="preserve">  60</v>
      </c>
    </row>
    <row r="1402" spans="1:6">
      <c r="A1402" t="str">
        <f>"E1081-228"</f>
        <v>E1081-228</v>
      </c>
      <c r="B1402" t="str">
        <f>"VIA AGOSTINO NOVELLA  13-"</f>
        <v>VIA AGOSTINO NOVELLA  13-</v>
      </c>
      <c r="C1402" t="str">
        <f t="shared" si="178"/>
        <v>PRA</v>
      </c>
      <c r="D1402">
        <v>12</v>
      </c>
      <c r="E1402" t="str">
        <f t="shared" si="179"/>
        <v>585</v>
      </c>
      <c r="F1402" t="str">
        <f>"  61"</f>
        <v xml:space="preserve">  61</v>
      </c>
    </row>
    <row r="1403" spans="1:6">
      <c r="A1403" t="str">
        <f>"E1081-229"</f>
        <v>E1081-229</v>
      </c>
      <c r="B1403" t="str">
        <f>"VIA AGOSTINO NOVELLA  15-"</f>
        <v>VIA AGOSTINO NOVELLA  15-</v>
      </c>
      <c r="C1403" t="str">
        <f t="shared" si="178"/>
        <v>PRA</v>
      </c>
      <c r="D1403">
        <v>12</v>
      </c>
      <c r="E1403" t="str">
        <f t="shared" si="179"/>
        <v>585</v>
      </c>
      <c r="F1403" t="str">
        <f>"  62"</f>
        <v xml:space="preserve">  62</v>
      </c>
    </row>
    <row r="1404" spans="1:6">
      <c r="A1404" t="str">
        <f>"E1081-230"</f>
        <v>E1081-230</v>
      </c>
      <c r="B1404" t="str">
        <f>"VIA AGOSTINO NOVELLA  15-"</f>
        <v>VIA AGOSTINO NOVELLA  15-</v>
      </c>
      <c r="C1404" t="str">
        <f t="shared" si="178"/>
        <v>PRA</v>
      </c>
      <c r="D1404">
        <v>12</v>
      </c>
      <c r="E1404" t="str">
        <f t="shared" si="179"/>
        <v>585</v>
      </c>
      <c r="F1404" t="str">
        <f>"  63"</f>
        <v xml:space="preserve">  63</v>
      </c>
    </row>
    <row r="1405" spans="1:6">
      <c r="A1405" t="str">
        <f>"E1081-231"</f>
        <v>E1081-231</v>
      </c>
      <c r="B1405" t="str">
        <f>"VIA AGOSTINO NOVELLA  17-"</f>
        <v>VIA AGOSTINO NOVELLA  17-</v>
      </c>
      <c r="C1405" t="str">
        <f t="shared" si="178"/>
        <v>PRA</v>
      </c>
      <c r="D1405">
        <v>12</v>
      </c>
      <c r="E1405" t="str">
        <f t="shared" si="179"/>
        <v>585</v>
      </c>
      <c r="F1405" t="str">
        <f>"  64"</f>
        <v xml:space="preserve">  64</v>
      </c>
    </row>
    <row r="1406" spans="1:6">
      <c r="A1406" t="str">
        <f>"E1081-232"</f>
        <v>E1081-232</v>
      </c>
      <c r="B1406" t="str">
        <f>"VIA AGOSTINO NOVELLA  19-"</f>
        <v>VIA AGOSTINO NOVELLA  19-</v>
      </c>
      <c r="C1406" t="str">
        <f t="shared" si="178"/>
        <v>PRA</v>
      </c>
      <c r="D1406">
        <v>12</v>
      </c>
      <c r="E1406" t="str">
        <f t="shared" si="179"/>
        <v>585</v>
      </c>
      <c r="F1406" t="str">
        <f>"  65"</f>
        <v xml:space="preserve">  65</v>
      </c>
    </row>
    <row r="1407" spans="1:6">
      <c r="A1407" t="str">
        <f>"E1081-233"</f>
        <v>E1081-233</v>
      </c>
      <c r="B1407" t="str">
        <f>"VIA AGOSTINO NOVELLA  27-"</f>
        <v>VIA AGOSTINO NOVELLA  27-</v>
      </c>
      <c r="C1407" t="str">
        <f t="shared" si="178"/>
        <v>PRA</v>
      </c>
      <c r="D1407">
        <v>12</v>
      </c>
      <c r="E1407" t="str">
        <f t="shared" si="179"/>
        <v>585</v>
      </c>
      <c r="F1407" t="str">
        <f>"108"</f>
        <v>108</v>
      </c>
    </row>
    <row r="1408" spans="1:6">
      <c r="A1408" t="str">
        <f>"E1081-234"</f>
        <v>E1081-234</v>
      </c>
      <c r="B1408" t="str">
        <f>"VIA AGOSTINO NOVELLA  27-"</f>
        <v>VIA AGOSTINO NOVELLA  27-</v>
      </c>
      <c r="C1408" t="str">
        <f t="shared" si="178"/>
        <v>PRA</v>
      </c>
      <c r="D1408">
        <v>12</v>
      </c>
      <c r="E1408" t="str">
        <f t="shared" si="179"/>
        <v>585</v>
      </c>
      <c r="F1408" t="str">
        <f>"109"</f>
        <v>109</v>
      </c>
    </row>
    <row r="1409" spans="1:6">
      <c r="A1409" t="str">
        <f>"E1081-235"</f>
        <v>E1081-235</v>
      </c>
      <c r="B1409" t="str">
        <f>"VIA AGOSTINO NOVELLA  29-"</f>
        <v>VIA AGOSTINO NOVELLA  29-</v>
      </c>
      <c r="C1409" t="str">
        <f t="shared" si="178"/>
        <v>PRA</v>
      </c>
      <c r="D1409">
        <v>12</v>
      </c>
      <c r="E1409" t="str">
        <f t="shared" si="179"/>
        <v>585</v>
      </c>
      <c r="F1409" t="str">
        <f>"110"</f>
        <v>110</v>
      </c>
    </row>
    <row r="1410" spans="1:6">
      <c r="A1410" t="str">
        <f>"E1081-236"</f>
        <v>E1081-236</v>
      </c>
      <c r="B1410" t="str">
        <f>"VIA AGOSTINO NOVELLA  29-"</f>
        <v>VIA AGOSTINO NOVELLA  29-</v>
      </c>
      <c r="C1410" t="str">
        <f t="shared" si="178"/>
        <v>PRA</v>
      </c>
      <c r="D1410">
        <v>12</v>
      </c>
      <c r="E1410" t="str">
        <f t="shared" si="179"/>
        <v>585</v>
      </c>
      <c r="F1410" t="str">
        <f>"111"</f>
        <v>111</v>
      </c>
    </row>
    <row r="1411" spans="1:6">
      <c r="A1411" t="str">
        <f>"E1081-237"</f>
        <v>E1081-237</v>
      </c>
      <c r="B1411" t="str">
        <f>"VIA AGOSTINO NOVELLA  31-"</f>
        <v>VIA AGOSTINO NOVELLA  31-</v>
      </c>
      <c r="C1411" t="str">
        <f t="shared" si="178"/>
        <v>PRA</v>
      </c>
      <c r="D1411">
        <v>12</v>
      </c>
      <c r="E1411" t="str">
        <f t="shared" si="179"/>
        <v>585</v>
      </c>
      <c r="F1411" t="str">
        <f>"112"</f>
        <v>112</v>
      </c>
    </row>
    <row r="1412" spans="1:6">
      <c r="A1412" t="str">
        <f>"E1081-238"</f>
        <v>E1081-238</v>
      </c>
      <c r="B1412" t="str">
        <f>"VIA AGOSTINO NOVELLA  33-"</f>
        <v>VIA AGOSTINO NOVELLA  33-</v>
      </c>
      <c r="C1412" t="str">
        <f t="shared" si="178"/>
        <v>PRA</v>
      </c>
      <c r="D1412">
        <v>12</v>
      </c>
      <c r="E1412" t="str">
        <f t="shared" si="179"/>
        <v>585</v>
      </c>
      <c r="F1412" t="str">
        <f>"113"</f>
        <v>113</v>
      </c>
    </row>
    <row r="1413" spans="1:6">
      <c r="A1413" t="str">
        <f>"E1081-239"</f>
        <v>E1081-239</v>
      </c>
      <c r="B1413" t="str">
        <f>"VIA AGOSTINO NOVELLA  41-"</f>
        <v>VIA AGOSTINO NOVELLA  41-</v>
      </c>
      <c r="C1413" t="str">
        <f t="shared" si="178"/>
        <v>PRA</v>
      </c>
      <c r="D1413">
        <v>12</v>
      </c>
      <c r="E1413" t="str">
        <f t="shared" si="179"/>
        <v>585</v>
      </c>
      <c r="F1413" t="str">
        <f>"156"</f>
        <v>156</v>
      </c>
    </row>
    <row r="1414" spans="1:6">
      <c r="A1414" t="str">
        <f>"E1081-240"</f>
        <v>E1081-240</v>
      </c>
      <c r="B1414" t="str">
        <f>"VIA AGOSTINO NOVELLA  41-"</f>
        <v>VIA AGOSTINO NOVELLA  41-</v>
      </c>
      <c r="C1414" t="str">
        <f t="shared" si="178"/>
        <v>PRA</v>
      </c>
      <c r="D1414">
        <v>12</v>
      </c>
      <c r="E1414" t="str">
        <f t="shared" si="179"/>
        <v>585</v>
      </c>
      <c r="F1414" t="str">
        <f>"157"</f>
        <v>157</v>
      </c>
    </row>
    <row r="1415" spans="1:6">
      <c r="A1415" t="str">
        <f>"E1081-241"</f>
        <v>E1081-241</v>
      </c>
      <c r="B1415" t="str">
        <f>"VIA AGOSTINO NOVELLA  43-"</f>
        <v>VIA AGOSTINO NOVELLA  43-</v>
      </c>
      <c r="C1415" t="str">
        <f t="shared" si="178"/>
        <v>PRA</v>
      </c>
      <c r="D1415">
        <v>12</v>
      </c>
      <c r="E1415" t="str">
        <f t="shared" si="179"/>
        <v>585</v>
      </c>
      <c r="F1415" t="str">
        <f>"158"</f>
        <v>158</v>
      </c>
    </row>
    <row r="1416" spans="1:6">
      <c r="A1416" t="str">
        <f>"E1081-242"</f>
        <v>E1081-242</v>
      </c>
      <c r="B1416" t="str">
        <f>"VIA AGOSTINO NOVELLA  43-"</f>
        <v>VIA AGOSTINO NOVELLA  43-</v>
      </c>
      <c r="C1416" t="str">
        <f t="shared" si="178"/>
        <v>PRA</v>
      </c>
      <c r="D1416">
        <v>12</v>
      </c>
      <c r="E1416" t="str">
        <f t="shared" si="179"/>
        <v>585</v>
      </c>
      <c r="F1416" t="str">
        <f>"159"</f>
        <v>159</v>
      </c>
    </row>
    <row r="1417" spans="1:6">
      <c r="A1417" t="str">
        <f>"E1081-243"</f>
        <v>E1081-243</v>
      </c>
      <c r="B1417" t="str">
        <f>"VIA AGOSTINO NOVELLA  45-"</f>
        <v>VIA AGOSTINO NOVELLA  45-</v>
      </c>
      <c r="C1417" t="str">
        <f t="shared" si="178"/>
        <v>PRA</v>
      </c>
      <c r="D1417">
        <v>12</v>
      </c>
      <c r="E1417" t="str">
        <f t="shared" si="179"/>
        <v>585</v>
      </c>
      <c r="F1417" t="str">
        <f>"160"</f>
        <v>160</v>
      </c>
    </row>
    <row r="1418" spans="1:6">
      <c r="A1418" t="str">
        <f>"E1081-244"</f>
        <v>E1081-244</v>
      </c>
      <c r="B1418" t="str">
        <f>"VIA AGOSTINO NOVELLA  47-"</f>
        <v>VIA AGOSTINO NOVELLA  47-</v>
      </c>
      <c r="C1418" t="str">
        <f t="shared" si="178"/>
        <v>PRA</v>
      </c>
      <c r="D1418">
        <v>12</v>
      </c>
      <c r="E1418" t="str">
        <f t="shared" si="179"/>
        <v>585</v>
      </c>
      <c r="F1418" t="str">
        <f>"161"</f>
        <v>161</v>
      </c>
    </row>
    <row r="1419" spans="1:6">
      <c r="A1419" t="str">
        <f>"E1081-245"</f>
        <v>E1081-245</v>
      </c>
      <c r="B1419" t="str">
        <f>"VIA AGOSTINO NOVELLA  61-"</f>
        <v>VIA AGOSTINO NOVELLA  61-</v>
      </c>
      <c r="C1419" t="str">
        <f t="shared" si="178"/>
        <v>PRA</v>
      </c>
      <c r="D1419">
        <v>12</v>
      </c>
      <c r="E1419" t="str">
        <f t="shared" si="179"/>
        <v>585</v>
      </c>
      <c r="F1419" t="str">
        <f>"246"</f>
        <v>246</v>
      </c>
    </row>
    <row r="1420" spans="1:6">
      <c r="A1420" t="str">
        <f>"E1081-246"</f>
        <v>E1081-246</v>
      </c>
      <c r="B1420" t="str">
        <f>"VIA AGOSTINO NOVELLA  61-"</f>
        <v>VIA AGOSTINO NOVELLA  61-</v>
      </c>
      <c r="C1420" t="str">
        <f t="shared" si="178"/>
        <v>PRA</v>
      </c>
      <c r="D1420">
        <v>12</v>
      </c>
      <c r="E1420" t="str">
        <f t="shared" si="179"/>
        <v>585</v>
      </c>
      <c r="F1420" t="str">
        <f>"247"</f>
        <v>247</v>
      </c>
    </row>
    <row r="1421" spans="1:6">
      <c r="A1421" t="str">
        <f>"E1081-247"</f>
        <v>E1081-247</v>
      </c>
      <c r="B1421" t="str">
        <f>"VIA AGOSTINO NOVELLA  63-"</f>
        <v>VIA AGOSTINO NOVELLA  63-</v>
      </c>
      <c r="C1421" t="str">
        <f t="shared" si="178"/>
        <v>PRA</v>
      </c>
      <c r="D1421">
        <v>12</v>
      </c>
      <c r="E1421" t="str">
        <f t="shared" si="179"/>
        <v>585</v>
      </c>
      <c r="F1421" t="str">
        <f>"248"</f>
        <v>248</v>
      </c>
    </row>
    <row r="1422" spans="1:6">
      <c r="A1422" t="str">
        <f>"E1081-248"</f>
        <v>E1081-248</v>
      </c>
      <c r="B1422" t="str">
        <f>"VIA AGOSTINO NOVELLA  63-"</f>
        <v>VIA AGOSTINO NOVELLA  63-</v>
      </c>
      <c r="C1422" t="str">
        <f t="shared" si="178"/>
        <v>PRA</v>
      </c>
      <c r="D1422">
        <v>12</v>
      </c>
      <c r="E1422" t="str">
        <f t="shared" si="179"/>
        <v>585</v>
      </c>
      <c r="F1422" t="str">
        <f>"249"</f>
        <v>249</v>
      </c>
    </row>
    <row r="1423" spans="1:6">
      <c r="A1423" t="str">
        <f>"E1081-249"</f>
        <v>E1081-249</v>
      </c>
      <c r="B1423" t="str">
        <f>"VIA AGOSTINO NOVELLA  65-"</f>
        <v>VIA AGOSTINO NOVELLA  65-</v>
      </c>
      <c r="C1423" t="str">
        <f t="shared" si="178"/>
        <v>PRA</v>
      </c>
      <c r="D1423">
        <v>12</v>
      </c>
      <c r="E1423" t="str">
        <f t="shared" si="179"/>
        <v>585</v>
      </c>
      <c r="F1423" t="str">
        <f>"250"</f>
        <v>250</v>
      </c>
    </row>
    <row r="1424" spans="1:6">
      <c r="A1424" t="str">
        <f>"E1081-250"</f>
        <v>E1081-250</v>
      </c>
      <c r="B1424" t="str">
        <f>"VIA AGOSTINO NOVELLA  65-"</f>
        <v>VIA AGOSTINO NOVELLA  65-</v>
      </c>
      <c r="C1424" t="str">
        <f t="shared" si="178"/>
        <v>PRA</v>
      </c>
      <c r="D1424">
        <v>12</v>
      </c>
      <c r="E1424" t="str">
        <f t="shared" si="179"/>
        <v>585</v>
      </c>
      <c r="F1424" t="str">
        <f>"251"</f>
        <v>251</v>
      </c>
    </row>
    <row r="1425" spans="1:6">
      <c r="A1425" t="str">
        <f>"E1081-251"</f>
        <v>E1081-251</v>
      </c>
      <c r="B1425" t="str">
        <f>"VIA AGOSTINO NOVELLA  67-"</f>
        <v>VIA AGOSTINO NOVELLA  67-</v>
      </c>
      <c r="C1425" t="str">
        <f t="shared" si="178"/>
        <v>PRA</v>
      </c>
      <c r="D1425">
        <v>12</v>
      </c>
      <c r="E1425" t="str">
        <f t="shared" si="179"/>
        <v>585</v>
      </c>
      <c r="F1425" t="str">
        <f>"252"</f>
        <v>252</v>
      </c>
    </row>
    <row r="1426" spans="1:6">
      <c r="A1426" t="str">
        <f>"E1081-252"</f>
        <v>E1081-252</v>
      </c>
      <c r="B1426" t="str">
        <f>"VIA AGOSTINO NOVELLA  67-"</f>
        <v>VIA AGOSTINO NOVELLA  67-</v>
      </c>
      <c r="C1426" t="str">
        <f t="shared" si="178"/>
        <v>PRA</v>
      </c>
      <c r="D1426">
        <v>12</v>
      </c>
      <c r="E1426" t="str">
        <f t="shared" si="179"/>
        <v>585</v>
      </c>
      <c r="F1426" t="str">
        <f>"253"</f>
        <v>253</v>
      </c>
    </row>
    <row r="1427" spans="1:6">
      <c r="A1427" t="str">
        <f>"E1081-253"</f>
        <v>E1081-253</v>
      </c>
      <c r="B1427" t="str">
        <f>"VIA AGOSTINO NOVELLA  69-"</f>
        <v>VIA AGOSTINO NOVELLA  69-</v>
      </c>
      <c r="C1427" t="str">
        <f t="shared" si="178"/>
        <v>PRA</v>
      </c>
      <c r="D1427">
        <v>12</v>
      </c>
      <c r="E1427" t="str">
        <f t="shared" si="179"/>
        <v>585</v>
      </c>
      <c r="F1427" t="str">
        <f>"254"</f>
        <v>254</v>
      </c>
    </row>
    <row r="1428" spans="1:6">
      <c r="A1428" t="str">
        <f>"E1081-254"</f>
        <v>E1081-254</v>
      </c>
      <c r="B1428" t="str">
        <f>"VIA AGOSTINO NOVELLA  69-"</f>
        <v>VIA AGOSTINO NOVELLA  69-</v>
      </c>
      <c r="C1428" t="str">
        <f t="shared" si="178"/>
        <v>PRA</v>
      </c>
      <c r="D1428">
        <v>12</v>
      </c>
      <c r="E1428" t="str">
        <f t="shared" si="179"/>
        <v>585</v>
      </c>
      <c r="F1428" t="str">
        <f>"255"</f>
        <v>255</v>
      </c>
    </row>
    <row r="1429" spans="1:6">
      <c r="A1429" t="str">
        <f>"E1081-255"</f>
        <v>E1081-255</v>
      </c>
      <c r="B1429" t="str">
        <f>"VIA AGOSTINO NOVELLA  71-"</f>
        <v>VIA AGOSTINO NOVELLA  71-</v>
      </c>
      <c r="C1429" t="str">
        <f t="shared" si="178"/>
        <v>PRA</v>
      </c>
      <c r="D1429">
        <v>12</v>
      </c>
      <c r="E1429" t="str">
        <f t="shared" si="179"/>
        <v>585</v>
      </c>
      <c r="F1429" t="str">
        <f>"256"</f>
        <v>256</v>
      </c>
    </row>
    <row r="1430" spans="1:6">
      <c r="A1430" t="str">
        <f>"E1081-256"</f>
        <v>E1081-256</v>
      </c>
      <c r="B1430" t="str">
        <f>"VIA AGOSTINO NOVELLA VICINO AL 11-"</f>
        <v>VIA AGOSTINO NOVELLA VICINO AL 11-</v>
      </c>
      <c r="C1430" t="str">
        <f t="shared" ref="C1430:C1493" si="182">"3"</f>
        <v>3</v>
      </c>
      <c r="D1430">
        <v>12</v>
      </c>
      <c r="E1430" t="str">
        <f>"10"</f>
        <v>10</v>
      </c>
      <c r="F1430" t="str">
        <f t="shared" ref="F1430:F1493" si="183">"0000"</f>
        <v>0000</v>
      </c>
    </row>
    <row r="1431" spans="1:6">
      <c r="C1431" t="str">
        <f t="shared" si="182"/>
        <v>3</v>
      </c>
      <c r="D1431">
        <v>12</v>
      </c>
      <c r="E1431" t="str">
        <f>"11"</f>
        <v>11</v>
      </c>
      <c r="F1431" t="str">
        <f t="shared" si="183"/>
        <v>0000</v>
      </c>
    </row>
    <row r="1432" spans="1:6">
      <c r="C1432" t="str">
        <f t="shared" si="182"/>
        <v>3</v>
      </c>
      <c r="D1432">
        <v>12</v>
      </c>
      <c r="E1432" t="str">
        <f>"13"</f>
        <v>13</v>
      </c>
      <c r="F1432" t="str">
        <f t="shared" si="183"/>
        <v>0000</v>
      </c>
    </row>
    <row r="1433" spans="1:6">
      <c r="C1433" t="str">
        <f t="shared" si="182"/>
        <v>3</v>
      </c>
      <c r="D1433">
        <v>12</v>
      </c>
      <c r="E1433" t="str">
        <f>"12"</f>
        <v>12</v>
      </c>
      <c r="F1433" t="str">
        <f t="shared" si="183"/>
        <v>0000</v>
      </c>
    </row>
    <row r="1434" spans="1:6">
      <c r="C1434" t="str">
        <f t="shared" si="182"/>
        <v>3</v>
      </c>
      <c r="D1434">
        <v>12</v>
      </c>
      <c r="E1434" t="str">
        <f>"22"</f>
        <v>22</v>
      </c>
      <c r="F1434" t="str">
        <f t="shared" si="183"/>
        <v>0000</v>
      </c>
    </row>
    <row r="1435" spans="1:6">
      <c r="C1435" t="str">
        <f t="shared" si="182"/>
        <v>3</v>
      </c>
      <c r="D1435">
        <v>12</v>
      </c>
      <c r="E1435" t="str">
        <f>"9"</f>
        <v>9</v>
      </c>
      <c r="F1435" t="str">
        <f t="shared" si="183"/>
        <v>0000</v>
      </c>
    </row>
    <row r="1436" spans="1:6">
      <c r="C1436" t="str">
        <f t="shared" si="182"/>
        <v>3</v>
      </c>
      <c r="D1436">
        <v>12</v>
      </c>
      <c r="E1436" t="str">
        <f>"8"</f>
        <v>8</v>
      </c>
      <c r="F1436" t="str">
        <f t="shared" si="183"/>
        <v>0000</v>
      </c>
    </row>
    <row r="1437" spans="1:6">
      <c r="C1437" t="str">
        <f t="shared" si="182"/>
        <v>3</v>
      </c>
      <c r="D1437">
        <v>12</v>
      </c>
      <c r="E1437" t="str">
        <f>"24"</f>
        <v>24</v>
      </c>
      <c r="F1437" t="str">
        <f t="shared" si="183"/>
        <v>0000</v>
      </c>
    </row>
    <row r="1438" spans="1:6">
      <c r="C1438" t="str">
        <f t="shared" si="182"/>
        <v>3</v>
      </c>
      <c r="D1438">
        <v>12</v>
      </c>
      <c r="E1438" t="str">
        <f>"23"</f>
        <v>23</v>
      </c>
      <c r="F1438" t="str">
        <f t="shared" si="183"/>
        <v>0000</v>
      </c>
    </row>
    <row r="1439" spans="1:6">
      <c r="A1439" t="str">
        <f>"E1081-257"</f>
        <v>E1081-257</v>
      </c>
      <c r="B1439" t="str">
        <f>"VIA AGOSTINO NOVELLA VICINO AL 33-"</f>
        <v>VIA AGOSTINO NOVELLA VICINO AL 33-</v>
      </c>
      <c r="C1439" t="str">
        <f t="shared" si="182"/>
        <v>3</v>
      </c>
      <c r="D1439">
        <v>12</v>
      </c>
      <c r="E1439" t="str">
        <f>"10"</f>
        <v>10</v>
      </c>
      <c r="F1439" t="str">
        <f t="shared" si="183"/>
        <v>0000</v>
      </c>
    </row>
    <row r="1440" spans="1:6">
      <c r="C1440" t="str">
        <f t="shared" si="182"/>
        <v>3</v>
      </c>
      <c r="D1440">
        <v>12</v>
      </c>
      <c r="E1440" t="str">
        <f>"12"</f>
        <v>12</v>
      </c>
      <c r="F1440" t="str">
        <f t="shared" si="183"/>
        <v>0000</v>
      </c>
    </row>
    <row r="1441" spans="1:6">
      <c r="C1441" t="str">
        <f t="shared" si="182"/>
        <v>3</v>
      </c>
      <c r="D1441">
        <v>12</v>
      </c>
      <c r="E1441" t="str">
        <f>"11"</f>
        <v>11</v>
      </c>
      <c r="F1441" t="str">
        <f t="shared" si="183"/>
        <v>0000</v>
      </c>
    </row>
    <row r="1442" spans="1:6">
      <c r="C1442" t="str">
        <f t="shared" si="182"/>
        <v>3</v>
      </c>
      <c r="D1442">
        <v>12</v>
      </c>
      <c r="E1442" t="str">
        <f>"13"</f>
        <v>13</v>
      </c>
      <c r="F1442" t="str">
        <f t="shared" si="183"/>
        <v>0000</v>
      </c>
    </row>
    <row r="1443" spans="1:6">
      <c r="C1443" t="str">
        <f t="shared" si="182"/>
        <v>3</v>
      </c>
      <c r="D1443">
        <v>12</v>
      </c>
      <c r="E1443" t="str">
        <f>"9"</f>
        <v>9</v>
      </c>
      <c r="F1443" t="str">
        <f t="shared" si="183"/>
        <v>0000</v>
      </c>
    </row>
    <row r="1444" spans="1:6">
      <c r="C1444" t="str">
        <f t="shared" si="182"/>
        <v>3</v>
      </c>
      <c r="D1444">
        <v>12</v>
      </c>
      <c r="E1444" t="str">
        <f>"8"</f>
        <v>8</v>
      </c>
      <c r="F1444" t="str">
        <f t="shared" si="183"/>
        <v>0000</v>
      </c>
    </row>
    <row r="1445" spans="1:6">
      <c r="C1445" t="str">
        <f t="shared" si="182"/>
        <v>3</v>
      </c>
      <c r="D1445">
        <v>12</v>
      </c>
      <c r="E1445" t="str">
        <f>"24"</f>
        <v>24</v>
      </c>
      <c r="F1445" t="str">
        <f t="shared" si="183"/>
        <v>0000</v>
      </c>
    </row>
    <row r="1446" spans="1:6">
      <c r="C1446" t="str">
        <f t="shared" si="182"/>
        <v>3</v>
      </c>
      <c r="D1446">
        <v>12</v>
      </c>
      <c r="E1446" t="str">
        <f>"23"</f>
        <v>23</v>
      </c>
      <c r="F1446" t="str">
        <f t="shared" si="183"/>
        <v>0000</v>
      </c>
    </row>
    <row r="1447" spans="1:6">
      <c r="C1447" t="str">
        <f t="shared" si="182"/>
        <v>3</v>
      </c>
      <c r="D1447">
        <v>12</v>
      </c>
      <c r="E1447" t="str">
        <f>"22"</f>
        <v>22</v>
      </c>
      <c r="F1447" t="str">
        <f t="shared" si="183"/>
        <v>0000</v>
      </c>
    </row>
    <row r="1448" spans="1:6">
      <c r="A1448" t="str">
        <f>"E1081-258"</f>
        <v>E1081-258</v>
      </c>
      <c r="B1448" t="str">
        <f>"VIA AGOSTINO NOVELLA VICINO AL 71-"</f>
        <v>VIA AGOSTINO NOVELLA VICINO AL 71-</v>
      </c>
      <c r="C1448" t="str">
        <f t="shared" si="182"/>
        <v>3</v>
      </c>
      <c r="D1448">
        <v>12</v>
      </c>
      <c r="E1448" t="str">
        <f>"10"</f>
        <v>10</v>
      </c>
      <c r="F1448" t="str">
        <f t="shared" si="183"/>
        <v>0000</v>
      </c>
    </row>
    <row r="1449" spans="1:6">
      <c r="C1449" t="str">
        <f t="shared" si="182"/>
        <v>3</v>
      </c>
      <c r="D1449">
        <v>12</v>
      </c>
      <c r="E1449" t="str">
        <f>"11"</f>
        <v>11</v>
      </c>
      <c r="F1449" t="str">
        <f t="shared" si="183"/>
        <v>0000</v>
      </c>
    </row>
    <row r="1450" spans="1:6">
      <c r="C1450" t="str">
        <f t="shared" si="182"/>
        <v>3</v>
      </c>
      <c r="D1450">
        <v>12</v>
      </c>
      <c r="E1450" t="str">
        <f>"12"</f>
        <v>12</v>
      </c>
      <c r="F1450" t="str">
        <f t="shared" si="183"/>
        <v>0000</v>
      </c>
    </row>
    <row r="1451" spans="1:6">
      <c r="C1451" t="str">
        <f t="shared" si="182"/>
        <v>3</v>
      </c>
      <c r="D1451">
        <v>12</v>
      </c>
      <c r="E1451" t="str">
        <f>"9"</f>
        <v>9</v>
      </c>
      <c r="F1451" t="str">
        <f t="shared" si="183"/>
        <v>0000</v>
      </c>
    </row>
    <row r="1452" spans="1:6">
      <c r="C1452" t="str">
        <f t="shared" si="182"/>
        <v>3</v>
      </c>
      <c r="D1452">
        <v>12</v>
      </c>
      <c r="E1452" t="str">
        <f>"8"</f>
        <v>8</v>
      </c>
      <c r="F1452" t="str">
        <f t="shared" si="183"/>
        <v>0000</v>
      </c>
    </row>
    <row r="1453" spans="1:6">
      <c r="C1453" t="str">
        <f t="shared" si="182"/>
        <v>3</v>
      </c>
      <c r="D1453">
        <v>12</v>
      </c>
      <c r="E1453" t="str">
        <f>"24"</f>
        <v>24</v>
      </c>
      <c r="F1453" t="str">
        <f t="shared" si="183"/>
        <v>0000</v>
      </c>
    </row>
    <row r="1454" spans="1:6">
      <c r="C1454" t="str">
        <f t="shared" si="182"/>
        <v>3</v>
      </c>
      <c r="D1454">
        <v>12</v>
      </c>
      <c r="E1454" t="str">
        <f>"23"</f>
        <v>23</v>
      </c>
      <c r="F1454" t="str">
        <f t="shared" si="183"/>
        <v>0000</v>
      </c>
    </row>
    <row r="1455" spans="1:6">
      <c r="C1455" t="str">
        <f t="shared" si="182"/>
        <v>3</v>
      </c>
      <c r="D1455">
        <v>12</v>
      </c>
      <c r="E1455" t="str">
        <f>"22"</f>
        <v>22</v>
      </c>
      <c r="F1455" t="str">
        <f t="shared" si="183"/>
        <v>0000</v>
      </c>
    </row>
    <row r="1456" spans="1:6">
      <c r="C1456" t="str">
        <f t="shared" si="182"/>
        <v>3</v>
      </c>
      <c r="D1456">
        <v>12</v>
      </c>
      <c r="E1456" t="str">
        <f>"13"</f>
        <v>13</v>
      </c>
      <c r="F1456" t="str">
        <f t="shared" si="183"/>
        <v>0000</v>
      </c>
    </row>
    <row r="1457" spans="1:6">
      <c r="A1457" t="str">
        <f>"E1082-1"</f>
        <v>E1082-1</v>
      </c>
      <c r="B1457" t="str">
        <f t="shared" ref="B1457:B1483" si="184">"VIA AGOSTINO NOVELLA  73-"</f>
        <v>VIA AGOSTINO NOVELLA  73-</v>
      </c>
      <c r="C1457" t="str">
        <f t="shared" si="182"/>
        <v>3</v>
      </c>
      <c r="D1457">
        <v>12</v>
      </c>
      <c r="E1457" t="str">
        <f>"2"</f>
        <v>2</v>
      </c>
      <c r="F1457" t="str">
        <f t="shared" si="183"/>
        <v>0000</v>
      </c>
    </row>
    <row r="1458" spans="1:6">
      <c r="C1458" t="str">
        <f t="shared" si="182"/>
        <v>3</v>
      </c>
      <c r="D1458">
        <v>12</v>
      </c>
      <c r="E1458" t="str">
        <f>"4"</f>
        <v>4</v>
      </c>
      <c r="F1458" t="str">
        <f t="shared" si="183"/>
        <v>0000</v>
      </c>
    </row>
    <row r="1459" spans="1:6">
      <c r="A1459" t="str">
        <f>"E1082-2"</f>
        <v>E1082-2</v>
      </c>
      <c r="B1459" t="str">
        <f t="shared" si="184"/>
        <v>VIA AGOSTINO NOVELLA  73-</v>
      </c>
      <c r="C1459" t="str">
        <f t="shared" si="182"/>
        <v>3</v>
      </c>
      <c r="D1459">
        <v>12</v>
      </c>
      <c r="E1459" t="str">
        <f>"2"</f>
        <v>2</v>
      </c>
      <c r="F1459" t="str">
        <f t="shared" si="183"/>
        <v>0000</v>
      </c>
    </row>
    <row r="1460" spans="1:6">
      <c r="C1460" t="str">
        <f t="shared" si="182"/>
        <v>3</v>
      </c>
      <c r="D1460">
        <v>12</v>
      </c>
      <c r="E1460" t="str">
        <f>"4"</f>
        <v>4</v>
      </c>
      <c r="F1460" t="str">
        <f t="shared" si="183"/>
        <v>0000</v>
      </c>
    </row>
    <row r="1461" spans="1:6">
      <c r="A1461" t="str">
        <f>"E1082-3"</f>
        <v>E1082-3</v>
      </c>
      <c r="B1461" t="str">
        <f t="shared" si="184"/>
        <v>VIA AGOSTINO NOVELLA  73-</v>
      </c>
      <c r="C1461" t="str">
        <f t="shared" si="182"/>
        <v>3</v>
      </c>
      <c r="D1461">
        <v>12</v>
      </c>
      <c r="E1461" t="str">
        <f>"2"</f>
        <v>2</v>
      </c>
      <c r="F1461" t="str">
        <f t="shared" si="183"/>
        <v>0000</v>
      </c>
    </row>
    <row r="1462" spans="1:6">
      <c r="C1462" t="str">
        <f t="shared" si="182"/>
        <v>3</v>
      </c>
      <c r="D1462">
        <v>12</v>
      </c>
      <c r="E1462" t="str">
        <f>"4"</f>
        <v>4</v>
      </c>
      <c r="F1462" t="str">
        <f t="shared" si="183"/>
        <v>0000</v>
      </c>
    </row>
    <row r="1463" spans="1:6">
      <c r="A1463" t="str">
        <f>"E1082-4"</f>
        <v>E1082-4</v>
      </c>
      <c r="B1463" t="str">
        <f t="shared" si="184"/>
        <v>VIA AGOSTINO NOVELLA  73-</v>
      </c>
      <c r="C1463" t="str">
        <f t="shared" si="182"/>
        <v>3</v>
      </c>
      <c r="D1463">
        <v>12</v>
      </c>
      <c r="E1463" t="str">
        <f>"2"</f>
        <v>2</v>
      </c>
      <c r="F1463" t="str">
        <f t="shared" si="183"/>
        <v>0000</v>
      </c>
    </row>
    <row r="1464" spans="1:6">
      <c r="C1464" t="str">
        <f t="shared" si="182"/>
        <v>3</v>
      </c>
      <c r="D1464">
        <v>12</v>
      </c>
      <c r="E1464" t="str">
        <f>"4"</f>
        <v>4</v>
      </c>
      <c r="F1464" t="str">
        <f t="shared" si="183"/>
        <v>0000</v>
      </c>
    </row>
    <row r="1465" spans="1:6">
      <c r="A1465" t="str">
        <f>"E1082-5"</f>
        <v>E1082-5</v>
      </c>
      <c r="B1465" t="str">
        <f t="shared" si="184"/>
        <v>VIA AGOSTINO NOVELLA  73-</v>
      </c>
      <c r="C1465" t="str">
        <f t="shared" si="182"/>
        <v>3</v>
      </c>
      <c r="D1465">
        <v>12</v>
      </c>
      <c r="E1465" t="str">
        <f>"2"</f>
        <v>2</v>
      </c>
      <c r="F1465" t="str">
        <f t="shared" si="183"/>
        <v>0000</v>
      </c>
    </row>
    <row r="1466" spans="1:6">
      <c r="C1466" t="str">
        <f t="shared" si="182"/>
        <v>3</v>
      </c>
      <c r="D1466">
        <v>12</v>
      </c>
      <c r="E1466" t="str">
        <f>"4"</f>
        <v>4</v>
      </c>
      <c r="F1466" t="str">
        <f t="shared" si="183"/>
        <v>0000</v>
      </c>
    </row>
    <row r="1467" spans="1:6">
      <c r="A1467" t="str">
        <f>"E1082-6"</f>
        <v>E1082-6</v>
      </c>
      <c r="B1467" t="str">
        <f t="shared" si="184"/>
        <v>VIA AGOSTINO NOVELLA  73-</v>
      </c>
      <c r="C1467" t="str">
        <f t="shared" si="182"/>
        <v>3</v>
      </c>
      <c r="D1467">
        <v>12</v>
      </c>
      <c r="E1467" t="str">
        <f>"2"</f>
        <v>2</v>
      </c>
      <c r="F1467" t="str">
        <f t="shared" si="183"/>
        <v>0000</v>
      </c>
    </row>
    <row r="1468" spans="1:6">
      <c r="C1468" t="str">
        <f t="shared" si="182"/>
        <v>3</v>
      </c>
      <c r="D1468">
        <v>12</v>
      </c>
      <c r="E1468" t="str">
        <f>"4"</f>
        <v>4</v>
      </c>
      <c r="F1468" t="str">
        <f t="shared" si="183"/>
        <v>0000</v>
      </c>
    </row>
    <row r="1469" spans="1:6">
      <c r="A1469" t="str">
        <f>"E1082-7"</f>
        <v>E1082-7</v>
      </c>
      <c r="B1469" t="str">
        <f t="shared" si="184"/>
        <v>VIA AGOSTINO NOVELLA  73-</v>
      </c>
      <c r="C1469" t="str">
        <f t="shared" si="182"/>
        <v>3</v>
      </c>
      <c r="D1469">
        <v>12</v>
      </c>
      <c r="E1469" t="str">
        <f>"2"</f>
        <v>2</v>
      </c>
      <c r="F1469" t="str">
        <f t="shared" si="183"/>
        <v>0000</v>
      </c>
    </row>
    <row r="1470" spans="1:6">
      <c r="C1470" t="str">
        <f t="shared" si="182"/>
        <v>3</v>
      </c>
      <c r="D1470">
        <v>12</v>
      </c>
      <c r="E1470" t="str">
        <f>"4"</f>
        <v>4</v>
      </c>
      <c r="F1470" t="str">
        <f t="shared" si="183"/>
        <v>0000</v>
      </c>
    </row>
    <row r="1471" spans="1:6">
      <c r="A1471" t="str">
        <f>"E1082-8"</f>
        <v>E1082-8</v>
      </c>
      <c r="B1471" t="str">
        <f t="shared" si="184"/>
        <v>VIA AGOSTINO NOVELLA  73-</v>
      </c>
      <c r="C1471" t="str">
        <f t="shared" si="182"/>
        <v>3</v>
      </c>
      <c r="D1471">
        <v>12</v>
      </c>
      <c r="E1471" t="str">
        <f>"2"</f>
        <v>2</v>
      </c>
      <c r="F1471" t="str">
        <f t="shared" si="183"/>
        <v>0000</v>
      </c>
    </row>
    <row r="1472" spans="1:6">
      <c r="C1472" t="str">
        <f t="shared" si="182"/>
        <v>3</v>
      </c>
      <c r="D1472">
        <v>12</v>
      </c>
      <c r="E1472" t="str">
        <f>"4"</f>
        <v>4</v>
      </c>
      <c r="F1472" t="str">
        <f t="shared" si="183"/>
        <v>0000</v>
      </c>
    </row>
    <row r="1473" spans="1:6">
      <c r="A1473" t="str">
        <f>"E1082-9"</f>
        <v>E1082-9</v>
      </c>
      <c r="B1473" t="str">
        <f t="shared" si="184"/>
        <v>VIA AGOSTINO NOVELLA  73-</v>
      </c>
      <c r="C1473" t="str">
        <f t="shared" si="182"/>
        <v>3</v>
      </c>
      <c r="D1473">
        <v>12</v>
      </c>
      <c r="E1473" t="str">
        <f>"2"</f>
        <v>2</v>
      </c>
      <c r="F1473" t="str">
        <f t="shared" si="183"/>
        <v>0000</v>
      </c>
    </row>
    <row r="1474" spans="1:6">
      <c r="C1474" t="str">
        <f t="shared" si="182"/>
        <v>3</v>
      </c>
      <c r="D1474">
        <v>12</v>
      </c>
      <c r="E1474" t="str">
        <f>"4"</f>
        <v>4</v>
      </c>
      <c r="F1474" t="str">
        <f t="shared" si="183"/>
        <v>0000</v>
      </c>
    </row>
    <row r="1475" spans="1:6">
      <c r="A1475" t="str">
        <f>"E1082-10"</f>
        <v>E1082-10</v>
      </c>
      <c r="B1475" t="str">
        <f t="shared" si="184"/>
        <v>VIA AGOSTINO NOVELLA  73-</v>
      </c>
      <c r="C1475" t="str">
        <f t="shared" si="182"/>
        <v>3</v>
      </c>
      <c r="D1475">
        <v>12</v>
      </c>
      <c r="E1475" t="str">
        <f>"2"</f>
        <v>2</v>
      </c>
      <c r="F1475" t="str">
        <f t="shared" si="183"/>
        <v>0000</v>
      </c>
    </row>
    <row r="1476" spans="1:6">
      <c r="C1476" t="str">
        <f t="shared" si="182"/>
        <v>3</v>
      </c>
      <c r="D1476">
        <v>12</v>
      </c>
      <c r="E1476" t="str">
        <f>"4"</f>
        <v>4</v>
      </c>
      <c r="F1476" t="str">
        <f t="shared" si="183"/>
        <v>0000</v>
      </c>
    </row>
    <row r="1477" spans="1:6">
      <c r="A1477" t="str">
        <f>"E1082-11"</f>
        <v>E1082-11</v>
      </c>
      <c r="B1477" t="str">
        <f t="shared" si="184"/>
        <v>VIA AGOSTINO NOVELLA  73-</v>
      </c>
      <c r="C1477" t="str">
        <f t="shared" si="182"/>
        <v>3</v>
      </c>
      <c r="D1477">
        <v>12</v>
      </c>
      <c r="E1477" t="str">
        <f>"2"</f>
        <v>2</v>
      </c>
      <c r="F1477" t="str">
        <f t="shared" si="183"/>
        <v>0000</v>
      </c>
    </row>
    <row r="1478" spans="1:6">
      <c r="C1478" t="str">
        <f t="shared" si="182"/>
        <v>3</v>
      </c>
      <c r="D1478">
        <v>12</v>
      </c>
      <c r="E1478" t="str">
        <f>"4"</f>
        <v>4</v>
      </c>
      <c r="F1478" t="str">
        <f t="shared" si="183"/>
        <v>0000</v>
      </c>
    </row>
    <row r="1479" spans="1:6">
      <c r="A1479" t="str">
        <f>"E1082-12"</f>
        <v>E1082-12</v>
      </c>
      <c r="B1479" t="str">
        <f t="shared" si="184"/>
        <v>VIA AGOSTINO NOVELLA  73-</v>
      </c>
      <c r="C1479" t="str">
        <f t="shared" si="182"/>
        <v>3</v>
      </c>
      <c r="D1479">
        <v>12</v>
      </c>
      <c r="E1479" t="str">
        <f>"2"</f>
        <v>2</v>
      </c>
      <c r="F1479" t="str">
        <f t="shared" si="183"/>
        <v>0000</v>
      </c>
    </row>
    <row r="1480" spans="1:6">
      <c r="C1480" t="str">
        <f t="shared" si="182"/>
        <v>3</v>
      </c>
      <c r="D1480">
        <v>12</v>
      </c>
      <c r="E1480" t="str">
        <f>"4"</f>
        <v>4</v>
      </c>
      <c r="F1480" t="str">
        <f t="shared" si="183"/>
        <v>0000</v>
      </c>
    </row>
    <row r="1481" spans="1:6">
      <c r="A1481" t="str">
        <f>"E1082-13"</f>
        <v>E1082-13</v>
      </c>
      <c r="B1481" t="str">
        <f t="shared" si="184"/>
        <v>VIA AGOSTINO NOVELLA  73-</v>
      </c>
      <c r="C1481" t="str">
        <f t="shared" si="182"/>
        <v>3</v>
      </c>
      <c r="D1481">
        <v>12</v>
      </c>
      <c r="E1481" t="str">
        <f>"2"</f>
        <v>2</v>
      </c>
      <c r="F1481" t="str">
        <f t="shared" si="183"/>
        <v>0000</v>
      </c>
    </row>
    <row r="1482" spans="1:6">
      <c r="C1482" t="str">
        <f t="shared" si="182"/>
        <v>3</v>
      </c>
      <c r="D1482">
        <v>12</v>
      </c>
      <c r="E1482" t="str">
        <f>"4"</f>
        <v>4</v>
      </c>
      <c r="F1482" t="str">
        <f t="shared" si="183"/>
        <v>0000</v>
      </c>
    </row>
    <row r="1483" spans="1:6">
      <c r="A1483" t="str">
        <f>"E1082-14"</f>
        <v>E1082-14</v>
      </c>
      <c r="B1483" t="str">
        <f t="shared" si="184"/>
        <v>VIA AGOSTINO NOVELLA  73-</v>
      </c>
      <c r="C1483" t="str">
        <f t="shared" si="182"/>
        <v>3</v>
      </c>
      <c r="D1483">
        <v>12</v>
      </c>
      <c r="E1483" t="str">
        <f>"2"</f>
        <v>2</v>
      </c>
      <c r="F1483" t="str">
        <f t="shared" si="183"/>
        <v>0000</v>
      </c>
    </row>
    <row r="1484" spans="1:6">
      <c r="C1484" t="str">
        <f t="shared" si="182"/>
        <v>3</v>
      </c>
      <c r="D1484">
        <v>12</v>
      </c>
      <c r="E1484" t="str">
        <f>"4"</f>
        <v>4</v>
      </c>
      <c r="F1484" t="str">
        <f t="shared" si="183"/>
        <v>0000</v>
      </c>
    </row>
    <row r="1485" spans="1:6">
      <c r="A1485" t="str">
        <f>"E1082-15"</f>
        <v>E1082-15</v>
      </c>
      <c r="B1485" t="str">
        <f t="shared" ref="B1485:B1511" si="185">"VIA AGOSTINO NOVELLA  75-"</f>
        <v>VIA AGOSTINO NOVELLA  75-</v>
      </c>
      <c r="C1485" t="str">
        <f t="shared" si="182"/>
        <v>3</v>
      </c>
      <c r="D1485">
        <v>12</v>
      </c>
      <c r="E1485" t="str">
        <f>"2"</f>
        <v>2</v>
      </c>
      <c r="F1485" t="str">
        <f t="shared" si="183"/>
        <v>0000</v>
      </c>
    </row>
    <row r="1486" spans="1:6">
      <c r="C1486" t="str">
        <f t="shared" si="182"/>
        <v>3</v>
      </c>
      <c r="D1486">
        <v>12</v>
      </c>
      <c r="E1486" t="str">
        <f>"4"</f>
        <v>4</v>
      </c>
      <c r="F1486" t="str">
        <f t="shared" si="183"/>
        <v>0000</v>
      </c>
    </row>
    <row r="1487" spans="1:6">
      <c r="A1487" t="str">
        <f>"E1082-16"</f>
        <v>E1082-16</v>
      </c>
      <c r="B1487" t="str">
        <f t="shared" si="185"/>
        <v>VIA AGOSTINO NOVELLA  75-</v>
      </c>
      <c r="C1487" t="str">
        <f t="shared" si="182"/>
        <v>3</v>
      </c>
      <c r="D1487">
        <v>12</v>
      </c>
      <c r="E1487" t="str">
        <f>"2"</f>
        <v>2</v>
      </c>
      <c r="F1487" t="str">
        <f t="shared" si="183"/>
        <v>0000</v>
      </c>
    </row>
    <row r="1488" spans="1:6">
      <c r="C1488" t="str">
        <f t="shared" si="182"/>
        <v>3</v>
      </c>
      <c r="D1488">
        <v>12</v>
      </c>
      <c r="E1488" t="str">
        <f>"4"</f>
        <v>4</v>
      </c>
      <c r="F1488" t="str">
        <f t="shared" si="183"/>
        <v>0000</v>
      </c>
    </row>
    <row r="1489" spans="1:6">
      <c r="A1489" t="str">
        <f>"E1082-17"</f>
        <v>E1082-17</v>
      </c>
      <c r="B1489" t="str">
        <f t="shared" si="185"/>
        <v>VIA AGOSTINO NOVELLA  75-</v>
      </c>
      <c r="C1489" t="str">
        <f t="shared" si="182"/>
        <v>3</v>
      </c>
      <c r="D1489">
        <v>12</v>
      </c>
      <c r="E1489" t="str">
        <f>"2"</f>
        <v>2</v>
      </c>
      <c r="F1489" t="str">
        <f t="shared" si="183"/>
        <v>0000</v>
      </c>
    </row>
    <row r="1490" spans="1:6">
      <c r="C1490" t="str">
        <f t="shared" si="182"/>
        <v>3</v>
      </c>
      <c r="D1490">
        <v>12</v>
      </c>
      <c r="E1490" t="str">
        <f>"4"</f>
        <v>4</v>
      </c>
      <c r="F1490" t="str">
        <f t="shared" si="183"/>
        <v>0000</v>
      </c>
    </row>
    <row r="1491" spans="1:6">
      <c r="A1491" t="str">
        <f>"E1082-18"</f>
        <v>E1082-18</v>
      </c>
      <c r="B1491" t="str">
        <f t="shared" si="185"/>
        <v>VIA AGOSTINO NOVELLA  75-</v>
      </c>
      <c r="C1491" t="str">
        <f t="shared" si="182"/>
        <v>3</v>
      </c>
      <c r="D1491">
        <v>12</v>
      </c>
      <c r="E1491" t="str">
        <f>"2"</f>
        <v>2</v>
      </c>
      <c r="F1491" t="str">
        <f t="shared" si="183"/>
        <v>0000</v>
      </c>
    </row>
    <row r="1492" spans="1:6">
      <c r="C1492" t="str">
        <f t="shared" si="182"/>
        <v>3</v>
      </c>
      <c r="D1492">
        <v>12</v>
      </c>
      <c r="E1492" t="str">
        <f>"4"</f>
        <v>4</v>
      </c>
      <c r="F1492" t="str">
        <f t="shared" si="183"/>
        <v>0000</v>
      </c>
    </row>
    <row r="1493" spans="1:6">
      <c r="A1493" t="str">
        <f>"E1082-19"</f>
        <v>E1082-19</v>
      </c>
      <c r="B1493" t="str">
        <f t="shared" si="185"/>
        <v>VIA AGOSTINO NOVELLA  75-</v>
      </c>
      <c r="C1493" t="str">
        <f t="shared" si="182"/>
        <v>3</v>
      </c>
      <c r="D1493">
        <v>12</v>
      </c>
      <c r="E1493" t="str">
        <f>"2"</f>
        <v>2</v>
      </c>
      <c r="F1493" t="str">
        <f t="shared" si="183"/>
        <v>0000</v>
      </c>
    </row>
    <row r="1494" spans="1:6">
      <c r="C1494" t="str">
        <f t="shared" ref="C1494:C1557" si="186">"3"</f>
        <v>3</v>
      </c>
      <c r="D1494">
        <v>12</v>
      </c>
      <c r="E1494" t="str">
        <f>"4"</f>
        <v>4</v>
      </c>
      <c r="F1494" t="str">
        <f t="shared" ref="F1494:F1557" si="187">"0000"</f>
        <v>0000</v>
      </c>
    </row>
    <row r="1495" spans="1:6">
      <c r="A1495" t="str">
        <f>"E1082-20"</f>
        <v>E1082-20</v>
      </c>
      <c r="B1495" t="str">
        <f t="shared" si="185"/>
        <v>VIA AGOSTINO NOVELLA  75-</v>
      </c>
      <c r="C1495" t="str">
        <f t="shared" si="186"/>
        <v>3</v>
      </c>
      <c r="D1495">
        <v>12</v>
      </c>
      <c r="E1495" t="str">
        <f>"2"</f>
        <v>2</v>
      </c>
      <c r="F1495" t="str">
        <f t="shared" si="187"/>
        <v>0000</v>
      </c>
    </row>
    <row r="1496" spans="1:6">
      <c r="C1496" t="str">
        <f t="shared" si="186"/>
        <v>3</v>
      </c>
      <c r="D1496">
        <v>12</v>
      </c>
      <c r="E1496" t="str">
        <f>"4"</f>
        <v>4</v>
      </c>
      <c r="F1496" t="str">
        <f t="shared" si="187"/>
        <v>0000</v>
      </c>
    </row>
    <row r="1497" spans="1:6">
      <c r="A1497" t="str">
        <f>"E1082-21"</f>
        <v>E1082-21</v>
      </c>
      <c r="B1497" t="str">
        <f t="shared" si="185"/>
        <v>VIA AGOSTINO NOVELLA  75-</v>
      </c>
      <c r="C1497" t="str">
        <f t="shared" si="186"/>
        <v>3</v>
      </c>
      <c r="D1497">
        <v>12</v>
      </c>
      <c r="E1497" t="str">
        <f>"2"</f>
        <v>2</v>
      </c>
      <c r="F1497" t="str">
        <f t="shared" si="187"/>
        <v>0000</v>
      </c>
    </row>
    <row r="1498" spans="1:6">
      <c r="C1498" t="str">
        <f t="shared" si="186"/>
        <v>3</v>
      </c>
      <c r="D1498">
        <v>12</v>
      </c>
      <c r="E1498" t="str">
        <f>"4"</f>
        <v>4</v>
      </c>
      <c r="F1498" t="str">
        <f t="shared" si="187"/>
        <v>0000</v>
      </c>
    </row>
    <row r="1499" spans="1:6">
      <c r="A1499" t="str">
        <f>"E1082-22"</f>
        <v>E1082-22</v>
      </c>
      <c r="B1499" t="str">
        <f t="shared" si="185"/>
        <v>VIA AGOSTINO NOVELLA  75-</v>
      </c>
      <c r="C1499" t="str">
        <f t="shared" si="186"/>
        <v>3</v>
      </c>
      <c r="D1499">
        <v>12</v>
      </c>
      <c r="E1499" t="str">
        <f>"2"</f>
        <v>2</v>
      </c>
      <c r="F1499" t="str">
        <f t="shared" si="187"/>
        <v>0000</v>
      </c>
    </row>
    <row r="1500" spans="1:6">
      <c r="C1500" t="str">
        <f t="shared" si="186"/>
        <v>3</v>
      </c>
      <c r="D1500">
        <v>12</v>
      </c>
      <c r="E1500" t="str">
        <f>"4"</f>
        <v>4</v>
      </c>
      <c r="F1500" t="str">
        <f t="shared" si="187"/>
        <v>0000</v>
      </c>
    </row>
    <row r="1501" spans="1:6">
      <c r="A1501" t="str">
        <f>"E1082-23"</f>
        <v>E1082-23</v>
      </c>
      <c r="B1501" t="str">
        <f t="shared" si="185"/>
        <v>VIA AGOSTINO NOVELLA  75-</v>
      </c>
      <c r="C1501" t="str">
        <f t="shared" si="186"/>
        <v>3</v>
      </c>
      <c r="D1501">
        <v>12</v>
      </c>
      <c r="E1501" t="str">
        <f>"2"</f>
        <v>2</v>
      </c>
      <c r="F1501" t="str">
        <f t="shared" si="187"/>
        <v>0000</v>
      </c>
    </row>
    <row r="1502" spans="1:6">
      <c r="C1502" t="str">
        <f t="shared" si="186"/>
        <v>3</v>
      </c>
      <c r="D1502">
        <v>12</v>
      </c>
      <c r="E1502" t="str">
        <f>"4"</f>
        <v>4</v>
      </c>
      <c r="F1502" t="str">
        <f t="shared" si="187"/>
        <v>0000</v>
      </c>
    </row>
    <row r="1503" spans="1:6">
      <c r="A1503" t="str">
        <f>"E1082-24"</f>
        <v>E1082-24</v>
      </c>
      <c r="B1503" t="str">
        <f t="shared" si="185"/>
        <v>VIA AGOSTINO NOVELLA  75-</v>
      </c>
      <c r="C1503" t="str">
        <f t="shared" si="186"/>
        <v>3</v>
      </c>
      <c r="D1503">
        <v>12</v>
      </c>
      <c r="E1503" t="str">
        <f>"2"</f>
        <v>2</v>
      </c>
      <c r="F1503" t="str">
        <f t="shared" si="187"/>
        <v>0000</v>
      </c>
    </row>
    <row r="1504" spans="1:6">
      <c r="C1504" t="str">
        <f t="shared" si="186"/>
        <v>3</v>
      </c>
      <c r="D1504">
        <v>12</v>
      </c>
      <c r="E1504" t="str">
        <f>"4"</f>
        <v>4</v>
      </c>
      <c r="F1504" t="str">
        <f t="shared" si="187"/>
        <v>0000</v>
      </c>
    </row>
    <row r="1505" spans="1:6">
      <c r="A1505" t="str">
        <f>"E1082-25"</f>
        <v>E1082-25</v>
      </c>
      <c r="B1505" t="str">
        <f t="shared" si="185"/>
        <v>VIA AGOSTINO NOVELLA  75-</v>
      </c>
      <c r="C1505" t="str">
        <f t="shared" si="186"/>
        <v>3</v>
      </c>
      <c r="D1505">
        <v>12</v>
      </c>
      <c r="E1505" t="str">
        <f>"2"</f>
        <v>2</v>
      </c>
      <c r="F1505" t="str">
        <f t="shared" si="187"/>
        <v>0000</v>
      </c>
    </row>
    <row r="1506" spans="1:6">
      <c r="C1506" t="str">
        <f t="shared" si="186"/>
        <v>3</v>
      </c>
      <c r="D1506">
        <v>12</v>
      </c>
      <c r="E1506" t="str">
        <f>"4"</f>
        <v>4</v>
      </c>
      <c r="F1506" t="str">
        <f t="shared" si="187"/>
        <v>0000</v>
      </c>
    </row>
    <row r="1507" spans="1:6">
      <c r="A1507" t="str">
        <f>"E1082-26"</f>
        <v>E1082-26</v>
      </c>
      <c r="B1507" t="str">
        <f t="shared" si="185"/>
        <v>VIA AGOSTINO NOVELLA  75-</v>
      </c>
      <c r="C1507" t="str">
        <f t="shared" si="186"/>
        <v>3</v>
      </c>
      <c r="D1507">
        <v>12</v>
      </c>
      <c r="E1507" t="str">
        <f>"2"</f>
        <v>2</v>
      </c>
      <c r="F1507" t="str">
        <f t="shared" si="187"/>
        <v>0000</v>
      </c>
    </row>
    <row r="1508" spans="1:6">
      <c r="C1508" t="str">
        <f t="shared" si="186"/>
        <v>3</v>
      </c>
      <c r="D1508">
        <v>12</v>
      </c>
      <c r="E1508" t="str">
        <f>"4"</f>
        <v>4</v>
      </c>
      <c r="F1508" t="str">
        <f t="shared" si="187"/>
        <v>0000</v>
      </c>
    </row>
    <row r="1509" spans="1:6">
      <c r="A1509" t="str">
        <f>"E1082-27"</f>
        <v>E1082-27</v>
      </c>
      <c r="B1509" t="str">
        <f t="shared" si="185"/>
        <v>VIA AGOSTINO NOVELLA  75-</v>
      </c>
      <c r="C1509" t="str">
        <f t="shared" si="186"/>
        <v>3</v>
      </c>
      <c r="D1509">
        <v>12</v>
      </c>
      <c r="E1509" t="str">
        <f>"2"</f>
        <v>2</v>
      </c>
      <c r="F1509" t="str">
        <f t="shared" si="187"/>
        <v>0000</v>
      </c>
    </row>
    <row r="1510" spans="1:6">
      <c r="C1510" t="str">
        <f t="shared" si="186"/>
        <v>3</v>
      </c>
      <c r="D1510">
        <v>12</v>
      </c>
      <c r="E1510" t="str">
        <f>"4"</f>
        <v>4</v>
      </c>
      <c r="F1510" t="str">
        <f t="shared" si="187"/>
        <v>0000</v>
      </c>
    </row>
    <row r="1511" spans="1:6">
      <c r="A1511" t="str">
        <f>"E1082-28"</f>
        <v>E1082-28</v>
      </c>
      <c r="B1511" t="str">
        <f t="shared" si="185"/>
        <v>VIA AGOSTINO NOVELLA  75-</v>
      </c>
      <c r="C1511" t="str">
        <f t="shared" si="186"/>
        <v>3</v>
      </c>
      <c r="D1511">
        <v>12</v>
      </c>
      <c r="E1511" t="str">
        <f>"2"</f>
        <v>2</v>
      </c>
      <c r="F1511" t="str">
        <f t="shared" si="187"/>
        <v>0000</v>
      </c>
    </row>
    <row r="1512" spans="1:6">
      <c r="C1512" t="str">
        <f t="shared" si="186"/>
        <v>3</v>
      </c>
      <c r="D1512">
        <v>12</v>
      </c>
      <c r="E1512" t="str">
        <f>"4"</f>
        <v>4</v>
      </c>
      <c r="F1512" t="str">
        <f t="shared" si="187"/>
        <v>0000</v>
      </c>
    </row>
    <row r="1513" spans="1:6">
      <c r="A1513" t="str">
        <f>"E1082-29"</f>
        <v>E1082-29</v>
      </c>
      <c r="B1513" t="str">
        <f t="shared" ref="B1513:B1539" si="188">"VIA AGOSTINO NOVELLA  77-"</f>
        <v>VIA AGOSTINO NOVELLA  77-</v>
      </c>
      <c r="C1513" t="str">
        <f t="shared" si="186"/>
        <v>3</v>
      </c>
      <c r="D1513">
        <v>12</v>
      </c>
      <c r="E1513" t="str">
        <f>"2"</f>
        <v>2</v>
      </c>
      <c r="F1513" t="str">
        <f t="shared" si="187"/>
        <v>0000</v>
      </c>
    </row>
    <row r="1514" spans="1:6">
      <c r="C1514" t="str">
        <f t="shared" si="186"/>
        <v>3</v>
      </c>
      <c r="D1514">
        <v>12</v>
      </c>
      <c r="E1514" t="str">
        <f>"4"</f>
        <v>4</v>
      </c>
      <c r="F1514" t="str">
        <f t="shared" si="187"/>
        <v>0000</v>
      </c>
    </row>
    <row r="1515" spans="1:6">
      <c r="A1515" t="str">
        <f>"E1082-30"</f>
        <v>E1082-30</v>
      </c>
      <c r="B1515" t="str">
        <f t="shared" si="188"/>
        <v>VIA AGOSTINO NOVELLA  77-</v>
      </c>
      <c r="C1515" t="str">
        <f t="shared" si="186"/>
        <v>3</v>
      </c>
      <c r="D1515">
        <v>12</v>
      </c>
      <c r="E1515" t="str">
        <f>"2"</f>
        <v>2</v>
      </c>
      <c r="F1515" t="str">
        <f t="shared" si="187"/>
        <v>0000</v>
      </c>
    </row>
    <row r="1516" spans="1:6">
      <c r="C1516" t="str">
        <f t="shared" si="186"/>
        <v>3</v>
      </c>
      <c r="D1516">
        <v>12</v>
      </c>
      <c r="E1516" t="str">
        <f>"4"</f>
        <v>4</v>
      </c>
      <c r="F1516" t="str">
        <f t="shared" si="187"/>
        <v>0000</v>
      </c>
    </row>
    <row r="1517" spans="1:6">
      <c r="A1517" t="str">
        <f>"E1082-31"</f>
        <v>E1082-31</v>
      </c>
      <c r="B1517" t="str">
        <f t="shared" si="188"/>
        <v>VIA AGOSTINO NOVELLA  77-</v>
      </c>
      <c r="C1517" t="str">
        <f t="shared" si="186"/>
        <v>3</v>
      </c>
      <c r="D1517">
        <v>12</v>
      </c>
      <c r="E1517" t="str">
        <f>"2"</f>
        <v>2</v>
      </c>
      <c r="F1517" t="str">
        <f t="shared" si="187"/>
        <v>0000</v>
      </c>
    </row>
    <row r="1518" spans="1:6">
      <c r="C1518" t="str">
        <f t="shared" si="186"/>
        <v>3</v>
      </c>
      <c r="D1518">
        <v>12</v>
      </c>
      <c r="E1518" t="str">
        <f>"4"</f>
        <v>4</v>
      </c>
      <c r="F1518" t="str">
        <f t="shared" si="187"/>
        <v>0000</v>
      </c>
    </row>
    <row r="1519" spans="1:6">
      <c r="A1519" t="str">
        <f>"E1082-32"</f>
        <v>E1082-32</v>
      </c>
      <c r="B1519" t="str">
        <f t="shared" si="188"/>
        <v>VIA AGOSTINO NOVELLA  77-</v>
      </c>
      <c r="C1519" t="str">
        <f t="shared" si="186"/>
        <v>3</v>
      </c>
      <c r="D1519">
        <v>12</v>
      </c>
      <c r="E1519" t="str">
        <f>"2"</f>
        <v>2</v>
      </c>
      <c r="F1519" t="str">
        <f t="shared" si="187"/>
        <v>0000</v>
      </c>
    </row>
    <row r="1520" spans="1:6">
      <c r="C1520" t="str">
        <f t="shared" si="186"/>
        <v>3</v>
      </c>
      <c r="D1520">
        <v>12</v>
      </c>
      <c r="E1520" t="str">
        <f>"4"</f>
        <v>4</v>
      </c>
      <c r="F1520" t="str">
        <f t="shared" si="187"/>
        <v>0000</v>
      </c>
    </row>
    <row r="1521" spans="1:6">
      <c r="A1521" t="str">
        <f>"E1082-33"</f>
        <v>E1082-33</v>
      </c>
      <c r="B1521" t="str">
        <f t="shared" si="188"/>
        <v>VIA AGOSTINO NOVELLA  77-</v>
      </c>
      <c r="C1521" t="str">
        <f t="shared" si="186"/>
        <v>3</v>
      </c>
      <c r="D1521">
        <v>12</v>
      </c>
      <c r="E1521" t="str">
        <f>"2"</f>
        <v>2</v>
      </c>
      <c r="F1521" t="str">
        <f t="shared" si="187"/>
        <v>0000</v>
      </c>
    </row>
    <row r="1522" spans="1:6">
      <c r="C1522" t="str">
        <f t="shared" si="186"/>
        <v>3</v>
      </c>
      <c r="D1522">
        <v>12</v>
      </c>
      <c r="E1522" t="str">
        <f>"4"</f>
        <v>4</v>
      </c>
      <c r="F1522" t="str">
        <f t="shared" si="187"/>
        <v>0000</v>
      </c>
    </row>
    <row r="1523" spans="1:6">
      <c r="A1523" t="str">
        <f>"E1082-34"</f>
        <v>E1082-34</v>
      </c>
      <c r="B1523" t="str">
        <f t="shared" si="188"/>
        <v>VIA AGOSTINO NOVELLA  77-</v>
      </c>
      <c r="C1523" t="str">
        <f t="shared" si="186"/>
        <v>3</v>
      </c>
      <c r="D1523">
        <v>12</v>
      </c>
      <c r="E1523" t="str">
        <f>"2"</f>
        <v>2</v>
      </c>
      <c r="F1523" t="str">
        <f t="shared" si="187"/>
        <v>0000</v>
      </c>
    </row>
    <row r="1524" spans="1:6">
      <c r="C1524" t="str">
        <f t="shared" si="186"/>
        <v>3</v>
      </c>
      <c r="D1524">
        <v>12</v>
      </c>
      <c r="E1524" t="str">
        <f>"4"</f>
        <v>4</v>
      </c>
      <c r="F1524" t="str">
        <f t="shared" si="187"/>
        <v>0000</v>
      </c>
    </row>
    <row r="1525" spans="1:6">
      <c r="A1525" t="str">
        <f>"E1082-35"</f>
        <v>E1082-35</v>
      </c>
      <c r="B1525" t="str">
        <f t="shared" si="188"/>
        <v>VIA AGOSTINO NOVELLA  77-</v>
      </c>
      <c r="C1525" t="str">
        <f t="shared" si="186"/>
        <v>3</v>
      </c>
      <c r="D1525">
        <v>12</v>
      </c>
      <c r="E1525" t="str">
        <f>"2"</f>
        <v>2</v>
      </c>
      <c r="F1525" t="str">
        <f t="shared" si="187"/>
        <v>0000</v>
      </c>
    </row>
    <row r="1526" spans="1:6">
      <c r="C1526" t="str">
        <f t="shared" si="186"/>
        <v>3</v>
      </c>
      <c r="D1526">
        <v>12</v>
      </c>
      <c r="E1526" t="str">
        <f>"4"</f>
        <v>4</v>
      </c>
      <c r="F1526" t="str">
        <f t="shared" si="187"/>
        <v>0000</v>
      </c>
    </row>
    <row r="1527" spans="1:6">
      <c r="A1527" t="str">
        <f>"E1082-36"</f>
        <v>E1082-36</v>
      </c>
      <c r="B1527" t="str">
        <f t="shared" si="188"/>
        <v>VIA AGOSTINO NOVELLA  77-</v>
      </c>
      <c r="C1527" t="str">
        <f t="shared" si="186"/>
        <v>3</v>
      </c>
      <c r="D1527">
        <v>12</v>
      </c>
      <c r="E1527" t="str">
        <f>"2"</f>
        <v>2</v>
      </c>
      <c r="F1527" t="str">
        <f t="shared" si="187"/>
        <v>0000</v>
      </c>
    </row>
    <row r="1528" spans="1:6">
      <c r="C1528" t="str">
        <f t="shared" si="186"/>
        <v>3</v>
      </c>
      <c r="D1528">
        <v>12</v>
      </c>
      <c r="E1528" t="str">
        <f>"4"</f>
        <v>4</v>
      </c>
      <c r="F1528" t="str">
        <f t="shared" si="187"/>
        <v>0000</v>
      </c>
    </row>
    <row r="1529" spans="1:6">
      <c r="A1529" t="str">
        <f>"E1082-37"</f>
        <v>E1082-37</v>
      </c>
      <c r="B1529" t="str">
        <f t="shared" si="188"/>
        <v>VIA AGOSTINO NOVELLA  77-</v>
      </c>
      <c r="C1529" t="str">
        <f t="shared" si="186"/>
        <v>3</v>
      </c>
      <c r="D1529">
        <v>12</v>
      </c>
      <c r="E1529" t="str">
        <f>"2"</f>
        <v>2</v>
      </c>
      <c r="F1529" t="str">
        <f t="shared" si="187"/>
        <v>0000</v>
      </c>
    </row>
    <row r="1530" spans="1:6">
      <c r="C1530" t="str">
        <f t="shared" si="186"/>
        <v>3</v>
      </c>
      <c r="D1530">
        <v>12</v>
      </c>
      <c r="E1530" t="str">
        <f>"4"</f>
        <v>4</v>
      </c>
      <c r="F1530" t="str">
        <f t="shared" si="187"/>
        <v>0000</v>
      </c>
    </row>
    <row r="1531" spans="1:6">
      <c r="A1531" t="str">
        <f>"E1082-38"</f>
        <v>E1082-38</v>
      </c>
      <c r="B1531" t="str">
        <f t="shared" si="188"/>
        <v>VIA AGOSTINO NOVELLA  77-</v>
      </c>
      <c r="C1531" t="str">
        <f t="shared" si="186"/>
        <v>3</v>
      </c>
      <c r="D1531">
        <v>12</v>
      </c>
      <c r="E1531" t="str">
        <f>"2"</f>
        <v>2</v>
      </c>
      <c r="F1531" t="str">
        <f t="shared" si="187"/>
        <v>0000</v>
      </c>
    </row>
    <row r="1532" spans="1:6">
      <c r="C1532" t="str">
        <f t="shared" si="186"/>
        <v>3</v>
      </c>
      <c r="D1532">
        <v>12</v>
      </c>
      <c r="E1532" t="str">
        <f>"4"</f>
        <v>4</v>
      </c>
      <c r="F1532" t="str">
        <f t="shared" si="187"/>
        <v>0000</v>
      </c>
    </row>
    <row r="1533" spans="1:6">
      <c r="A1533" t="str">
        <f>"E1082-39"</f>
        <v>E1082-39</v>
      </c>
      <c r="B1533" t="str">
        <f t="shared" si="188"/>
        <v>VIA AGOSTINO NOVELLA  77-</v>
      </c>
      <c r="C1533" t="str">
        <f t="shared" si="186"/>
        <v>3</v>
      </c>
      <c r="D1533">
        <v>12</v>
      </c>
      <c r="E1533" t="str">
        <f>"2"</f>
        <v>2</v>
      </c>
      <c r="F1533" t="str">
        <f t="shared" si="187"/>
        <v>0000</v>
      </c>
    </row>
    <row r="1534" spans="1:6">
      <c r="C1534" t="str">
        <f t="shared" si="186"/>
        <v>3</v>
      </c>
      <c r="D1534">
        <v>12</v>
      </c>
      <c r="E1534" t="str">
        <f>"4"</f>
        <v>4</v>
      </c>
      <c r="F1534" t="str">
        <f t="shared" si="187"/>
        <v>0000</v>
      </c>
    </row>
    <row r="1535" spans="1:6">
      <c r="A1535" t="str">
        <f>"E1082-40"</f>
        <v>E1082-40</v>
      </c>
      <c r="B1535" t="str">
        <f t="shared" si="188"/>
        <v>VIA AGOSTINO NOVELLA  77-</v>
      </c>
      <c r="C1535" t="str">
        <f t="shared" si="186"/>
        <v>3</v>
      </c>
      <c r="D1535">
        <v>12</v>
      </c>
      <c r="E1535" t="str">
        <f>"2"</f>
        <v>2</v>
      </c>
      <c r="F1535" t="str">
        <f t="shared" si="187"/>
        <v>0000</v>
      </c>
    </row>
    <row r="1536" spans="1:6">
      <c r="C1536" t="str">
        <f t="shared" si="186"/>
        <v>3</v>
      </c>
      <c r="D1536">
        <v>12</v>
      </c>
      <c r="E1536" t="str">
        <f>"4"</f>
        <v>4</v>
      </c>
      <c r="F1536" t="str">
        <f t="shared" si="187"/>
        <v>0000</v>
      </c>
    </row>
    <row r="1537" spans="1:6">
      <c r="A1537" t="str">
        <f>"E1082-41"</f>
        <v>E1082-41</v>
      </c>
      <c r="B1537" t="str">
        <f t="shared" si="188"/>
        <v>VIA AGOSTINO NOVELLA  77-</v>
      </c>
      <c r="C1537" t="str">
        <f t="shared" si="186"/>
        <v>3</v>
      </c>
      <c r="D1537">
        <v>12</v>
      </c>
      <c r="E1537" t="str">
        <f>"2"</f>
        <v>2</v>
      </c>
      <c r="F1537" t="str">
        <f t="shared" si="187"/>
        <v>0000</v>
      </c>
    </row>
    <row r="1538" spans="1:6">
      <c r="C1538" t="str">
        <f t="shared" si="186"/>
        <v>3</v>
      </c>
      <c r="D1538">
        <v>12</v>
      </c>
      <c r="E1538" t="str">
        <f>"4"</f>
        <v>4</v>
      </c>
      <c r="F1538" t="str">
        <f t="shared" si="187"/>
        <v>0000</v>
      </c>
    </row>
    <row r="1539" spans="1:6">
      <c r="A1539" t="str">
        <f>"E1082-42"</f>
        <v>E1082-42</v>
      </c>
      <c r="B1539" t="str">
        <f t="shared" si="188"/>
        <v>VIA AGOSTINO NOVELLA  77-</v>
      </c>
      <c r="C1539" t="str">
        <f t="shared" si="186"/>
        <v>3</v>
      </c>
      <c r="D1539">
        <v>12</v>
      </c>
      <c r="E1539" t="str">
        <f>"2"</f>
        <v>2</v>
      </c>
      <c r="F1539" t="str">
        <f t="shared" si="187"/>
        <v>0000</v>
      </c>
    </row>
    <row r="1540" spans="1:6">
      <c r="C1540" t="str">
        <f t="shared" si="186"/>
        <v>3</v>
      </c>
      <c r="D1540">
        <v>12</v>
      </c>
      <c r="E1540" t="str">
        <f>"4"</f>
        <v>4</v>
      </c>
      <c r="F1540" t="str">
        <f t="shared" si="187"/>
        <v>0000</v>
      </c>
    </row>
    <row r="1541" spans="1:6">
      <c r="A1541" t="str">
        <f>"E1082-43"</f>
        <v>E1082-43</v>
      </c>
      <c r="B1541" t="str">
        <f t="shared" ref="B1541:B1567" si="189">"VIA AGOSTINO NOVELLA  89-"</f>
        <v>VIA AGOSTINO NOVELLA  89-</v>
      </c>
      <c r="C1541" t="str">
        <f t="shared" si="186"/>
        <v>3</v>
      </c>
      <c r="D1541">
        <v>12</v>
      </c>
      <c r="E1541" t="str">
        <f>"2"</f>
        <v>2</v>
      </c>
      <c r="F1541" t="str">
        <f t="shared" si="187"/>
        <v>0000</v>
      </c>
    </row>
    <row r="1542" spans="1:6">
      <c r="C1542" t="str">
        <f t="shared" si="186"/>
        <v>3</v>
      </c>
      <c r="D1542">
        <v>12</v>
      </c>
      <c r="E1542" t="str">
        <f>"4"</f>
        <v>4</v>
      </c>
      <c r="F1542" t="str">
        <f t="shared" si="187"/>
        <v>0000</v>
      </c>
    </row>
    <row r="1543" spans="1:6">
      <c r="A1543" t="str">
        <f>"E1082-44"</f>
        <v>E1082-44</v>
      </c>
      <c r="B1543" t="str">
        <f t="shared" si="189"/>
        <v>VIA AGOSTINO NOVELLA  89-</v>
      </c>
      <c r="C1543" t="str">
        <f t="shared" si="186"/>
        <v>3</v>
      </c>
      <c r="D1543">
        <v>12</v>
      </c>
      <c r="E1543" t="str">
        <f>"2"</f>
        <v>2</v>
      </c>
      <c r="F1543" t="str">
        <f t="shared" si="187"/>
        <v>0000</v>
      </c>
    </row>
    <row r="1544" spans="1:6">
      <c r="C1544" t="str">
        <f t="shared" si="186"/>
        <v>3</v>
      </c>
      <c r="D1544">
        <v>12</v>
      </c>
      <c r="E1544" t="str">
        <f>"4"</f>
        <v>4</v>
      </c>
      <c r="F1544" t="str">
        <f t="shared" si="187"/>
        <v>0000</v>
      </c>
    </row>
    <row r="1545" spans="1:6">
      <c r="A1545" t="str">
        <f>"E1082-45"</f>
        <v>E1082-45</v>
      </c>
      <c r="B1545" t="str">
        <f t="shared" si="189"/>
        <v>VIA AGOSTINO NOVELLA  89-</v>
      </c>
      <c r="C1545" t="str">
        <f t="shared" si="186"/>
        <v>3</v>
      </c>
      <c r="D1545">
        <v>12</v>
      </c>
      <c r="E1545" t="str">
        <f>"2"</f>
        <v>2</v>
      </c>
      <c r="F1545" t="str">
        <f t="shared" si="187"/>
        <v>0000</v>
      </c>
    </row>
    <row r="1546" spans="1:6">
      <c r="C1546" t="str">
        <f t="shared" si="186"/>
        <v>3</v>
      </c>
      <c r="D1546">
        <v>12</v>
      </c>
      <c r="E1546" t="str">
        <f>"4"</f>
        <v>4</v>
      </c>
      <c r="F1546" t="str">
        <f t="shared" si="187"/>
        <v>0000</v>
      </c>
    </row>
    <row r="1547" spans="1:6">
      <c r="A1547" t="str">
        <f>"E1082-46"</f>
        <v>E1082-46</v>
      </c>
      <c r="B1547" t="str">
        <f t="shared" si="189"/>
        <v>VIA AGOSTINO NOVELLA  89-</v>
      </c>
      <c r="C1547" t="str">
        <f t="shared" si="186"/>
        <v>3</v>
      </c>
      <c r="D1547">
        <v>12</v>
      </c>
      <c r="E1547" t="str">
        <f>"2"</f>
        <v>2</v>
      </c>
      <c r="F1547" t="str">
        <f t="shared" si="187"/>
        <v>0000</v>
      </c>
    </row>
    <row r="1548" spans="1:6">
      <c r="C1548" t="str">
        <f t="shared" si="186"/>
        <v>3</v>
      </c>
      <c r="D1548">
        <v>12</v>
      </c>
      <c r="E1548" t="str">
        <f>"4"</f>
        <v>4</v>
      </c>
      <c r="F1548" t="str">
        <f t="shared" si="187"/>
        <v>0000</v>
      </c>
    </row>
    <row r="1549" spans="1:6">
      <c r="A1549" t="str">
        <f>"E1082-47"</f>
        <v>E1082-47</v>
      </c>
      <c r="B1549" t="str">
        <f t="shared" si="189"/>
        <v>VIA AGOSTINO NOVELLA  89-</v>
      </c>
      <c r="C1549" t="str">
        <f t="shared" si="186"/>
        <v>3</v>
      </c>
      <c r="D1549">
        <v>12</v>
      </c>
      <c r="E1549" t="str">
        <f>"2"</f>
        <v>2</v>
      </c>
      <c r="F1549" t="str">
        <f t="shared" si="187"/>
        <v>0000</v>
      </c>
    </row>
    <row r="1550" spans="1:6">
      <c r="C1550" t="str">
        <f t="shared" si="186"/>
        <v>3</v>
      </c>
      <c r="D1550">
        <v>12</v>
      </c>
      <c r="E1550" t="str">
        <f>"4"</f>
        <v>4</v>
      </c>
      <c r="F1550" t="str">
        <f t="shared" si="187"/>
        <v>0000</v>
      </c>
    </row>
    <row r="1551" spans="1:6">
      <c r="A1551" t="str">
        <f>"E1082-48"</f>
        <v>E1082-48</v>
      </c>
      <c r="B1551" t="str">
        <f t="shared" si="189"/>
        <v>VIA AGOSTINO NOVELLA  89-</v>
      </c>
      <c r="C1551" t="str">
        <f t="shared" si="186"/>
        <v>3</v>
      </c>
      <c r="D1551">
        <v>12</v>
      </c>
      <c r="E1551" t="str">
        <f>"2"</f>
        <v>2</v>
      </c>
      <c r="F1551" t="str">
        <f t="shared" si="187"/>
        <v>0000</v>
      </c>
    </row>
    <row r="1552" spans="1:6">
      <c r="C1552" t="str">
        <f t="shared" si="186"/>
        <v>3</v>
      </c>
      <c r="D1552">
        <v>12</v>
      </c>
      <c r="E1552" t="str">
        <f>"4"</f>
        <v>4</v>
      </c>
      <c r="F1552" t="str">
        <f t="shared" si="187"/>
        <v>0000</v>
      </c>
    </row>
    <row r="1553" spans="1:6">
      <c r="A1553" t="str">
        <f>"E1082-49"</f>
        <v>E1082-49</v>
      </c>
      <c r="B1553" t="str">
        <f t="shared" si="189"/>
        <v>VIA AGOSTINO NOVELLA  89-</v>
      </c>
      <c r="C1553" t="str">
        <f t="shared" si="186"/>
        <v>3</v>
      </c>
      <c r="D1553">
        <v>12</v>
      </c>
      <c r="E1553" t="str">
        <f>"2"</f>
        <v>2</v>
      </c>
      <c r="F1553" t="str">
        <f t="shared" si="187"/>
        <v>0000</v>
      </c>
    </row>
    <row r="1554" spans="1:6">
      <c r="C1554" t="str">
        <f t="shared" si="186"/>
        <v>3</v>
      </c>
      <c r="D1554">
        <v>12</v>
      </c>
      <c r="E1554" t="str">
        <f>"4"</f>
        <v>4</v>
      </c>
      <c r="F1554" t="str">
        <f t="shared" si="187"/>
        <v>0000</v>
      </c>
    </row>
    <row r="1555" spans="1:6">
      <c r="A1555" t="str">
        <f>"E1082-50"</f>
        <v>E1082-50</v>
      </c>
      <c r="B1555" t="str">
        <f t="shared" si="189"/>
        <v>VIA AGOSTINO NOVELLA  89-</v>
      </c>
      <c r="C1555" t="str">
        <f t="shared" si="186"/>
        <v>3</v>
      </c>
      <c r="D1555">
        <v>12</v>
      </c>
      <c r="E1555" t="str">
        <f>"2"</f>
        <v>2</v>
      </c>
      <c r="F1555" t="str">
        <f t="shared" si="187"/>
        <v>0000</v>
      </c>
    </row>
    <row r="1556" spans="1:6">
      <c r="C1556" t="str">
        <f t="shared" si="186"/>
        <v>3</v>
      </c>
      <c r="D1556">
        <v>12</v>
      </c>
      <c r="E1556" t="str">
        <f>"4"</f>
        <v>4</v>
      </c>
      <c r="F1556" t="str">
        <f t="shared" si="187"/>
        <v>0000</v>
      </c>
    </row>
    <row r="1557" spans="1:6">
      <c r="A1557" t="str">
        <f>"E1082-51"</f>
        <v>E1082-51</v>
      </c>
      <c r="B1557" t="str">
        <f t="shared" si="189"/>
        <v>VIA AGOSTINO NOVELLA  89-</v>
      </c>
      <c r="C1557" t="str">
        <f t="shared" si="186"/>
        <v>3</v>
      </c>
      <c r="D1557">
        <v>12</v>
      </c>
      <c r="E1557" t="str">
        <f>"2"</f>
        <v>2</v>
      </c>
      <c r="F1557" t="str">
        <f t="shared" si="187"/>
        <v>0000</v>
      </c>
    </row>
    <row r="1558" spans="1:6">
      <c r="C1558" t="str">
        <f t="shared" ref="C1558:C1621" si="190">"3"</f>
        <v>3</v>
      </c>
      <c r="D1558">
        <v>12</v>
      </c>
      <c r="E1558" t="str">
        <f>"4"</f>
        <v>4</v>
      </c>
      <c r="F1558" t="str">
        <f t="shared" ref="F1558:F1621" si="191">"0000"</f>
        <v>0000</v>
      </c>
    </row>
    <row r="1559" spans="1:6">
      <c r="A1559" t="str">
        <f>"E1082-52"</f>
        <v>E1082-52</v>
      </c>
      <c r="B1559" t="str">
        <f t="shared" si="189"/>
        <v>VIA AGOSTINO NOVELLA  89-</v>
      </c>
      <c r="C1559" t="str">
        <f t="shared" si="190"/>
        <v>3</v>
      </c>
      <c r="D1559">
        <v>12</v>
      </c>
      <c r="E1559" t="str">
        <f>"2"</f>
        <v>2</v>
      </c>
      <c r="F1559" t="str">
        <f t="shared" si="191"/>
        <v>0000</v>
      </c>
    </row>
    <row r="1560" spans="1:6">
      <c r="C1560" t="str">
        <f t="shared" si="190"/>
        <v>3</v>
      </c>
      <c r="D1560">
        <v>12</v>
      </c>
      <c r="E1560" t="str">
        <f>"4"</f>
        <v>4</v>
      </c>
      <c r="F1560" t="str">
        <f t="shared" si="191"/>
        <v>0000</v>
      </c>
    </row>
    <row r="1561" spans="1:6">
      <c r="A1561" t="str">
        <f>"E1082-53"</f>
        <v>E1082-53</v>
      </c>
      <c r="B1561" t="str">
        <f t="shared" si="189"/>
        <v>VIA AGOSTINO NOVELLA  89-</v>
      </c>
      <c r="C1561" t="str">
        <f t="shared" si="190"/>
        <v>3</v>
      </c>
      <c r="D1561">
        <v>12</v>
      </c>
      <c r="E1561" t="str">
        <f>"2"</f>
        <v>2</v>
      </c>
      <c r="F1561" t="str">
        <f t="shared" si="191"/>
        <v>0000</v>
      </c>
    </row>
    <row r="1562" spans="1:6">
      <c r="C1562" t="str">
        <f t="shared" si="190"/>
        <v>3</v>
      </c>
      <c r="D1562">
        <v>12</v>
      </c>
      <c r="E1562" t="str">
        <f>"4"</f>
        <v>4</v>
      </c>
      <c r="F1562" t="str">
        <f t="shared" si="191"/>
        <v>0000</v>
      </c>
    </row>
    <row r="1563" spans="1:6">
      <c r="A1563" t="str">
        <f>"E1082-54"</f>
        <v>E1082-54</v>
      </c>
      <c r="B1563" t="str">
        <f t="shared" si="189"/>
        <v>VIA AGOSTINO NOVELLA  89-</v>
      </c>
      <c r="C1563" t="str">
        <f t="shared" si="190"/>
        <v>3</v>
      </c>
      <c r="D1563">
        <v>12</v>
      </c>
      <c r="E1563" t="str">
        <f>"2"</f>
        <v>2</v>
      </c>
      <c r="F1563" t="str">
        <f t="shared" si="191"/>
        <v>0000</v>
      </c>
    </row>
    <row r="1564" spans="1:6">
      <c r="C1564" t="str">
        <f t="shared" si="190"/>
        <v>3</v>
      </c>
      <c r="D1564">
        <v>12</v>
      </c>
      <c r="E1564" t="str">
        <f>"4"</f>
        <v>4</v>
      </c>
      <c r="F1564" t="str">
        <f t="shared" si="191"/>
        <v>0000</v>
      </c>
    </row>
    <row r="1565" spans="1:6">
      <c r="A1565" t="str">
        <f>"E1082-55"</f>
        <v>E1082-55</v>
      </c>
      <c r="B1565" t="str">
        <f t="shared" si="189"/>
        <v>VIA AGOSTINO NOVELLA  89-</v>
      </c>
      <c r="C1565" t="str">
        <f t="shared" si="190"/>
        <v>3</v>
      </c>
      <c r="D1565">
        <v>12</v>
      </c>
      <c r="E1565" t="str">
        <f>"2"</f>
        <v>2</v>
      </c>
      <c r="F1565" t="str">
        <f t="shared" si="191"/>
        <v>0000</v>
      </c>
    </row>
    <row r="1566" spans="1:6">
      <c r="C1566" t="str">
        <f t="shared" si="190"/>
        <v>3</v>
      </c>
      <c r="D1566">
        <v>12</v>
      </c>
      <c r="E1566" t="str">
        <f>"4"</f>
        <v>4</v>
      </c>
      <c r="F1566" t="str">
        <f t="shared" si="191"/>
        <v>0000</v>
      </c>
    </row>
    <row r="1567" spans="1:6">
      <c r="A1567" t="str">
        <f>"E1082-56"</f>
        <v>E1082-56</v>
      </c>
      <c r="B1567" t="str">
        <f t="shared" si="189"/>
        <v>VIA AGOSTINO NOVELLA  89-</v>
      </c>
      <c r="C1567" t="str">
        <f t="shared" si="190"/>
        <v>3</v>
      </c>
      <c r="D1567">
        <v>12</v>
      </c>
      <c r="E1567" t="str">
        <f>"2"</f>
        <v>2</v>
      </c>
      <c r="F1567" t="str">
        <f t="shared" si="191"/>
        <v>0000</v>
      </c>
    </row>
    <row r="1568" spans="1:6">
      <c r="C1568" t="str">
        <f t="shared" si="190"/>
        <v>3</v>
      </c>
      <c r="D1568">
        <v>12</v>
      </c>
      <c r="E1568" t="str">
        <f>"4"</f>
        <v>4</v>
      </c>
      <c r="F1568" t="str">
        <f t="shared" si="191"/>
        <v>0000</v>
      </c>
    </row>
    <row r="1569" spans="1:6">
      <c r="A1569" t="str">
        <f>"E1082-57"</f>
        <v>E1082-57</v>
      </c>
      <c r="B1569" t="str">
        <f t="shared" ref="B1569:B1595" si="192">"VIA AGOSTINO NOVELLA  91-"</f>
        <v>VIA AGOSTINO NOVELLA  91-</v>
      </c>
      <c r="C1569" t="str">
        <f t="shared" si="190"/>
        <v>3</v>
      </c>
      <c r="D1569">
        <v>12</v>
      </c>
      <c r="E1569" t="str">
        <f>"2"</f>
        <v>2</v>
      </c>
      <c r="F1569" t="str">
        <f t="shared" si="191"/>
        <v>0000</v>
      </c>
    </row>
    <row r="1570" spans="1:6">
      <c r="C1570" t="str">
        <f t="shared" si="190"/>
        <v>3</v>
      </c>
      <c r="D1570">
        <v>12</v>
      </c>
      <c r="E1570" t="str">
        <f>"4"</f>
        <v>4</v>
      </c>
      <c r="F1570" t="str">
        <f t="shared" si="191"/>
        <v>0000</v>
      </c>
    </row>
    <row r="1571" spans="1:6">
      <c r="A1571" t="str">
        <f>"E1082-58"</f>
        <v>E1082-58</v>
      </c>
      <c r="B1571" t="str">
        <f t="shared" si="192"/>
        <v>VIA AGOSTINO NOVELLA  91-</v>
      </c>
      <c r="C1571" t="str">
        <f t="shared" si="190"/>
        <v>3</v>
      </c>
      <c r="D1571">
        <v>12</v>
      </c>
      <c r="E1571" t="str">
        <f>"2"</f>
        <v>2</v>
      </c>
      <c r="F1571" t="str">
        <f t="shared" si="191"/>
        <v>0000</v>
      </c>
    </row>
    <row r="1572" spans="1:6">
      <c r="C1572" t="str">
        <f t="shared" si="190"/>
        <v>3</v>
      </c>
      <c r="D1572">
        <v>12</v>
      </c>
      <c r="E1572" t="str">
        <f>"4"</f>
        <v>4</v>
      </c>
      <c r="F1572" t="str">
        <f t="shared" si="191"/>
        <v>0000</v>
      </c>
    </row>
    <row r="1573" spans="1:6">
      <c r="A1573" t="str">
        <f>"E1082-59"</f>
        <v>E1082-59</v>
      </c>
      <c r="B1573" t="str">
        <f t="shared" si="192"/>
        <v>VIA AGOSTINO NOVELLA  91-</v>
      </c>
      <c r="C1573" t="str">
        <f t="shared" si="190"/>
        <v>3</v>
      </c>
      <c r="D1573">
        <v>12</v>
      </c>
      <c r="E1573" t="str">
        <f>"2"</f>
        <v>2</v>
      </c>
      <c r="F1573" t="str">
        <f t="shared" si="191"/>
        <v>0000</v>
      </c>
    </row>
    <row r="1574" spans="1:6">
      <c r="C1574" t="str">
        <f t="shared" si="190"/>
        <v>3</v>
      </c>
      <c r="D1574">
        <v>12</v>
      </c>
      <c r="E1574" t="str">
        <f>"4"</f>
        <v>4</v>
      </c>
      <c r="F1574" t="str">
        <f t="shared" si="191"/>
        <v>0000</v>
      </c>
    </row>
    <row r="1575" spans="1:6">
      <c r="A1575" t="str">
        <f>"E1082-60"</f>
        <v>E1082-60</v>
      </c>
      <c r="B1575" t="str">
        <f t="shared" si="192"/>
        <v>VIA AGOSTINO NOVELLA  91-</v>
      </c>
      <c r="C1575" t="str">
        <f t="shared" si="190"/>
        <v>3</v>
      </c>
      <c r="D1575">
        <v>12</v>
      </c>
      <c r="E1575" t="str">
        <f>"2"</f>
        <v>2</v>
      </c>
      <c r="F1575" t="str">
        <f t="shared" si="191"/>
        <v>0000</v>
      </c>
    </row>
    <row r="1576" spans="1:6">
      <c r="C1576" t="str">
        <f t="shared" si="190"/>
        <v>3</v>
      </c>
      <c r="D1576">
        <v>12</v>
      </c>
      <c r="E1576" t="str">
        <f>"4"</f>
        <v>4</v>
      </c>
      <c r="F1576" t="str">
        <f t="shared" si="191"/>
        <v>0000</v>
      </c>
    </row>
    <row r="1577" spans="1:6">
      <c r="A1577" t="str">
        <f>"E1082-61"</f>
        <v>E1082-61</v>
      </c>
      <c r="B1577" t="str">
        <f t="shared" si="192"/>
        <v>VIA AGOSTINO NOVELLA  91-</v>
      </c>
      <c r="C1577" t="str">
        <f t="shared" si="190"/>
        <v>3</v>
      </c>
      <c r="D1577">
        <v>12</v>
      </c>
      <c r="E1577" t="str">
        <f>"2"</f>
        <v>2</v>
      </c>
      <c r="F1577" t="str">
        <f t="shared" si="191"/>
        <v>0000</v>
      </c>
    </row>
    <row r="1578" spans="1:6">
      <c r="C1578" t="str">
        <f t="shared" si="190"/>
        <v>3</v>
      </c>
      <c r="D1578">
        <v>12</v>
      </c>
      <c r="E1578" t="str">
        <f>"4"</f>
        <v>4</v>
      </c>
      <c r="F1578" t="str">
        <f t="shared" si="191"/>
        <v>0000</v>
      </c>
    </row>
    <row r="1579" spans="1:6">
      <c r="A1579" t="str">
        <f>"E1082-62"</f>
        <v>E1082-62</v>
      </c>
      <c r="B1579" t="str">
        <f t="shared" si="192"/>
        <v>VIA AGOSTINO NOVELLA  91-</v>
      </c>
      <c r="C1579" t="str">
        <f t="shared" si="190"/>
        <v>3</v>
      </c>
      <c r="D1579">
        <v>12</v>
      </c>
      <c r="E1579" t="str">
        <f>"2"</f>
        <v>2</v>
      </c>
      <c r="F1579" t="str">
        <f t="shared" si="191"/>
        <v>0000</v>
      </c>
    </row>
    <row r="1580" spans="1:6">
      <c r="C1580" t="str">
        <f t="shared" si="190"/>
        <v>3</v>
      </c>
      <c r="D1580">
        <v>12</v>
      </c>
      <c r="E1580" t="str">
        <f>"4"</f>
        <v>4</v>
      </c>
      <c r="F1580" t="str">
        <f t="shared" si="191"/>
        <v>0000</v>
      </c>
    </row>
    <row r="1581" spans="1:6">
      <c r="A1581" t="str">
        <f>"E1082-63"</f>
        <v>E1082-63</v>
      </c>
      <c r="B1581" t="str">
        <f t="shared" si="192"/>
        <v>VIA AGOSTINO NOVELLA  91-</v>
      </c>
      <c r="C1581" t="str">
        <f t="shared" si="190"/>
        <v>3</v>
      </c>
      <c r="D1581">
        <v>12</v>
      </c>
      <c r="E1581" t="str">
        <f>"2"</f>
        <v>2</v>
      </c>
      <c r="F1581" t="str">
        <f t="shared" si="191"/>
        <v>0000</v>
      </c>
    </row>
    <row r="1582" spans="1:6">
      <c r="C1582" t="str">
        <f t="shared" si="190"/>
        <v>3</v>
      </c>
      <c r="D1582">
        <v>12</v>
      </c>
      <c r="E1582" t="str">
        <f>"4"</f>
        <v>4</v>
      </c>
      <c r="F1582" t="str">
        <f t="shared" si="191"/>
        <v>0000</v>
      </c>
    </row>
    <row r="1583" spans="1:6">
      <c r="A1583" t="str">
        <f>"E1082-64"</f>
        <v>E1082-64</v>
      </c>
      <c r="B1583" t="str">
        <f t="shared" si="192"/>
        <v>VIA AGOSTINO NOVELLA  91-</v>
      </c>
      <c r="C1583" t="str">
        <f t="shared" si="190"/>
        <v>3</v>
      </c>
      <c r="D1583">
        <v>12</v>
      </c>
      <c r="E1583" t="str">
        <f>"2"</f>
        <v>2</v>
      </c>
      <c r="F1583" t="str">
        <f t="shared" si="191"/>
        <v>0000</v>
      </c>
    </row>
    <row r="1584" spans="1:6">
      <c r="C1584" t="str">
        <f t="shared" si="190"/>
        <v>3</v>
      </c>
      <c r="D1584">
        <v>12</v>
      </c>
      <c r="E1584" t="str">
        <f>"4"</f>
        <v>4</v>
      </c>
      <c r="F1584" t="str">
        <f t="shared" si="191"/>
        <v>0000</v>
      </c>
    </row>
    <row r="1585" spans="1:6">
      <c r="A1585" t="str">
        <f>"E1082-65"</f>
        <v>E1082-65</v>
      </c>
      <c r="B1585" t="str">
        <f t="shared" si="192"/>
        <v>VIA AGOSTINO NOVELLA  91-</v>
      </c>
      <c r="C1585" t="str">
        <f t="shared" si="190"/>
        <v>3</v>
      </c>
      <c r="D1585">
        <v>12</v>
      </c>
      <c r="E1585" t="str">
        <f>"2"</f>
        <v>2</v>
      </c>
      <c r="F1585" t="str">
        <f t="shared" si="191"/>
        <v>0000</v>
      </c>
    </row>
    <row r="1586" spans="1:6">
      <c r="C1586" t="str">
        <f t="shared" si="190"/>
        <v>3</v>
      </c>
      <c r="D1586">
        <v>12</v>
      </c>
      <c r="E1586" t="str">
        <f>"4"</f>
        <v>4</v>
      </c>
      <c r="F1586" t="str">
        <f t="shared" si="191"/>
        <v>0000</v>
      </c>
    </row>
    <row r="1587" spans="1:6">
      <c r="A1587" t="str">
        <f>"E1082-66"</f>
        <v>E1082-66</v>
      </c>
      <c r="B1587" t="str">
        <f t="shared" si="192"/>
        <v>VIA AGOSTINO NOVELLA  91-</v>
      </c>
      <c r="C1587" t="str">
        <f t="shared" si="190"/>
        <v>3</v>
      </c>
      <c r="D1587">
        <v>12</v>
      </c>
      <c r="E1587" t="str">
        <f>"2"</f>
        <v>2</v>
      </c>
      <c r="F1587" t="str">
        <f t="shared" si="191"/>
        <v>0000</v>
      </c>
    </row>
    <row r="1588" spans="1:6">
      <c r="C1588" t="str">
        <f t="shared" si="190"/>
        <v>3</v>
      </c>
      <c r="D1588">
        <v>12</v>
      </c>
      <c r="E1588" t="str">
        <f>"4"</f>
        <v>4</v>
      </c>
      <c r="F1588" t="str">
        <f t="shared" si="191"/>
        <v>0000</v>
      </c>
    </row>
    <row r="1589" spans="1:6">
      <c r="A1589" t="str">
        <f>"E1082-67"</f>
        <v>E1082-67</v>
      </c>
      <c r="B1589" t="str">
        <f t="shared" si="192"/>
        <v>VIA AGOSTINO NOVELLA  91-</v>
      </c>
      <c r="C1589" t="str">
        <f t="shared" si="190"/>
        <v>3</v>
      </c>
      <c r="D1589">
        <v>12</v>
      </c>
      <c r="E1589" t="str">
        <f>"2"</f>
        <v>2</v>
      </c>
      <c r="F1589" t="str">
        <f t="shared" si="191"/>
        <v>0000</v>
      </c>
    </row>
    <row r="1590" spans="1:6">
      <c r="C1590" t="str">
        <f t="shared" si="190"/>
        <v>3</v>
      </c>
      <c r="D1590">
        <v>12</v>
      </c>
      <c r="E1590" t="str">
        <f>"4"</f>
        <v>4</v>
      </c>
      <c r="F1590" t="str">
        <f t="shared" si="191"/>
        <v>0000</v>
      </c>
    </row>
    <row r="1591" spans="1:6">
      <c r="A1591" t="str">
        <f>"E1082-68"</f>
        <v>E1082-68</v>
      </c>
      <c r="B1591" t="str">
        <f t="shared" si="192"/>
        <v>VIA AGOSTINO NOVELLA  91-</v>
      </c>
      <c r="C1591" t="str">
        <f t="shared" si="190"/>
        <v>3</v>
      </c>
      <c r="D1591">
        <v>12</v>
      </c>
      <c r="E1591" t="str">
        <f>"2"</f>
        <v>2</v>
      </c>
      <c r="F1591" t="str">
        <f t="shared" si="191"/>
        <v>0000</v>
      </c>
    </row>
    <row r="1592" spans="1:6">
      <c r="C1592" t="str">
        <f t="shared" si="190"/>
        <v>3</v>
      </c>
      <c r="D1592">
        <v>12</v>
      </c>
      <c r="E1592" t="str">
        <f>"4"</f>
        <v>4</v>
      </c>
      <c r="F1592" t="str">
        <f t="shared" si="191"/>
        <v>0000</v>
      </c>
    </row>
    <row r="1593" spans="1:6">
      <c r="A1593" t="str">
        <f>"E1082-69"</f>
        <v>E1082-69</v>
      </c>
      <c r="B1593" t="str">
        <f t="shared" si="192"/>
        <v>VIA AGOSTINO NOVELLA  91-</v>
      </c>
      <c r="C1593" t="str">
        <f t="shared" si="190"/>
        <v>3</v>
      </c>
      <c r="D1593">
        <v>12</v>
      </c>
      <c r="E1593" t="str">
        <f>"2"</f>
        <v>2</v>
      </c>
      <c r="F1593" t="str">
        <f t="shared" si="191"/>
        <v>0000</v>
      </c>
    </row>
    <row r="1594" spans="1:6">
      <c r="C1594" t="str">
        <f t="shared" si="190"/>
        <v>3</v>
      </c>
      <c r="D1594">
        <v>12</v>
      </c>
      <c r="E1594" t="str">
        <f>"4"</f>
        <v>4</v>
      </c>
      <c r="F1594" t="str">
        <f t="shared" si="191"/>
        <v>0000</v>
      </c>
    </row>
    <row r="1595" spans="1:6">
      <c r="A1595" t="str">
        <f>"E1082-70"</f>
        <v>E1082-70</v>
      </c>
      <c r="B1595" t="str">
        <f t="shared" si="192"/>
        <v>VIA AGOSTINO NOVELLA  91-</v>
      </c>
      <c r="C1595" t="str">
        <f t="shared" si="190"/>
        <v>3</v>
      </c>
      <c r="D1595">
        <v>12</v>
      </c>
      <c r="E1595" t="str">
        <f>"2"</f>
        <v>2</v>
      </c>
      <c r="F1595" t="str">
        <f t="shared" si="191"/>
        <v>0000</v>
      </c>
    </row>
    <row r="1596" spans="1:6">
      <c r="C1596" t="str">
        <f t="shared" si="190"/>
        <v>3</v>
      </c>
      <c r="D1596">
        <v>12</v>
      </c>
      <c r="E1596" t="str">
        <f>"4"</f>
        <v>4</v>
      </c>
      <c r="F1596" t="str">
        <f t="shared" si="191"/>
        <v>0000</v>
      </c>
    </row>
    <row r="1597" spans="1:6">
      <c r="A1597" t="str">
        <f>"E1082-71"</f>
        <v>E1082-71</v>
      </c>
      <c r="B1597" t="str">
        <f t="shared" ref="B1597:B1623" si="193">"VIA AGOSTINO NOVELLA  93-"</f>
        <v>VIA AGOSTINO NOVELLA  93-</v>
      </c>
      <c r="C1597" t="str">
        <f t="shared" si="190"/>
        <v>3</v>
      </c>
      <c r="D1597">
        <v>12</v>
      </c>
      <c r="E1597" t="str">
        <f>"2"</f>
        <v>2</v>
      </c>
      <c r="F1597" t="str">
        <f t="shared" si="191"/>
        <v>0000</v>
      </c>
    </row>
    <row r="1598" spans="1:6">
      <c r="C1598" t="str">
        <f t="shared" si="190"/>
        <v>3</v>
      </c>
      <c r="D1598">
        <v>12</v>
      </c>
      <c r="E1598" t="str">
        <f>"4"</f>
        <v>4</v>
      </c>
      <c r="F1598" t="str">
        <f t="shared" si="191"/>
        <v>0000</v>
      </c>
    </row>
    <row r="1599" spans="1:6">
      <c r="A1599" t="str">
        <f>"E1082-72"</f>
        <v>E1082-72</v>
      </c>
      <c r="B1599" t="str">
        <f t="shared" si="193"/>
        <v>VIA AGOSTINO NOVELLA  93-</v>
      </c>
      <c r="C1599" t="str">
        <f t="shared" si="190"/>
        <v>3</v>
      </c>
      <c r="D1599">
        <v>12</v>
      </c>
      <c r="E1599" t="str">
        <f>"2"</f>
        <v>2</v>
      </c>
      <c r="F1599" t="str">
        <f t="shared" si="191"/>
        <v>0000</v>
      </c>
    </row>
    <row r="1600" spans="1:6">
      <c r="C1600" t="str">
        <f t="shared" si="190"/>
        <v>3</v>
      </c>
      <c r="D1600">
        <v>12</v>
      </c>
      <c r="E1600" t="str">
        <f>"4"</f>
        <v>4</v>
      </c>
      <c r="F1600" t="str">
        <f t="shared" si="191"/>
        <v>0000</v>
      </c>
    </row>
    <row r="1601" spans="1:6">
      <c r="A1601" t="str">
        <f>"E1082-73"</f>
        <v>E1082-73</v>
      </c>
      <c r="B1601" t="str">
        <f t="shared" si="193"/>
        <v>VIA AGOSTINO NOVELLA  93-</v>
      </c>
      <c r="C1601" t="str">
        <f t="shared" si="190"/>
        <v>3</v>
      </c>
      <c r="D1601">
        <v>12</v>
      </c>
      <c r="E1601" t="str">
        <f>"2"</f>
        <v>2</v>
      </c>
      <c r="F1601" t="str">
        <f t="shared" si="191"/>
        <v>0000</v>
      </c>
    </row>
    <row r="1602" spans="1:6">
      <c r="C1602" t="str">
        <f t="shared" si="190"/>
        <v>3</v>
      </c>
      <c r="D1602">
        <v>12</v>
      </c>
      <c r="E1602" t="str">
        <f>"4"</f>
        <v>4</v>
      </c>
      <c r="F1602" t="str">
        <f t="shared" si="191"/>
        <v>0000</v>
      </c>
    </row>
    <row r="1603" spans="1:6">
      <c r="A1603" t="str">
        <f>"E1082-74"</f>
        <v>E1082-74</v>
      </c>
      <c r="B1603" t="str">
        <f t="shared" si="193"/>
        <v>VIA AGOSTINO NOVELLA  93-</v>
      </c>
      <c r="C1603" t="str">
        <f t="shared" si="190"/>
        <v>3</v>
      </c>
      <c r="D1603">
        <v>12</v>
      </c>
      <c r="E1603" t="str">
        <f>"2"</f>
        <v>2</v>
      </c>
      <c r="F1603" t="str">
        <f t="shared" si="191"/>
        <v>0000</v>
      </c>
    </row>
    <row r="1604" spans="1:6">
      <c r="C1604" t="str">
        <f t="shared" si="190"/>
        <v>3</v>
      </c>
      <c r="D1604">
        <v>12</v>
      </c>
      <c r="E1604" t="str">
        <f>"4"</f>
        <v>4</v>
      </c>
      <c r="F1604" t="str">
        <f t="shared" si="191"/>
        <v>0000</v>
      </c>
    </row>
    <row r="1605" spans="1:6">
      <c r="A1605" t="str">
        <f>"E1082-75"</f>
        <v>E1082-75</v>
      </c>
      <c r="B1605" t="str">
        <f t="shared" si="193"/>
        <v>VIA AGOSTINO NOVELLA  93-</v>
      </c>
      <c r="C1605" t="str">
        <f t="shared" si="190"/>
        <v>3</v>
      </c>
      <c r="D1605">
        <v>12</v>
      </c>
      <c r="E1605" t="str">
        <f>"2"</f>
        <v>2</v>
      </c>
      <c r="F1605" t="str">
        <f t="shared" si="191"/>
        <v>0000</v>
      </c>
    </row>
    <row r="1606" spans="1:6">
      <c r="C1606" t="str">
        <f t="shared" si="190"/>
        <v>3</v>
      </c>
      <c r="D1606">
        <v>12</v>
      </c>
      <c r="E1606" t="str">
        <f>"4"</f>
        <v>4</v>
      </c>
      <c r="F1606" t="str">
        <f t="shared" si="191"/>
        <v>0000</v>
      </c>
    </row>
    <row r="1607" spans="1:6">
      <c r="A1607" t="str">
        <f>"E1082-76"</f>
        <v>E1082-76</v>
      </c>
      <c r="B1607" t="str">
        <f t="shared" si="193"/>
        <v>VIA AGOSTINO NOVELLA  93-</v>
      </c>
      <c r="C1607" t="str">
        <f t="shared" si="190"/>
        <v>3</v>
      </c>
      <c r="D1607">
        <v>12</v>
      </c>
      <c r="E1607" t="str">
        <f>"2"</f>
        <v>2</v>
      </c>
      <c r="F1607" t="str">
        <f t="shared" si="191"/>
        <v>0000</v>
      </c>
    </row>
    <row r="1608" spans="1:6">
      <c r="C1608" t="str">
        <f t="shared" si="190"/>
        <v>3</v>
      </c>
      <c r="D1608">
        <v>12</v>
      </c>
      <c r="E1608" t="str">
        <f>"4"</f>
        <v>4</v>
      </c>
      <c r="F1608" t="str">
        <f t="shared" si="191"/>
        <v>0000</v>
      </c>
    </row>
    <row r="1609" spans="1:6">
      <c r="A1609" t="str">
        <f>"E1082-77"</f>
        <v>E1082-77</v>
      </c>
      <c r="B1609" t="str">
        <f t="shared" si="193"/>
        <v>VIA AGOSTINO NOVELLA  93-</v>
      </c>
      <c r="C1609" t="str">
        <f t="shared" si="190"/>
        <v>3</v>
      </c>
      <c r="D1609">
        <v>12</v>
      </c>
      <c r="E1609" t="str">
        <f>"2"</f>
        <v>2</v>
      </c>
      <c r="F1609" t="str">
        <f t="shared" si="191"/>
        <v>0000</v>
      </c>
    </row>
    <row r="1610" spans="1:6">
      <c r="C1610" t="str">
        <f t="shared" si="190"/>
        <v>3</v>
      </c>
      <c r="D1610">
        <v>12</v>
      </c>
      <c r="E1610" t="str">
        <f>"4"</f>
        <v>4</v>
      </c>
      <c r="F1610" t="str">
        <f t="shared" si="191"/>
        <v>0000</v>
      </c>
    </row>
    <row r="1611" spans="1:6">
      <c r="A1611" t="str">
        <f>"E1082-78"</f>
        <v>E1082-78</v>
      </c>
      <c r="B1611" t="str">
        <f t="shared" si="193"/>
        <v>VIA AGOSTINO NOVELLA  93-</v>
      </c>
      <c r="C1611" t="str">
        <f t="shared" si="190"/>
        <v>3</v>
      </c>
      <c r="D1611">
        <v>12</v>
      </c>
      <c r="E1611" t="str">
        <f>"2"</f>
        <v>2</v>
      </c>
      <c r="F1611" t="str">
        <f t="shared" si="191"/>
        <v>0000</v>
      </c>
    </row>
    <row r="1612" spans="1:6">
      <c r="C1612" t="str">
        <f t="shared" si="190"/>
        <v>3</v>
      </c>
      <c r="D1612">
        <v>12</v>
      </c>
      <c r="E1612" t="str">
        <f>"4"</f>
        <v>4</v>
      </c>
      <c r="F1612" t="str">
        <f t="shared" si="191"/>
        <v>0000</v>
      </c>
    </row>
    <row r="1613" spans="1:6">
      <c r="A1613" t="str">
        <f>"E1082-79"</f>
        <v>E1082-79</v>
      </c>
      <c r="B1613" t="str">
        <f t="shared" si="193"/>
        <v>VIA AGOSTINO NOVELLA  93-</v>
      </c>
      <c r="C1613" t="str">
        <f t="shared" si="190"/>
        <v>3</v>
      </c>
      <c r="D1613">
        <v>12</v>
      </c>
      <c r="E1613" t="str">
        <f>"2"</f>
        <v>2</v>
      </c>
      <c r="F1613" t="str">
        <f t="shared" si="191"/>
        <v>0000</v>
      </c>
    </row>
    <row r="1614" spans="1:6">
      <c r="C1614" t="str">
        <f t="shared" si="190"/>
        <v>3</v>
      </c>
      <c r="D1614">
        <v>12</v>
      </c>
      <c r="E1614" t="str">
        <f>"4"</f>
        <v>4</v>
      </c>
      <c r="F1614" t="str">
        <f t="shared" si="191"/>
        <v>0000</v>
      </c>
    </row>
    <row r="1615" spans="1:6">
      <c r="A1615" t="str">
        <f>"E1082-80"</f>
        <v>E1082-80</v>
      </c>
      <c r="B1615" t="str">
        <f t="shared" si="193"/>
        <v>VIA AGOSTINO NOVELLA  93-</v>
      </c>
      <c r="C1615" t="str">
        <f t="shared" si="190"/>
        <v>3</v>
      </c>
      <c r="D1615">
        <v>12</v>
      </c>
      <c r="E1615" t="str">
        <f>"2"</f>
        <v>2</v>
      </c>
      <c r="F1615" t="str">
        <f t="shared" si="191"/>
        <v>0000</v>
      </c>
    </row>
    <row r="1616" spans="1:6">
      <c r="C1616" t="str">
        <f t="shared" si="190"/>
        <v>3</v>
      </c>
      <c r="D1616">
        <v>12</v>
      </c>
      <c r="E1616" t="str">
        <f>"4"</f>
        <v>4</v>
      </c>
      <c r="F1616" t="str">
        <f t="shared" si="191"/>
        <v>0000</v>
      </c>
    </row>
    <row r="1617" spans="1:6">
      <c r="A1617" t="str">
        <f>"E1082-81"</f>
        <v>E1082-81</v>
      </c>
      <c r="B1617" t="str">
        <f t="shared" si="193"/>
        <v>VIA AGOSTINO NOVELLA  93-</v>
      </c>
      <c r="C1617" t="str">
        <f t="shared" si="190"/>
        <v>3</v>
      </c>
      <c r="D1617">
        <v>12</v>
      </c>
      <c r="E1617" t="str">
        <f>"2"</f>
        <v>2</v>
      </c>
      <c r="F1617" t="str">
        <f t="shared" si="191"/>
        <v>0000</v>
      </c>
    </row>
    <row r="1618" spans="1:6">
      <c r="C1618" t="str">
        <f t="shared" si="190"/>
        <v>3</v>
      </c>
      <c r="D1618">
        <v>12</v>
      </c>
      <c r="E1618" t="str">
        <f>"4"</f>
        <v>4</v>
      </c>
      <c r="F1618" t="str">
        <f t="shared" si="191"/>
        <v>0000</v>
      </c>
    </row>
    <row r="1619" spans="1:6">
      <c r="A1619" t="str">
        <f>"E1082-82"</f>
        <v>E1082-82</v>
      </c>
      <c r="B1619" t="str">
        <f t="shared" si="193"/>
        <v>VIA AGOSTINO NOVELLA  93-</v>
      </c>
      <c r="C1619" t="str">
        <f t="shared" si="190"/>
        <v>3</v>
      </c>
      <c r="D1619">
        <v>12</v>
      </c>
      <c r="E1619" t="str">
        <f>"2"</f>
        <v>2</v>
      </c>
      <c r="F1619" t="str">
        <f t="shared" si="191"/>
        <v>0000</v>
      </c>
    </row>
    <row r="1620" spans="1:6">
      <c r="C1620" t="str">
        <f t="shared" si="190"/>
        <v>3</v>
      </c>
      <c r="D1620">
        <v>12</v>
      </c>
      <c r="E1620" t="str">
        <f>"4"</f>
        <v>4</v>
      </c>
      <c r="F1620" t="str">
        <f t="shared" si="191"/>
        <v>0000</v>
      </c>
    </row>
    <row r="1621" spans="1:6">
      <c r="A1621" t="str">
        <f>"E1082-83"</f>
        <v>E1082-83</v>
      </c>
      <c r="B1621" t="str">
        <f t="shared" si="193"/>
        <v>VIA AGOSTINO NOVELLA  93-</v>
      </c>
      <c r="C1621" t="str">
        <f t="shared" si="190"/>
        <v>3</v>
      </c>
      <c r="D1621">
        <v>12</v>
      </c>
      <c r="E1621" t="str">
        <f>"2"</f>
        <v>2</v>
      </c>
      <c r="F1621" t="str">
        <f t="shared" si="191"/>
        <v>0000</v>
      </c>
    </row>
    <row r="1622" spans="1:6">
      <c r="C1622" t="str">
        <f t="shared" ref="C1622:C1684" si="194">"3"</f>
        <v>3</v>
      </c>
      <c r="D1622">
        <v>12</v>
      </c>
      <c r="E1622" t="str">
        <f>"4"</f>
        <v>4</v>
      </c>
      <c r="F1622" t="str">
        <f t="shared" ref="F1622:F1684" si="195">"0000"</f>
        <v>0000</v>
      </c>
    </row>
    <row r="1623" spans="1:6">
      <c r="A1623" t="str">
        <f>"E1082-84"</f>
        <v>E1082-84</v>
      </c>
      <c r="B1623" t="str">
        <f t="shared" si="193"/>
        <v>VIA AGOSTINO NOVELLA  93-</v>
      </c>
      <c r="C1623" t="str">
        <f t="shared" si="194"/>
        <v>3</v>
      </c>
      <c r="D1623">
        <v>12</v>
      </c>
      <c r="E1623" t="str">
        <f>"2"</f>
        <v>2</v>
      </c>
      <c r="F1623" t="str">
        <f t="shared" si="195"/>
        <v>0000</v>
      </c>
    </row>
    <row r="1624" spans="1:6">
      <c r="C1624" t="str">
        <f t="shared" si="194"/>
        <v>3</v>
      </c>
      <c r="D1624">
        <v>12</v>
      </c>
      <c r="E1624" t="str">
        <f>"4"</f>
        <v>4</v>
      </c>
      <c r="F1624" t="str">
        <f t="shared" si="195"/>
        <v>0000</v>
      </c>
    </row>
    <row r="1625" spans="1:6">
      <c r="A1625" t="str">
        <f>"E1082-85"</f>
        <v>E1082-85</v>
      </c>
      <c r="B1625" t="str">
        <f t="shared" ref="B1625:B1651" si="196">"VIA AGOSTINO NOVELLA  95-"</f>
        <v>VIA AGOSTINO NOVELLA  95-</v>
      </c>
      <c r="C1625" t="str">
        <f t="shared" si="194"/>
        <v>3</v>
      </c>
      <c r="D1625">
        <v>12</v>
      </c>
      <c r="E1625" t="str">
        <f>"2"</f>
        <v>2</v>
      </c>
      <c r="F1625" t="str">
        <f t="shared" si="195"/>
        <v>0000</v>
      </c>
    </row>
    <row r="1626" spans="1:6">
      <c r="C1626" t="str">
        <f t="shared" si="194"/>
        <v>3</v>
      </c>
      <c r="D1626">
        <v>12</v>
      </c>
      <c r="E1626" t="str">
        <f>"4"</f>
        <v>4</v>
      </c>
      <c r="F1626" t="str">
        <f t="shared" si="195"/>
        <v>0000</v>
      </c>
    </row>
    <row r="1627" spans="1:6">
      <c r="A1627" t="str">
        <f>"E1082-86"</f>
        <v>E1082-86</v>
      </c>
      <c r="B1627" t="str">
        <f t="shared" si="196"/>
        <v>VIA AGOSTINO NOVELLA  95-</v>
      </c>
      <c r="C1627" t="str">
        <f t="shared" si="194"/>
        <v>3</v>
      </c>
      <c r="D1627">
        <v>12</v>
      </c>
      <c r="E1627" t="str">
        <f>"2"</f>
        <v>2</v>
      </c>
      <c r="F1627" t="str">
        <f t="shared" si="195"/>
        <v>0000</v>
      </c>
    </row>
    <row r="1628" spans="1:6">
      <c r="C1628" t="str">
        <f t="shared" si="194"/>
        <v>3</v>
      </c>
      <c r="D1628">
        <v>12</v>
      </c>
      <c r="E1628" t="str">
        <f>"4"</f>
        <v>4</v>
      </c>
      <c r="F1628" t="str">
        <f t="shared" si="195"/>
        <v>0000</v>
      </c>
    </row>
    <row r="1629" spans="1:6">
      <c r="A1629" t="str">
        <f>"E1082-87"</f>
        <v>E1082-87</v>
      </c>
      <c r="B1629" t="str">
        <f t="shared" si="196"/>
        <v>VIA AGOSTINO NOVELLA  95-</v>
      </c>
      <c r="C1629" t="str">
        <f t="shared" si="194"/>
        <v>3</v>
      </c>
      <c r="D1629">
        <v>12</v>
      </c>
      <c r="E1629" t="str">
        <f>"2"</f>
        <v>2</v>
      </c>
      <c r="F1629" t="str">
        <f t="shared" si="195"/>
        <v>0000</v>
      </c>
    </row>
    <row r="1630" spans="1:6">
      <c r="C1630" t="str">
        <f t="shared" si="194"/>
        <v>3</v>
      </c>
      <c r="D1630">
        <v>12</v>
      </c>
      <c r="E1630" t="str">
        <f>"4"</f>
        <v>4</v>
      </c>
      <c r="F1630" t="str">
        <f t="shared" si="195"/>
        <v>0000</v>
      </c>
    </row>
    <row r="1631" spans="1:6">
      <c r="A1631" t="str">
        <f>"E1082-88"</f>
        <v>E1082-88</v>
      </c>
      <c r="B1631" t="str">
        <f t="shared" si="196"/>
        <v>VIA AGOSTINO NOVELLA  95-</v>
      </c>
      <c r="C1631" t="str">
        <f t="shared" si="194"/>
        <v>3</v>
      </c>
      <c r="D1631">
        <v>12</v>
      </c>
      <c r="E1631" t="str">
        <f>"2"</f>
        <v>2</v>
      </c>
      <c r="F1631" t="str">
        <f t="shared" si="195"/>
        <v>0000</v>
      </c>
    </row>
    <row r="1632" spans="1:6">
      <c r="C1632" t="str">
        <f t="shared" si="194"/>
        <v>3</v>
      </c>
      <c r="D1632">
        <v>12</v>
      </c>
      <c r="E1632" t="str">
        <f>"4"</f>
        <v>4</v>
      </c>
      <c r="F1632" t="str">
        <f t="shared" si="195"/>
        <v>0000</v>
      </c>
    </row>
    <row r="1633" spans="1:6">
      <c r="A1633" t="str">
        <f>"E1082-89"</f>
        <v>E1082-89</v>
      </c>
      <c r="B1633" t="str">
        <f t="shared" si="196"/>
        <v>VIA AGOSTINO NOVELLA  95-</v>
      </c>
      <c r="C1633" t="str">
        <f t="shared" si="194"/>
        <v>3</v>
      </c>
      <c r="D1633">
        <v>12</v>
      </c>
      <c r="E1633" t="str">
        <f>"2"</f>
        <v>2</v>
      </c>
      <c r="F1633" t="str">
        <f t="shared" si="195"/>
        <v>0000</v>
      </c>
    </row>
    <row r="1634" spans="1:6">
      <c r="C1634" t="str">
        <f t="shared" si="194"/>
        <v>3</v>
      </c>
      <c r="D1634">
        <v>12</v>
      </c>
      <c r="E1634" t="str">
        <f>"4"</f>
        <v>4</v>
      </c>
      <c r="F1634" t="str">
        <f t="shared" si="195"/>
        <v>0000</v>
      </c>
    </row>
    <row r="1635" spans="1:6">
      <c r="A1635" t="str">
        <f>"E1082-90"</f>
        <v>E1082-90</v>
      </c>
      <c r="B1635" t="str">
        <f t="shared" si="196"/>
        <v>VIA AGOSTINO NOVELLA  95-</v>
      </c>
      <c r="C1635" t="str">
        <f t="shared" si="194"/>
        <v>3</v>
      </c>
      <c r="D1635">
        <v>12</v>
      </c>
      <c r="E1635" t="str">
        <f>"2"</f>
        <v>2</v>
      </c>
      <c r="F1635" t="str">
        <f t="shared" si="195"/>
        <v>0000</v>
      </c>
    </row>
    <row r="1636" spans="1:6">
      <c r="C1636" t="str">
        <f t="shared" si="194"/>
        <v>3</v>
      </c>
      <c r="D1636">
        <v>12</v>
      </c>
      <c r="E1636" t="str">
        <f>"4"</f>
        <v>4</v>
      </c>
      <c r="F1636" t="str">
        <f t="shared" si="195"/>
        <v>0000</v>
      </c>
    </row>
    <row r="1637" spans="1:6">
      <c r="A1637" t="str">
        <f>"E1082-91"</f>
        <v>E1082-91</v>
      </c>
      <c r="B1637" t="str">
        <f t="shared" si="196"/>
        <v>VIA AGOSTINO NOVELLA  95-</v>
      </c>
      <c r="C1637" t="str">
        <f t="shared" si="194"/>
        <v>3</v>
      </c>
      <c r="D1637">
        <v>12</v>
      </c>
      <c r="E1637" t="str">
        <f>"2"</f>
        <v>2</v>
      </c>
      <c r="F1637" t="str">
        <f t="shared" si="195"/>
        <v>0000</v>
      </c>
    </row>
    <row r="1638" spans="1:6">
      <c r="C1638" t="str">
        <f t="shared" si="194"/>
        <v>3</v>
      </c>
      <c r="D1638">
        <v>12</v>
      </c>
      <c r="E1638" t="str">
        <f>"4"</f>
        <v>4</v>
      </c>
      <c r="F1638" t="str">
        <f t="shared" si="195"/>
        <v>0000</v>
      </c>
    </row>
    <row r="1639" spans="1:6">
      <c r="A1639" t="str">
        <f>"E1082-92"</f>
        <v>E1082-92</v>
      </c>
      <c r="B1639" t="str">
        <f t="shared" si="196"/>
        <v>VIA AGOSTINO NOVELLA  95-</v>
      </c>
      <c r="C1639" t="str">
        <f t="shared" si="194"/>
        <v>3</v>
      </c>
      <c r="D1639">
        <v>12</v>
      </c>
      <c r="E1639" t="str">
        <f>"2"</f>
        <v>2</v>
      </c>
      <c r="F1639" t="str">
        <f t="shared" si="195"/>
        <v>0000</v>
      </c>
    </row>
    <row r="1640" spans="1:6">
      <c r="C1640" t="str">
        <f t="shared" si="194"/>
        <v>3</v>
      </c>
      <c r="D1640">
        <v>12</v>
      </c>
      <c r="E1640" t="str">
        <f>"4"</f>
        <v>4</v>
      </c>
      <c r="F1640" t="str">
        <f t="shared" si="195"/>
        <v>0000</v>
      </c>
    </row>
    <row r="1641" spans="1:6">
      <c r="A1641" t="str">
        <f>"E1082-93"</f>
        <v>E1082-93</v>
      </c>
      <c r="B1641" t="str">
        <f t="shared" si="196"/>
        <v>VIA AGOSTINO NOVELLA  95-</v>
      </c>
      <c r="C1641" t="str">
        <f t="shared" si="194"/>
        <v>3</v>
      </c>
      <c r="D1641">
        <v>12</v>
      </c>
      <c r="E1641" t="str">
        <f>"2"</f>
        <v>2</v>
      </c>
      <c r="F1641" t="str">
        <f t="shared" si="195"/>
        <v>0000</v>
      </c>
    </row>
    <row r="1642" spans="1:6">
      <c r="C1642" t="str">
        <f t="shared" si="194"/>
        <v>3</v>
      </c>
      <c r="D1642">
        <v>12</v>
      </c>
      <c r="E1642" t="str">
        <f>"4"</f>
        <v>4</v>
      </c>
      <c r="F1642" t="str">
        <f t="shared" si="195"/>
        <v>0000</v>
      </c>
    </row>
    <row r="1643" spans="1:6">
      <c r="A1643" t="str">
        <f>"E1082-94"</f>
        <v>E1082-94</v>
      </c>
      <c r="B1643" t="str">
        <f t="shared" si="196"/>
        <v>VIA AGOSTINO NOVELLA  95-</v>
      </c>
      <c r="C1643" t="str">
        <f t="shared" si="194"/>
        <v>3</v>
      </c>
      <c r="D1643">
        <v>12</v>
      </c>
      <c r="E1643" t="str">
        <f>"2"</f>
        <v>2</v>
      </c>
      <c r="F1643" t="str">
        <f t="shared" si="195"/>
        <v>0000</v>
      </c>
    </row>
    <row r="1644" spans="1:6">
      <c r="C1644" t="str">
        <f t="shared" si="194"/>
        <v>3</v>
      </c>
      <c r="D1644">
        <v>12</v>
      </c>
      <c r="E1644" t="str">
        <f>"4"</f>
        <v>4</v>
      </c>
      <c r="F1644" t="str">
        <f t="shared" si="195"/>
        <v>0000</v>
      </c>
    </row>
    <row r="1645" spans="1:6">
      <c r="A1645" t="str">
        <f>"E1082-95"</f>
        <v>E1082-95</v>
      </c>
      <c r="B1645" t="str">
        <f t="shared" si="196"/>
        <v>VIA AGOSTINO NOVELLA  95-</v>
      </c>
      <c r="C1645" t="str">
        <f t="shared" si="194"/>
        <v>3</v>
      </c>
      <c r="D1645">
        <v>12</v>
      </c>
      <c r="E1645" t="str">
        <f>"2"</f>
        <v>2</v>
      </c>
      <c r="F1645" t="str">
        <f t="shared" si="195"/>
        <v>0000</v>
      </c>
    </row>
    <row r="1646" spans="1:6">
      <c r="C1646" t="str">
        <f t="shared" si="194"/>
        <v>3</v>
      </c>
      <c r="D1646">
        <v>12</v>
      </c>
      <c r="E1646" t="str">
        <f>"4"</f>
        <v>4</v>
      </c>
      <c r="F1646" t="str">
        <f t="shared" si="195"/>
        <v>0000</v>
      </c>
    </row>
    <row r="1647" spans="1:6">
      <c r="A1647" t="str">
        <f>"E1082-96"</f>
        <v>E1082-96</v>
      </c>
      <c r="B1647" t="str">
        <f t="shared" si="196"/>
        <v>VIA AGOSTINO NOVELLA  95-</v>
      </c>
      <c r="C1647" t="str">
        <f t="shared" si="194"/>
        <v>3</v>
      </c>
      <c r="D1647">
        <v>12</v>
      </c>
      <c r="E1647" t="str">
        <f>"2"</f>
        <v>2</v>
      </c>
      <c r="F1647" t="str">
        <f t="shared" si="195"/>
        <v>0000</v>
      </c>
    </row>
    <row r="1648" spans="1:6">
      <c r="C1648" t="str">
        <f t="shared" si="194"/>
        <v>3</v>
      </c>
      <c r="D1648">
        <v>12</v>
      </c>
      <c r="E1648" t="str">
        <f>"4"</f>
        <v>4</v>
      </c>
      <c r="F1648" t="str">
        <f t="shared" si="195"/>
        <v>0000</v>
      </c>
    </row>
    <row r="1649" spans="1:6">
      <c r="A1649" t="str">
        <f>"E1082-97"</f>
        <v>E1082-97</v>
      </c>
      <c r="B1649" t="str">
        <f t="shared" si="196"/>
        <v>VIA AGOSTINO NOVELLA  95-</v>
      </c>
      <c r="C1649" t="str">
        <f t="shared" si="194"/>
        <v>3</v>
      </c>
      <c r="D1649">
        <v>12</v>
      </c>
      <c r="E1649" t="str">
        <f>"2"</f>
        <v>2</v>
      </c>
      <c r="F1649" t="str">
        <f t="shared" si="195"/>
        <v>0000</v>
      </c>
    </row>
    <row r="1650" spans="1:6">
      <c r="C1650" t="str">
        <f t="shared" si="194"/>
        <v>3</v>
      </c>
      <c r="D1650">
        <v>12</v>
      </c>
      <c r="E1650" t="str">
        <f>"4"</f>
        <v>4</v>
      </c>
      <c r="F1650" t="str">
        <f t="shared" si="195"/>
        <v>0000</v>
      </c>
    </row>
    <row r="1651" spans="1:6">
      <c r="A1651" t="str">
        <f>"E1082-98"</f>
        <v>E1082-98</v>
      </c>
      <c r="B1651" t="str">
        <f t="shared" si="196"/>
        <v>VIA AGOSTINO NOVELLA  95-</v>
      </c>
      <c r="C1651" t="str">
        <f t="shared" si="194"/>
        <v>3</v>
      </c>
      <c r="D1651">
        <v>12</v>
      </c>
      <c r="E1651" t="str">
        <f>"2"</f>
        <v>2</v>
      </c>
      <c r="F1651" t="str">
        <f t="shared" si="195"/>
        <v>0000</v>
      </c>
    </row>
    <row r="1652" spans="1:6">
      <c r="C1652" t="str">
        <f t="shared" si="194"/>
        <v>3</v>
      </c>
      <c r="D1652">
        <v>12</v>
      </c>
      <c r="E1652" t="str">
        <f>"4"</f>
        <v>4</v>
      </c>
      <c r="F1652" t="str">
        <f t="shared" si="195"/>
        <v>0000</v>
      </c>
    </row>
    <row r="1653" spans="1:6">
      <c r="A1653" t="str">
        <f>"E1082-99"</f>
        <v>E1082-99</v>
      </c>
      <c r="B1653" t="str">
        <f>"VIA AGOSTINO NOVELLA  79-"</f>
        <v>VIA AGOSTINO NOVELLA  79-</v>
      </c>
      <c r="C1653" t="str">
        <f t="shared" si="194"/>
        <v>3</v>
      </c>
      <c r="D1653">
        <v>12</v>
      </c>
      <c r="E1653" t="str">
        <f>"2"</f>
        <v>2</v>
      </c>
      <c r="F1653" t="str">
        <f t="shared" si="195"/>
        <v>0000</v>
      </c>
    </row>
    <row r="1654" spans="1:6">
      <c r="C1654" t="str">
        <f t="shared" si="194"/>
        <v>3</v>
      </c>
      <c r="D1654">
        <v>12</v>
      </c>
      <c r="E1654" t="str">
        <f>"4"</f>
        <v>4</v>
      </c>
      <c r="F1654" t="str">
        <f t="shared" si="195"/>
        <v>0000</v>
      </c>
    </row>
    <row r="1655" spans="1:6">
      <c r="A1655" t="str">
        <f>"E1082-100"</f>
        <v>E1082-100</v>
      </c>
      <c r="B1655" t="str">
        <f>"VIA AGOSTINO NOVELLA  79-"</f>
        <v>VIA AGOSTINO NOVELLA  79-</v>
      </c>
      <c r="C1655" t="str">
        <f t="shared" si="194"/>
        <v>3</v>
      </c>
      <c r="D1655">
        <v>12</v>
      </c>
      <c r="E1655" t="str">
        <f>"2"</f>
        <v>2</v>
      </c>
      <c r="F1655" t="str">
        <f t="shared" si="195"/>
        <v>0000</v>
      </c>
    </row>
    <row r="1656" spans="1:6">
      <c r="C1656" t="str">
        <f t="shared" si="194"/>
        <v>3</v>
      </c>
      <c r="D1656">
        <v>12</v>
      </c>
      <c r="E1656" t="str">
        <f>"4"</f>
        <v>4</v>
      </c>
      <c r="F1656" t="str">
        <f t="shared" si="195"/>
        <v>0000</v>
      </c>
    </row>
    <row r="1657" spans="1:6">
      <c r="A1657" t="str">
        <f>"E1082-101"</f>
        <v>E1082-101</v>
      </c>
      <c r="B1657" t="str">
        <f>"VIA AGOSTINO NOVELLA  81-"</f>
        <v>VIA AGOSTINO NOVELLA  81-</v>
      </c>
      <c r="C1657" t="str">
        <f t="shared" si="194"/>
        <v>3</v>
      </c>
      <c r="D1657">
        <v>12</v>
      </c>
      <c r="E1657" t="str">
        <f>"2"</f>
        <v>2</v>
      </c>
      <c r="F1657" t="str">
        <f t="shared" si="195"/>
        <v>0000</v>
      </c>
    </row>
    <row r="1658" spans="1:6">
      <c r="C1658" t="str">
        <f t="shared" si="194"/>
        <v>3</v>
      </c>
      <c r="D1658">
        <v>12</v>
      </c>
      <c r="E1658" t="str">
        <f>"4"</f>
        <v>4</v>
      </c>
      <c r="F1658" t="str">
        <f t="shared" si="195"/>
        <v>0000</v>
      </c>
    </row>
    <row r="1659" spans="1:6">
      <c r="A1659" t="str">
        <f>"E1082-102"</f>
        <v>E1082-102</v>
      </c>
      <c r="B1659" t="str">
        <f>"VIA AGOSTINO NOVELLA  81-"</f>
        <v>VIA AGOSTINO NOVELLA  81-</v>
      </c>
      <c r="C1659" t="str">
        <f t="shared" si="194"/>
        <v>3</v>
      </c>
      <c r="D1659">
        <v>12</v>
      </c>
      <c r="E1659" t="str">
        <f>"2"</f>
        <v>2</v>
      </c>
      <c r="F1659" t="str">
        <f t="shared" si="195"/>
        <v>0000</v>
      </c>
    </row>
    <row r="1660" spans="1:6">
      <c r="C1660" t="str">
        <f t="shared" si="194"/>
        <v>3</v>
      </c>
      <c r="D1660">
        <v>12</v>
      </c>
      <c r="E1660" t="str">
        <f>"4"</f>
        <v>4</v>
      </c>
      <c r="F1660" t="str">
        <f t="shared" si="195"/>
        <v>0000</v>
      </c>
    </row>
    <row r="1661" spans="1:6">
      <c r="A1661" t="str">
        <f>"E1082-103"</f>
        <v>E1082-103</v>
      </c>
      <c r="B1661" t="str">
        <f>"VIA AGOSTINO NOVELLA  83-"</f>
        <v>VIA AGOSTINO NOVELLA  83-</v>
      </c>
      <c r="C1661" t="str">
        <f t="shared" si="194"/>
        <v>3</v>
      </c>
      <c r="D1661">
        <v>12</v>
      </c>
      <c r="E1661" t="str">
        <f>"2"</f>
        <v>2</v>
      </c>
      <c r="F1661" t="str">
        <f t="shared" si="195"/>
        <v>0000</v>
      </c>
    </row>
    <row r="1662" spans="1:6">
      <c r="C1662" t="str">
        <f t="shared" si="194"/>
        <v>3</v>
      </c>
      <c r="D1662">
        <v>12</v>
      </c>
      <c r="E1662" t="str">
        <f>"4"</f>
        <v>4</v>
      </c>
      <c r="F1662" t="str">
        <f t="shared" si="195"/>
        <v>0000</v>
      </c>
    </row>
    <row r="1663" spans="1:6">
      <c r="A1663" t="str">
        <f>"E1082-104"</f>
        <v>E1082-104</v>
      </c>
      <c r="B1663" t="str">
        <f>"VIA AGOSTINO NOVELLA  83-"</f>
        <v>VIA AGOSTINO NOVELLA  83-</v>
      </c>
      <c r="C1663" t="str">
        <f t="shared" si="194"/>
        <v>3</v>
      </c>
      <c r="D1663">
        <v>12</v>
      </c>
      <c r="E1663" t="str">
        <f>"2"</f>
        <v>2</v>
      </c>
      <c r="F1663" t="str">
        <f t="shared" si="195"/>
        <v>0000</v>
      </c>
    </row>
    <row r="1664" spans="1:6">
      <c r="C1664" t="str">
        <f t="shared" si="194"/>
        <v>3</v>
      </c>
      <c r="D1664">
        <v>12</v>
      </c>
      <c r="E1664" t="str">
        <f>"4"</f>
        <v>4</v>
      </c>
      <c r="F1664" t="str">
        <f t="shared" si="195"/>
        <v>0000</v>
      </c>
    </row>
    <row r="1665" spans="1:6">
      <c r="A1665" t="str">
        <f>"E1082-105"</f>
        <v>E1082-105</v>
      </c>
      <c r="B1665" t="str">
        <f>"VIA AGOSTINO NOVELLA  85-"</f>
        <v>VIA AGOSTINO NOVELLA  85-</v>
      </c>
      <c r="C1665" t="str">
        <f t="shared" si="194"/>
        <v>3</v>
      </c>
      <c r="D1665">
        <v>12</v>
      </c>
      <c r="E1665" t="str">
        <f>"2"</f>
        <v>2</v>
      </c>
      <c r="F1665" t="str">
        <f t="shared" si="195"/>
        <v>0000</v>
      </c>
    </row>
    <row r="1666" spans="1:6">
      <c r="C1666" t="str">
        <f t="shared" si="194"/>
        <v>3</v>
      </c>
      <c r="D1666">
        <v>12</v>
      </c>
      <c r="E1666" t="str">
        <f>"4"</f>
        <v>4</v>
      </c>
      <c r="F1666" t="str">
        <f t="shared" si="195"/>
        <v>0000</v>
      </c>
    </row>
    <row r="1667" spans="1:6">
      <c r="A1667" t="str">
        <f>"E1082-106"</f>
        <v>E1082-106</v>
      </c>
      <c r="B1667" t="str">
        <f>"VIA AGOSTINO NOVELLA  87-"</f>
        <v>VIA AGOSTINO NOVELLA  87-</v>
      </c>
      <c r="C1667" t="str">
        <f t="shared" si="194"/>
        <v>3</v>
      </c>
      <c r="D1667">
        <v>12</v>
      </c>
      <c r="E1667" t="str">
        <f>"2"</f>
        <v>2</v>
      </c>
      <c r="F1667" t="str">
        <f t="shared" si="195"/>
        <v>0000</v>
      </c>
    </row>
    <row r="1668" spans="1:6">
      <c r="C1668" t="str">
        <f t="shared" si="194"/>
        <v>3</v>
      </c>
      <c r="D1668">
        <v>12</v>
      </c>
      <c r="E1668" t="str">
        <f>"4"</f>
        <v>4</v>
      </c>
      <c r="F1668" t="str">
        <f t="shared" si="195"/>
        <v>0000</v>
      </c>
    </row>
    <row r="1669" spans="1:6">
      <c r="A1669" t="str">
        <f>"E1082-107"</f>
        <v>E1082-107</v>
      </c>
      <c r="B1669" t="str">
        <f>"VIA AGOSTINO NOVELLA  97-"</f>
        <v>VIA AGOSTINO NOVELLA  97-</v>
      </c>
      <c r="C1669" t="str">
        <f t="shared" si="194"/>
        <v>3</v>
      </c>
      <c r="D1669">
        <v>12</v>
      </c>
      <c r="E1669" t="str">
        <f>"2"</f>
        <v>2</v>
      </c>
      <c r="F1669" t="str">
        <f t="shared" si="195"/>
        <v>0000</v>
      </c>
    </row>
    <row r="1670" spans="1:6">
      <c r="C1670" t="str">
        <f t="shared" si="194"/>
        <v>3</v>
      </c>
      <c r="D1670">
        <v>12</v>
      </c>
      <c r="E1670" t="str">
        <f>"4"</f>
        <v>4</v>
      </c>
      <c r="F1670" t="str">
        <f t="shared" si="195"/>
        <v>0000</v>
      </c>
    </row>
    <row r="1671" spans="1:6">
      <c r="A1671" t="str">
        <f>"E1082-108"</f>
        <v>E1082-108</v>
      </c>
      <c r="B1671" t="str">
        <f>"VIA AGOSTINO NOVELLA  97-"</f>
        <v>VIA AGOSTINO NOVELLA  97-</v>
      </c>
      <c r="C1671" t="str">
        <f t="shared" si="194"/>
        <v>3</v>
      </c>
      <c r="D1671">
        <v>12</v>
      </c>
      <c r="E1671" t="str">
        <f>"2"</f>
        <v>2</v>
      </c>
      <c r="F1671" t="str">
        <f t="shared" si="195"/>
        <v>0000</v>
      </c>
    </row>
    <row r="1672" spans="1:6">
      <c r="C1672" t="str">
        <f t="shared" si="194"/>
        <v>3</v>
      </c>
      <c r="D1672">
        <v>12</v>
      </c>
      <c r="E1672" t="str">
        <f>"4"</f>
        <v>4</v>
      </c>
      <c r="F1672" t="str">
        <f t="shared" si="195"/>
        <v>0000</v>
      </c>
    </row>
    <row r="1673" spans="1:6">
      <c r="A1673" t="str">
        <f>"E1082-109"</f>
        <v>E1082-109</v>
      </c>
      <c r="B1673" t="str">
        <f>"VIA AGOSTINO NOVELLA  99-"</f>
        <v>VIA AGOSTINO NOVELLA  99-</v>
      </c>
      <c r="C1673" t="str">
        <f t="shared" si="194"/>
        <v>3</v>
      </c>
      <c r="D1673">
        <v>12</v>
      </c>
      <c r="E1673" t="str">
        <f>"2"</f>
        <v>2</v>
      </c>
      <c r="F1673" t="str">
        <f t="shared" si="195"/>
        <v>0000</v>
      </c>
    </row>
    <row r="1674" spans="1:6">
      <c r="C1674" t="str">
        <f t="shared" si="194"/>
        <v>3</v>
      </c>
      <c r="D1674">
        <v>12</v>
      </c>
      <c r="E1674" t="str">
        <f>"4"</f>
        <v>4</v>
      </c>
      <c r="F1674" t="str">
        <f t="shared" si="195"/>
        <v>0000</v>
      </c>
    </row>
    <row r="1675" spans="1:6">
      <c r="A1675" t="str">
        <f>"E1082-110"</f>
        <v>E1082-110</v>
      </c>
      <c r="B1675" t="str">
        <f>"VIA AGOSTINO NOVELLA  99-"</f>
        <v>VIA AGOSTINO NOVELLA  99-</v>
      </c>
      <c r="C1675" t="str">
        <f t="shared" si="194"/>
        <v>3</v>
      </c>
      <c r="D1675">
        <v>12</v>
      </c>
      <c r="E1675" t="str">
        <f>"2"</f>
        <v>2</v>
      </c>
      <c r="F1675" t="str">
        <f t="shared" si="195"/>
        <v>0000</v>
      </c>
    </row>
    <row r="1676" spans="1:6">
      <c r="C1676" t="str">
        <f t="shared" si="194"/>
        <v>3</v>
      </c>
      <c r="D1676">
        <v>12</v>
      </c>
      <c r="E1676" t="str">
        <f>"4"</f>
        <v>4</v>
      </c>
      <c r="F1676" t="str">
        <f t="shared" si="195"/>
        <v>0000</v>
      </c>
    </row>
    <row r="1677" spans="1:6">
      <c r="A1677" t="str">
        <f>"E1082-111"</f>
        <v>E1082-111</v>
      </c>
      <c r="B1677" t="str">
        <f>"VIA AGOSTINO NOVELLA  101-"</f>
        <v>VIA AGOSTINO NOVELLA  101-</v>
      </c>
      <c r="C1677" t="str">
        <f t="shared" si="194"/>
        <v>3</v>
      </c>
      <c r="D1677">
        <v>12</v>
      </c>
      <c r="E1677" t="str">
        <f>"2"</f>
        <v>2</v>
      </c>
      <c r="F1677" t="str">
        <f t="shared" si="195"/>
        <v>0000</v>
      </c>
    </row>
    <row r="1678" spans="1:6">
      <c r="C1678" t="str">
        <f t="shared" si="194"/>
        <v>3</v>
      </c>
      <c r="D1678">
        <v>12</v>
      </c>
      <c r="E1678" t="str">
        <f>"4"</f>
        <v>4</v>
      </c>
      <c r="F1678" t="str">
        <f t="shared" si="195"/>
        <v>0000</v>
      </c>
    </row>
    <row r="1679" spans="1:6">
      <c r="A1679" t="str">
        <f>"E1082-112"</f>
        <v>E1082-112</v>
      </c>
      <c r="B1679" t="str">
        <f>"VIA AGOSTINO NOVELLA  101-"</f>
        <v>VIA AGOSTINO NOVELLA  101-</v>
      </c>
      <c r="C1679" t="str">
        <f t="shared" si="194"/>
        <v>3</v>
      </c>
      <c r="D1679">
        <v>12</v>
      </c>
      <c r="E1679" t="str">
        <f>"2"</f>
        <v>2</v>
      </c>
      <c r="F1679" t="str">
        <f t="shared" si="195"/>
        <v>0000</v>
      </c>
    </row>
    <row r="1680" spans="1:6">
      <c r="C1680" t="str">
        <f t="shared" si="194"/>
        <v>3</v>
      </c>
      <c r="D1680">
        <v>12</v>
      </c>
      <c r="E1680" t="str">
        <f>"4"</f>
        <v>4</v>
      </c>
      <c r="F1680" t="str">
        <f t="shared" si="195"/>
        <v>0000</v>
      </c>
    </row>
    <row r="1681" spans="1:6">
      <c r="A1681" t="str">
        <f>"E1082-113"</f>
        <v>E1082-113</v>
      </c>
      <c r="B1681" t="str">
        <f>"VIA AGOSTINO NOVELLA  103-"</f>
        <v>VIA AGOSTINO NOVELLA  103-</v>
      </c>
      <c r="C1681" t="str">
        <f t="shared" si="194"/>
        <v>3</v>
      </c>
      <c r="D1681">
        <v>12</v>
      </c>
      <c r="E1681" t="str">
        <f>"2"</f>
        <v>2</v>
      </c>
      <c r="F1681" t="str">
        <f t="shared" si="195"/>
        <v>0000</v>
      </c>
    </row>
    <row r="1682" spans="1:6">
      <c r="C1682" t="str">
        <f t="shared" si="194"/>
        <v>3</v>
      </c>
      <c r="D1682">
        <v>12</v>
      </c>
      <c r="E1682" t="str">
        <f>"4"</f>
        <v>4</v>
      </c>
      <c r="F1682" t="str">
        <f t="shared" si="195"/>
        <v>0000</v>
      </c>
    </row>
    <row r="1683" spans="1:6">
      <c r="A1683" t="str">
        <f>"E1082-114"</f>
        <v>E1082-114</v>
      </c>
      <c r="B1683" t="str">
        <f>"VIA AGOSTINO NOVELLA VICINO AL 103-"</f>
        <v>VIA AGOSTINO NOVELLA VICINO AL 103-</v>
      </c>
      <c r="C1683" t="str">
        <f t="shared" si="194"/>
        <v>3</v>
      </c>
      <c r="D1683">
        <v>12</v>
      </c>
      <c r="E1683" t="str">
        <f>"2"</f>
        <v>2</v>
      </c>
      <c r="F1683" t="str">
        <f t="shared" si="195"/>
        <v>0000</v>
      </c>
    </row>
    <row r="1684" spans="1:6">
      <c r="C1684" t="str">
        <f t="shared" si="194"/>
        <v>3</v>
      </c>
      <c r="D1684">
        <v>12</v>
      </c>
      <c r="E1684" t="str">
        <f>"4"</f>
        <v>4</v>
      </c>
      <c r="F1684" t="str">
        <f t="shared" si="195"/>
        <v>0000</v>
      </c>
    </row>
    <row r="1685" spans="1:6">
      <c r="A1685" t="str">
        <f>"E1083-1"</f>
        <v>E1083-1</v>
      </c>
      <c r="B1685" t="str">
        <f t="shared" ref="B1685:B1691" si="197">"VIA AGOSTINO NOVELLA  24-"</f>
        <v>VIA AGOSTINO NOVELLA  24-</v>
      </c>
      <c r="C1685" t="str">
        <f t="shared" ref="C1685:C1716" si="198">"PRA"</f>
        <v>PRA</v>
      </c>
      <c r="D1685">
        <v>12</v>
      </c>
      <c r="E1685" t="str">
        <f t="shared" ref="E1685:E1716" si="199">"584"</f>
        <v>584</v>
      </c>
      <c r="F1685" t="str">
        <f>"5"</f>
        <v>5</v>
      </c>
    </row>
    <row r="1686" spans="1:6">
      <c r="A1686" t="str">
        <f>"E1083-2"</f>
        <v>E1083-2</v>
      </c>
      <c r="B1686" t="str">
        <f t="shared" si="197"/>
        <v>VIA AGOSTINO NOVELLA  24-</v>
      </c>
      <c r="C1686" t="str">
        <f t="shared" si="198"/>
        <v>PRA</v>
      </c>
      <c r="D1686">
        <v>12</v>
      </c>
      <c r="E1686" t="str">
        <f t="shared" si="199"/>
        <v>584</v>
      </c>
      <c r="F1686" t="str">
        <f>"6"</f>
        <v>6</v>
      </c>
    </row>
    <row r="1687" spans="1:6">
      <c r="A1687" t="str">
        <f>"E1083-3"</f>
        <v>E1083-3</v>
      </c>
      <c r="B1687" t="str">
        <f t="shared" si="197"/>
        <v>VIA AGOSTINO NOVELLA  24-</v>
      </c>
      <c r="C1687" t="str">
        <f t="shared" si="198"/>
        <v>PRA</v>
      </c>
      <c r="D1687">
        <v>12</v>
      </c>
      <c r="E1687" t="str">
        <f t="shared" si="199"/>
        <v>584</v>
      </c>
      <c r="F1687" t="str">
        <f>"7"</f>
        <v>7</v>
      </c>
    </row>
    <row r="1688" spans="1:6">
      <c r="A1688" t="str">
        <f>"E1083-4"</f>
        <v>E1083-4</v>
      </c>
      <c r="B1688" t="str">
        <f t="shared" si="197"/>
        <v>VIA AGOSTINO NOVELLA  24-</v>
      </c>
      <c r="C1688" t="str">
        <f t="shared" si="198"/>
        <v>PRA</v>
      </c>
      <c r="D1688">
        <v>12</v>
      </c>
      <c r="E1688" t="str">
        <f t="shared" si="199"/>
        <v>584</v>
      </c>
      <c r="F1688" t="str">
        <f>"8"</f>
        <v>8</v>
      </c>
    </row>
    <row r="1689" spans="1:6">
      <c r="A1689" t="str">
        <f>"E1083-5"</f>
        <v>E1083-5</v>
      </c>
      <c r="B1689" t="str">
        <f t="shared" si="197"/>
        <v>VIA AGOSTINO NOVELLA  24-</v>
      </c>
      <c r="C1689" t="str">
        <f t="shared" si="198"/>
        <v>PRA</v>
      </c>
      <c r="D1689">
        <v>12</v>
      </c>
      <c r="E1689" t="str">
        <f t="shared" si="199"/>
        <v>584</v>
      </c>
      <c r="F1689" t="str">
        <f>"9"</f>
        <v>9</v>
      </c>
    </row>
    <row r="1690" spans="1:6">
      <c r="A1690" t="str">
        <f>"E1083-6"</f>
        <v>E1083-6</v>
      </c>
      <c r="B1690" t="str">
        <f t="shared" si="197"/>
        <v>VIA AGOSTINO NOVELLA  24-</v>
      </c>
      <c r="C1690" t="str">
        <f t="shared" si="198"/>
        <v>PRA</v>
      </c>
      <c r="D1690">
        <v>12</v>
      </c>
      <c r="E1690" t="str">
        <f t="shared" si="199"/>
        <v>584</v>
      </c>
      <c r="F1690" t="str">
        <f>"10"</f>
        <v>10</v>
      </c>
    </row>
    <row r="1691" spans="1:6">
      <c r="A1691" t="str">
        <f>"E1083-7"</f>
        <v>E1083-7</v>
      </c>
      <c r="B1691" t="str">
        <f t="shared" si="197"/>
        <v>VIA AGOSTINO NOVELLA  24-</v>
      </c>
      <c r="C1691" t="str">
        <f t="shared" si="198"/>
        <v>PRA</v>
      </c>
      <c r="D1691">
        <v>12</v>
      </c>
      <c r="E1691" t="str">
        <f t="shared" si="199"/>
        <v>584</v>
      </c>
      <c r="F1691" t="str">
        <f>"11"</f>
        <v>11</v>
      </c>
    </row>
    <row r="1692" spans="1:6">
      <c r="A1692" t="str">
        <f>"E1083-8"</f>
        <v>E1083-8</v>
      </c>
      <c r="B1692" t="str">
        <f t="shared" ref="B1692:B1699" si="200">"VIA AGOSTINO NOVELLA  26-"</f>
        <v>VIA AGOSTINO NOVELLA  26-</v>
      </c>
      <c r="C1692" t="str">
        <f t="shared" si="198"/>
        <v>PRA</v>
      </c>
      <c r="D1692">
        <v>12</v>
      </c>
      <c r="E1692" t="str">
        <f t="shared" si="199"/>
        <v>584</v>
      </c>
      <c r="F1692" t="str">
        <f>"12"</f>
        <v>12</v>
      </c>
    </row>
    <row r="1693" spans="1:6">
      <c r="A1693" t="str">
        <f>"E1083-9"</f>
        <v>E1083-9</v>
      </c>
      <c r="B1693" t="str">
        <f t="shared" si="200"/>
        <v>VIA AGOSTINO NOVELLA  26-</v>
      </c>
      <c r="C1693" t="str">
        <f t="shared" si="198"/>
        <v>PRA</v>
      </c>
      <c r="D1693">
        <v>12</v>
      </c>
      <c r="E1693" t="str">
        <f t="shared" si="199"/>
        <v>584</v>
      </c>
      <c r="F1693" t="str">
        <f>"13"</f>
        <v>13</v>
      </c>
    </row>
    <row r="1694" spans="1:6">
      <c r="A1694" t="str">
        <f>"E1083-10"</f>
        <v>E1083-10</v>
      </c>
      <c r="B1694" t="str">
        <f t="shared" si="200"/>
        <v>VIA AGOSTINO NOVELLA  26-</v>
      </c>
      <c r="C1694" t="str">
        <f t="shared" si="198"/>
        <v>PRA</v>
      </c>
      <c r="D1694">
        <v>12</v>
      </c>
      <c r="E1694" t="str">
        <f t="shared" si="199"/>
        <v>584</v>
      </c>
      <c r="F1694" t="str">
        <f>"14"</f>
        <v>14</v>
      </c>
    </row>
    <row r="1695" spans="1:6">
      <c r="A1695" t="str">
        <f>"E1083-11"</f>
        <v>E1083-11</v>
      </c>
      <c r="B1695" t="str">
        <f t="shared" si="200"/>
        <v>VIA AGOSTINO NOVELLA  26-</v>
      </c>
      <c r="C1695" t="str">
        <f t="shared" si="198"/>
        <v>PRA</v>
      </c>
      <c r="D1695">
        <v>12</v>
      </c>
      <c r="E1695" t="str">
        <f t="shared" si="199"/>
        <v>584</v>
      </c>
      <c r="F1695" t="str">
        <f>"15"</f>
        <v>15</v>
      </c>
    </row>
    <row r="1696" spans="1:6">
      <c r="A1696" t="str">
        <f>"E1083-12"</f>
        <v>E1083-12</v>
      </c>
      <c r="B1696" t="str">
        <f t="shared" si="200"/>
        <v>VIA AGOSTINO NOVELLA  26-</v>
      </c>
      <c r="C1696" t="str">
        <f t="shared" si="198"/>
        <v>PRA</v>
      </c>
      <c r="D1696">
        <v>12</v>
      </c>
      <c r="E1696" t="str">
        <f t="shared" si="199"/>
        <v>584</v>
      </c>
      <c r="F1696" t="str">
        <f>"16"</f>
        <v>16</v>
      </c>
    </row>
    <row r="1697" spans="1:6">
      <c r="A1697" t="str">
        <f>"E1083-13"</f>
        <v>E1083-13</v>
      </c>
      <c r="B1697" t="str">
        <f t="shared" si="200"/>
        <v>VIA AGOSTINO NOVELLA  26-</v>
      </c>
      <c r="C1697" t="str">
        <f t="shared" si="198"/>
        <v>PRA</v>
      </c>
      <c r="D1697">
        <v>12</v>
      </c>
      <c r="E1697" t="str">
        <f t="shared" si="199"/>
        <v>584</v>
      </c>
      <c r="F1697" t="str">
        <f>"17"</f>
        <v>17</v>
      </c>
    </row>
    <row r="1698" spans="1:6">
      <c r="A1698" t="str">
        <f>"E1083-14"</f>
        <v>E1083-14</v>
      </c>
      <c r="B1698" t="str">
        <f t="shared" si="200"/>
        <v>VIA AGOSTINO NOVELLA  26-</v>
      </c>
      <c r="C1698" t="str">
        <f t="shared" si="198"/>
        <v>PRA</v>
      </c>
      <c r="D1698">
        <v>12</v>
      </c>
      <c r="E1698" t="str">
        <f t="shared" si="199"/>
        <v>584</v>
      </c>
      <c r="F1698" t="str">
        <f>"18"</f>
        <v>18</v>
      </c>
    </row>
    <row r="1699" spans="1:6">
      <c r="A1699" t="str">
        <f>"E1083-15"</f>
        <v>E1083-15</v>
      </c>
      <c r="B1699" t="str">
        <f t="shared" si="200"/>
        <v>VIA AGOSTINO NOVELLA  26-</v>
      </c>
      <c r="C1699" t="str">
        <f t="shared" si="198"/>
        <v>PRA</v>
      </c>
      <c r="D1699">
        <v>12</v>
      </c>
      <c r="E1699" t="str">
        <f t="shared" si="199"/>
        <v>584</v>
      </c>
      <c r="F1699" t="str">
        <f>"19"</f>
        <v>19</v>
      </c>
    </row>
    <row r="1700" spans="1:6">
      <c r="A1700" t="str">
        <f>"E1083-16"</f>
        <v>E1083-16</v>
      </c>
      <c r="B1700" t="str">
        <f t="shared" ref="B1700:B1709" si="201">"VIA AGOSTINO NOVELLA  28-"</f>
        <v>VIA AGOSTINO NOVELLA  28-</v>
      </c>
      <c r="C1700" t="str">
        <f t="shared" si="198"/>
        <v>PRA</v>
      </c>
      <c r="D1700">
        <v>12</v>
      </c>
      <c r="E1700" t="str">
        <f t="shared" si="199"/>
        <v>584</v>
      </c>
      <c r="F1700" t="str">
        <f>"20"</f>
        <v>20</v>
      </c>
    </row>
    <row r="1701" spans="1:6">
      <c r="A1701" t="str">
        <f>"E1083-17"</f>
        <v>E1083-17</v>
      </c>
      <c r="B1701" t="str">
        <f t="shared" si="201"/>
        <v>VIA AGOSTINO NOVELLA  28-</v>
      </c>
      <c r="C1701" t="str">
        <f t="shared" si="198"/>
        <v>PRA</v>
      </c>
      <c r="D1701">
        <v>12</v>
      </c>
      <c r="E1701" t="str">
        <f t="shared" si="199"/>
        <v>584</v>
      </c>
      <c r="F1701" t="str">
        <f>"21"</f>
        <v>21</v>
      </c>
    </row>
    <row r="1702" spans="1:6">
      <c r="A1702" t="str">
        <f>"E1083-18"</f>
        <v>E1083-18</v>
      </c>
      <c r="B1702" t="str">
        <f t="shared" si="201"/>
        <v>VIA AGOSTINO NOVELLA  28-</v>
      </c>
      <c r="C1702" t="str">
        <f t="shared" si="198"/>
        <v>PRA</v>
      </c>
      <c r="D1702">
        <v>12</v>
      </c>
      <c r="E1702" t="str">
        <f t="shared" si="199"/>
        <v>584</v>
      </c>
      <c r="F1702" t="str">
        <f>"22"</f>
        <v>22</v>
      </c>
    </row>
    <row r="1703" spans="1:6">
      <c r="A1703" t="str">
        <f>"E1083-19"</f>
        <v>E1083-19</v>
      </c>
      <c r="B1703" t="str">
        <f t="shared" si="201"/>
        <v>VIA AGOSTINO NOVELLA  28-</v>
      </c>
      <c r="C1703" t="str">
        <f t="shared" si="198"/>
        <v>PRA</v>
      </c>
      <c r="D1703">
        <v>12</v>
      </c>
      <c r="E1703" t="str">
        <f t="shared" si="199"/>
        <v>584</v>
      </c>
      <c r="F1703" t="str">
        <f>"23"</f>
        <v>23</v>
      </c>
    </row>
    <row r="1704" spans="1:6">
      <c r="A1704" t="str">
        <f>"E1083-20"</f>
        <v>E1083-20</v>
      </c>
      <c r="B1704" t="str">
        <f t="shared" si="201"/>
        <v>VIA AGOSTINO NOVELLA  28-</v>
      </c>
      <c r="C1704" t="str">
        <f t="shared" si="198"/>
        <v>PRA</v>
      </c>
      <c r="D1704">
        <v>12</v>
      </c>
      <c r="E1704" t="str">
        <f t="shared" si="199"/>
        <v>584</v>
      </c>
      <c r="F1704" t="str">
        <f>"24"</f>
        <v>24</v>
      </c>
    </row>
    <row r="1705" spans="1:6">
      <c r="A1705" t="str">
        <f>"E1083-21"</f>
        <v>E1083-21</v>
      </c>
      <c r="B1705" t="str">
        <f t="shared" si="201"/>
        <v>VIA AGOSTINO NOVELLA  28-</v>
      </c>
      <c r="C1705" t="str">
        <f t="shared" si="198"/>
        <v>PRA</v>
      </c>
      <c r="D1705">
        <v>12</v>
      </c>
      <c r="E1705" t="str">
        <f t="shared" si="199"/>
        <v>584</v>
      </c>
      <c r="F1705" t="str">
        <f>"25"</f>
        <v>25</v>
      </c>
    </row>
    <row r="1706" spans="1:6">
      <c r="A1706" t="str">
        <f>"E1083-22"</f>
        <v>E1083-22</v>
      </c>
      <c r="B1706" t="str">
        <f t="shared" si="201"/>
        <v>VIA AGOSTINO NOVELLA  28-</v>
      </c>
      <c r="C1706" t="str">
        <f t="shared" si="198"/>
        <v>PRA</v>
      </c>
      <c r="D1706">
        <v>12</v>
      </c>
      <c r="E1706" t="str">
        <f t="shared" si="199"/>
        <v>584</v>
      </c>
      <c r="F1706" t="str">
        <f>"26"</f>
        <v>26</v>
      </c>
    </row>
    <row r="1707" spans="1:6">
      <c r="A1707" t="str">
        <f>"E1083-23"</f>
        <v>E1083-23</v>
      </c>
      <c r="B1707" t="str">
        <f t="shared" si="201"/>
        <v>VIA AGOSTINO NOVELLA  28-</v>
      </c>
      <c r="C1707" t="str">
        <f t="shared" si="198"/>
        <v>PRA</v>
      </c>
      <c r="D1707">
        <v>12</v>
      </c>
      <c r="E1707" t="str">
        <f t="shared" si="199"/>
        <v>584</v>
      </c>
      <c r="F1707" t="str">
        <f>"27"</f>
        <v>27</v>
      </c>
    </row>
    <row r="1708" spans="1:6">
      <c r="A1708" t="str">
        <f>"E1083-24"</f>
        <v>E1083-24</v>
      </c>
      <c r="B1708" t="str">
        <f t="shared" si="201"/>
        <v>VIA AGOSTINO NOVELLA  28-</v>
      </c>
      <c r="C1708" t="str">
        <f t="shared" si="198"/>
        <v>PRA</v>
      </c>
      <c r="D1708">
        <v>12</v>
      </c>
      <c r="E1708" t="str">
        <f t="shared" si="199"/>
        <v>584</v>
      </c>
      <c r="F1708" t="str">
        <f>"28"</f>
        <v>28</v>
      </c>
    </row>
    <row r="1709" spans="1:6">
      <c r="A1709" t="str">
        <f>"E1083-25"</f>
        <v>E1083-25</v>
      </c>
      <c r="B1709" t="str">
        <f t="shared" si="201"/>
        <v>VIA AGOSTINO NOVELLA  28-</v>
      </c>
      <c r="C1709" t="str">
        <f t="shared" si="198"/>
        <v>PRA</v>
      </c>
      <c r="D1709">
        <v>12</v>
      </c>
      <c r="E1709" t="str">
        <f t="shared" si="199"/>
        <v>584</v>
      </c>
      <c r="F1709" t="str">
        <f>"29"</f>
        <v>29</v>
      </c>
    </row>
    <row r="1710" spans="1:6">
      <c r="A1710" t="str">
        <f>"E1083-26"</f>
        <v>E1083-26</v>
      </c>
      <c r="B1710" t="str">
        <f t="shared" ref="B1710:B1719" si="202">"VIA AGOSTINO NOVELLA  30-"</f>
        <v>VIA AGOSTINO NOVELLA  30-</v>
      </c>
      <c r="C1710" t="str">
        <f t="shared" si="198"/>
        <v>PRA</v>
      </c>
      <c r="D1710">
        <v>12</v>
      </c>
      <c r="E1710" t="str">
        <f t="shared" si="199"/>
        <v>584</v>
      </c>
      <c r="F1710" t="str">
        <f>"30"</f>
        <v>30</v>
      </c>
    </row>
    <row r="1711" spans="1:6">
      <c r="A1711" t="str">
        <f>"E1083-27"</f>
        <v>E1083-27</v>
      </c>
      <c r="B1711" t="str">
        <f t="shared" si="202"/>
        <v>VIA AGOSTINO NOVELLA  30-</v>
      </c>
      <c r="C1711" t="str">
        <f t="shared" si="198"/>
        <v>PRA</v>
      </c>
      <c r="D1711">
        <v>12</v>
      </c>
      <c r="E1711" t="str">
        <f t="shared" si="199"/>
        <v>584</v>
      </c>
      <c r="F1711" t="str">
        <f>"31"</f>
        <v>31</v>
      </c>
    </row>
    <row r="1712" spans="1:6">
      <c r="A1712" t="str">
        <f>"E1083-28"</f>
        <v>E1083-28</v>
      </c>
      <c r="B1712" t="str">
        <f t="shared" si="202"/>
        <v>VIA AGOSTINO NOVELLA  30-</v>
      </c>
      <c r="C1712" t="str">
        <f t="shared" si="198"/>
        <v>PRA</v>
      </c>
      <c r="D1712">
        <v>12</v>
      </c>
      <c r="E1712" t="str">
        <f t="shared" si="199"/>
        <v>584</v>
      </c>
      <c r="F1712" t="str">
        <f>"32"</f>
        <v>32</v>
      </c>
    </row>
    <row r="1713" spans="1:6">
      <c r="A1713" t="str">
        <f>"E1083-29"</f>
        <v>E1083-29</v>
      </c>
      <c r="B1713" t="str">
        <f t="shared" si="202"/>
        <v>VIA AGOSTINO NOVELLA  30-</v>
      </c>
      <c r="C1713" t="str">
        <f t="shared" si="198"/>
        <v>PRA</v>
      </c>
      <c r="D1713">
        <v>12</v>
      </c>
      <c r="E1713" t="str">
        <f t="shared" si="199"/>
        <v>584</v>
      </c>
      <c r="F1713" t="str">
        <f>"33"</f>
        <v>33</v>
      </c>
    </row>
    <row r="1714" spans="1:6">
      <c r="A1714" t="str">
        <f>"E1083-30"</f>
        <v>E1083-30</v>
      </c>
      <c r="B1714" t="str">
        <f t="shared" si="202"/>
        <v>VIA AGOSTINO NOVELLA  30-</v>
      </c>
      <c r="C1714" t="str">
        <f t="shared" si="198"/>
        <v>PRA</v>
      </c>
      <c r="D1714">
        <v>12</v>
      </c>
      <c r="E1714" t="str">
        <f t="shared" si="199"/>
        <v>584</v>
      </c>
      <c r="F1714" t="str">
        <f>"34"</f>
        <v>34</v>
      </c>
    </row>
    <row r="1715" spans="1:6">
      <c r="A1715" t="str">
        <f>"E1083-31"</f>
        <v>E1083-31</v>
      </c>
      <c r="B1715" t="str">
        <f t="shared" si="202"/>
        <v>VIA AGOSTINO NOVELLA  30-</v>
      </c>
      <c r="C1715" t="str">
        <f t="shared" si="198"/>
        <v>PRA</v>
      </c>
      <c r="D1715">
        <v>12</v>
      </c>
      <c r="E1715" t="str">
        <f t="shared" si="199"/>
        <v>584</v>
      </c>
      <c r="F1715" t="str">
        <f>"35"</f>
        <v>35</v>
      </c>
    </row>
    <row r="1716" spans="1:6">
      <c r="A1716" t="str">
        <f>"E1083-32"</f>
        <v>E1083-32</v>
      </c>
      <c r="B1716" t="str">
        <f t="shared" si="202"/>
        <v>VIA AGOSTINO NOVELLA  30-</v>
      </c>
      <c r="C1716" t="str">
        <f t="shared" si="198"/>
        <v>PRA</v>
      </c>
      <c r="D1716">
        <v>12</v>
      </c>
      <c r="E1716" t="str">
        <f t="shared" si="199"/>
        <v>584</v>
      </c>
      <c r="F1716" t="str">
        <f>"36"</f>
        <v>36</v>
      </c>
    </row>
    <row r="1717" spans="1:6">
      <c r="A1717" t="str">
        <f>"E1083-33"</f>
        <v>E1083-33</v>
      </c>
      <c r="B1717" t="str">
        <f t="shared" si="202"/>
        <v>VIA AGOSTINO NOVELLA  30-</v>
      </c>
      <c r="C1717" t="str">
        <f t="shared" ref="C1717:C1748" si="203">"PRA"</f>
        <v>PRA</v>
      </c>
      <c r="D1717">
        <v>12</v>
      </c>
      <c r="E1717" t="str">
        <f t="shared" ref="E1717:E1748" si="204">"584"</f>
        <v>584</v>
      </c>
      <c r="F1717" t="str">
        <f>"37"</f>
        <v>37</v>
      </c>
    </row>
    <row r="1718" spans="1:6">
      <c r="A1718" t="str">
        <f>"E1083-34"</f>
        <v>E1083-34</v>
      </c>
      <c r="B1718" t="str">
        <f t="shared" si="202"/>
        <v>VIA AGOSTINO NOVELLA  30-</v>
      </c>
      <c r="C1718" t="str">
        <f t="shared" si="203"/>
        <v>PRA</v>
      </c>
      <c r="D1718">
        <v>12</v>
      </c>
      <c r="E1718" t="str">
        <f t="shared" si="204"/>
        <v>584</v>
      </c>
      <c r="F1718" t="str">
        <f>"38"</f>
        <v>38</v>
      </c>
    </row>
    <row r="1719" spans="1:6">
      <c r="A1719" t="str">
        <f>"E1083-35"</f>
        <v>E1083-35</v>
      </c>
      <c r="B1719" t="str">
        <f t="shared" si="202"/>
        <v>VIA AGOSTINO NOVELLA  30-</v>
      </c>
      <c r="C1719" t="str">
        <f t="shared" si="203"/>
        <v>PRA</v>
      </c>
      <c r="D1719">
        <v>12</v>
      </c>
      <c r="E1719" t="str">
        <f t="shared" si="204"/>
        <v>584</v>
      </c>
      <c r="F1719" t="str">
        <f>"39"</f>
        <v>39</v>
      </c>
    </row>
    <row r="1720" spans="1:6">
      <c r="A1720" t="str">
        <f>"E1083-36"</f>
        <v>E1083-36</v>
      </c>
      <c r="B1720" t="str">
        <f t="shared" ref="B1720:B1731" si="205">"VIA AGOSTINO NOVELLA  32-"</f>
        <v>VIA AGOSTINO NOVELLA  32-</v>
      </c>
      <c r="C1720" t="str">
        <f t="shared" si="203"/>
        <v>PRA</v>
      </c>
      <c r="D1720">
        <v>12</v>
      </c>
      <c r="E1720" t="str">
        <f t="shared" si="204"/>
        <v>584</v>
      </c>
      <c r="F1720" t="str">
        <f>"40"</f>
        <v>40</v>
      </c>
    </row>
    <row r="1721" spans="1:6">
      <c r="A1721" t="str">
        <f>"E1083-37"</f>
        <v>E1083-37</v>
      </c>
      <c r="B1721" t="str">
        <f t="shared" si="205"/>
        <v>VIA AGOSTINO NOVELLA  32-</v>
      </c>
      <c r="C1721" t="str">
        <f t="shared" si="203"/>
        <v>PRA</v>
      </c>
      <c r="D1721">
        <v>12</v>
      </c>
      <c r="E1721" t="str">
        <f t="shared" si="204"/>
        <v>584</v>
      </c>
      <c r="F1721" t="str">
        <f>"41"</f>
        <v>41</v>
      </c>
    </row>
    <row r="1722" spans="1:6">
      <c r="A1722" t="str">
        <f>"E1083-38"</f>
        <v>E1083-38</v>
      </c>
      <c r="B1722" t="str">
        <f t="shared" si="205"/>
        <v>VIA AGOSTINO NOVELLA  32-</v>
      </c>
      <c r="C1722" t="str">
        <f t="shared" si="203"/>
        <v>PRA</v>
      </c>
      <c r="D1722">
        <v>12</v>
      </c>
      <c r="E1722" t="str">
        <f t="shared" si="204"/>
        <v>584</v>
      </c>
      <c r="F1722" t="str">
        <f>"42"</f>
        <v>42</v>
      </c>
    </row>
    <row r="1723" spans="1:6">
      <c r="A1723" t="str">
        <f>"E1083-39"</f>
        <v>E1083-39</v>
      </c>
      <c r="B1723" t="str">
        <f t="shared" si="205"/>
        <v>VIA AGOSTINO NOVELLA  32-</v>
      </c>
      <c r="C1723" t="str">
        <f t="shared" si="203"/>
        <v>PRA</v>
      </c>
      <c r="D1723">
        <v>12</v>
      </c>
      <c r="E1723" t="str">
        <f t="shared" si="204"/>
        <v>584</v>
      </c>
      <c r="F1723" t="str">
        <f>"43"</f>
        <v>43</v>
      </c>
    </row>
    <row r="1724" spans="1:6">
      <c r="A1724" t="str">
        <f>"E1083-40"</f>
        <v>E1083-40</v>
      </c>
      <c r="B1724" t="str">
        <f t="shared" si="205"/>
        <v>VIA AGOSTINO NOVELLA  32-</v>
      </c>
      <c r="C1724" t="str">
        <f t="shared" si="203"/>
        <v>PRA</v>
      </c>
      <c r="D1724">
        <v>12</v>
      </c>
      <c r="E1724" t="str">
        <f t="shared" si="204"/>
        <v>584</v>
      </c>
      <c r="F1724" t="str">
        <f>"44"</f>
        <v>44</v>
      </c>
    </row>
    <row r="1725" spans="1:6">
      <c r="A1725" t="str">
        <f>"E1083-41"</f>
        <v>E1083-41</v>
      </c>
      <c r="B1725" t="str">
        <f t="shared" si="205"/>
        <v>VIA AGOSTINO NOVELLA  32-</v>
      </c>
      <c r="C1725" t="str">
        <f t="shared" si="203"/>
        <v>PRA</v>
      </c>
      <c r="D1725">
        <v>12</v>
      </c>
      <c r="E1725" t="str">
        <f t="shared" si="204"/>
        <v>584</v>
      </c>
      <c r="F1725" t="str">
        <f>"45"</f>
        <v>45</v>
      </c>
    </row>
    <row r="1726" spans="1:6">
      <c r="A1726" t="str">
        <f>"E1083-42"</f>
        <v>E1083-42</v>
      </c>
      <c r="B1726" t="str">
        <f t="shared" si="205"/>
        <v>VIA AGOSTINO NOVELLA  32-</v>
      </c>
      <c r="C1726" t="str">
        <f t="shared" si="203"/>
        <v>PRA</v>
      </c>
      <c r="D1726">
        <v>12</v>
      </c>
      <c r="E1726" t="str">
        <f t="shared" si="204"/>
        <v>584</v>
      </c>
      <c r="F1726" t="str">
        <f>"46"</f>
        <v>46</v>
      </c>
    </row>
    <row r="1727" spans="1:6">
      <c r="A1727" t="str">
        <f>"E1083-43"</f>
        <v>E1083-43</v>
      </c>
      <c r="B1727" t="str">
        <f t="shared" si="205"/>
        <v>VIA AGOSTINO NOVELLA  32-</v>
      </c>
      <c r="C1727" t="str">
        <f t="shared" si="203"/>
        <v>PRA</v>
      </c>
      <c r="D1727">
        <v>12</v>
      </c>
      <c r="E1727" t="str">
        <f t="shared" si="204"/>
        <v>584</v>
      </c>
      <c r="F1727" t="str">
        <f>"47"</f>
        <v>47</v>
      </c>
    </row>
    <row r="1728" spans="1:6">
      <c r="A1728" t="str">
        <f>"E1083-44"</f>
        <v>E1083-44</v>
      </c>
      <c r="B1728" t="str">
        <f t="shared" si="205"/>
        <v>VIA AGOSTINO NOVELLA  32-</v>
      </c>
      <c r="C1728" t="str">
        <f t="shared" si="203"/>
        <v>PRA</v>
      </c>
      <c r="D1728">
        <v>12</v>
      </c>
      <c r="E1728" t="str">
        <f t="shared" si="204"/>
        <v>584</v>
      </c>
      <c r="F1728" t="str">
        <f>"48"</f>
        <v>48</v>
      </c>
    </row>
    <row r="1729" spans="1:6">
      <c r="A1729" t="str">
        <f>"E1083-45"</f>
        <v>E1083-45</v>
      </c>
      <c r="B1729" t="str">
        <f t="shared" si="205"/>
        <v>VIA AGOSTINO NOVELLA  32-</v>
      </c>
      <c r="C1729" t="str">
        <f t="shared" si="203"/>
        <v>PRA</v>
      </c>
      <c r="D1729">
        <v>12</v>
      </c>
      <c r="E1729" t="str">
        <f t="shared" si="204"/>
        <v>584</v>
      </c>
      <c r="F1729" t="str">
        <f>"49"</f>
        <v>49</v>
      </c>
    </row>
    <row r="1730" spans="1:6">
      <c r="A1730" t="str">
        <f>"E1083-46"</f>
        <v>E1083-46</v>
      </c>
      <c r="B1730" t="str">
        <f t="shared" si="205"/>
        <v>VIA AGOSTINO NOVELLA  32-</v>
      </c>
      <c r="C1730" t="str">
        <f t="shared" si="203"/>
        <v>PRA</v>
      </c>
      <c r="D1730">
        <v>12</v>
      </c>
      <c r="E1730" t="str">
        <f t="shared" si="204"/>
        <v>584</v>
      </c>
      <c r="F1730" t="str">
        <f>"50"</f>
        <v>50</v>
      </c>
    </row>
    <row r="1731" spans="1:6">
      <c r="A1731" t="str">
        <f>"E1083-47"</f>
        <v>E1083-47</v>
      </c>
      <c r="B1731" t="str">
        <f t="shared" si="205"/>
        <v>VIA AGOSTINO NOVELLA  32-</v>
      </c>
      <c r="C1731" t="str">
        <f t="shared" si="203"/>
        <v>PRA</v>
      </c>
      <c r="D1731">
        <v>12</v>
      </c>
      <c r="E1731" t="str">
        <f t="shared" si="204"/>
        <v>584</v>
      </c>
      <c r="F1731" t="str">
        <f>"51"</f>
        <v>51</v>
      </c>
    </row>
    <row r="1732" spans="1:6">
      <c r="A1732" t="str">
        <f>"E1083-48"</f>
        <v>E1083-48</v>
      </c>
      <c r="B1732" t="str">
        <f t="shared" ref="B1732:B1751" si="206">"VIA AGOSTINO NOVELLA  34-"</f>
        <v>VIA AGOSTINO NOVELLA  34-</v>
      </c>
      <c r="C1732" t="str">
        <f t="shared" si="203"/>
        <v>PRA</v>
      </c>
      <c r="D1732">
        <v>12</v>
      </c>
      <c r="E1732" t="str">
        <f t="shared" si="204"/>
        <v>584</v>
      </c>
      <c r="F1732" t="str">
        <f>"52"</f>
        <v>52</v>
      </c>
    </row>
    <row r="1733" spans="1:6">
      <c r="A1733" t="str">
        <f>"E1083-49"</f>
        <v>E1083-49</v>
      </c>
      <c r="B1733" t="str">
        <f t="shared" si="206"/>
        <v>VIA AGOSTINO NOVELLA  34-</v>
      </c>
      <c r="C1733" t="str">
        <f t="shared" si="203"/>
        <v>PRA</v>
      </c>
      <c r="D1733">
        <v>12</v>
      </c>
      <c r="E1733" t="str">
        <f t="shared" si="204"/>
        <v>584</v>
      </c>
      <c r="F1733" t="str">
        <f>"53"</f>
        <v>53</v>
      </c>
    </row>
    <row r="1734" spans="1:6">
      <c r="A1734" t="str">
        <f>"E1083-50"</f>
        <v>E1083-50</v>
      </c>
      <c r="B1734" t="str">
        <f t="shared" si="206"/>
        <v>VIA AGOSTINO NOVELLA  34-</v>
      </c>
      <c r="C1734" t="str">
        <f t="shared" si="203"/>
        <v>PRA</v>
      </c>
      <c r="D1734">
        <v>12</v>
      </c>
      <c r="E1734" t="str">
        <f t="shared" si="204"/>
        <v>584</v>
      </c>
      <c r="F1734" t="str">
        <f>"54"</f>
        <v>54</v>
      </c>
    </row>
    <row r="1735" spans="1:6">
      <c r="A1735" t="str">
        <f>"E1083-51"</f>
        <v>E1083-51</v>
      </c>
      <c r="B1735" t="str">
        <f t="shared" si="206"/>
        <v>VIA AGOSTINO NOVELLA  34-</v>
      </c>
      <c r="C1735" t="str">
        <f t="shared" si="203"/>
        <v>PRA</v>
      </c>
      <c r="D1735">
        <v>12</v>
      </c>
      <c r="E1735" t="str">
        <f t="shared" si="204"/>
        <v>584</v>
      </c>
      <c r="F1735" t="str">
        <f>"55"</f>
        <v>55</v>
      </c>
    </row>
    <row r="1736" spans="1:6">
      <c r="A1736" t="str">
        <f>"E1083-52"</f>
        <v>E1083-52</v>
      </c>
      <c r="B1736" t="str">
        <f t="shared" si="206"/>
        <v>VIA AGOSTINO NOVELLA  34-</v>
      </c>
      <c r="C1736" t="str">
        <f t="shared" si="203"/>
        <v>PRA</v>
      </c>
      <c r="D1736">
        <v>12</v>
      </c>
      <c r="E1736" t="str">
        <f t="shared" si="204"/>
        <v>584</v>
      </c>
      <c r="F1736" t="str">
        <f>"56"</f>
        <v>56</v>
      </c>
    </row>
    <row r="1737" spans="1:6">
      <c r="A1737" t="str">
        <f>"E1083-53"</f>
        <v>E1083-53</v>
      </c>
      <c r="B1737" t="str">
        <f t="shared" si="206"/>
        <v>VIA AGOSTINO NOVELLA  34-</v>
      </c>
      <c r="C1737" t="str">
        <f t="shared" si="203"/>
        <v>PRA</v>
      </c>
      <c r="D1737">
        <v>12</v>
      </c>
      <c r="E1737" t="str">
        <f t="shared" si="204"/>
        <v>584</v>
      </c>
      <c r="F1737" t="str">
        <f>"57"</f>
        <v>57</v>
      </c>
    </row>
    <row r="1738" spans="1:6">
      <c r="A1738" t="str">
        <f>"E1083-54"</f>
        <v>E1083-54</v>
      </c>
      <c r="B1738" t="str">
        <f t="shared" si="206"/>
        <v>VIA AGOSTINO NOVELLA  34-</v>
      </c>
      <c r="C1738" t="str">
        <f t="shared" si="203"/>
        <v>PRA</v>
      </c>
      <c r="D1738">
        <v>12</v>
      </c>
      <c r="E1738" t="str">
        <f t="shared" si="204"/>
        <v>584</v>
      </c>
      <c r="F1738" t="str">
        <f>"58"</f>
        <v>58</v>
      </c>
    </row>
    <row r="1739" spans="1:6">
      <c r="A1739" t="str">
        <f>"E1083-55"</f>
        <v>E1083-55</v>
      </c>
      <c r="B1739" t="str">
        <f t="shared" si="206"/>
        <v>VIA AGOSTINO NOVELLA  34-</v>
      </c>
      <c r="C1739" t="str">
        <f t="shared" si="203"/>
        <v>PRA</v>
      </c>
      <c r="D1739">
        <v>12</v>
      </c>
      <c r="E1739" t="str">
        <f t="shared" si="204"/>
        <v>584</v>
      </c>
      <c r="F1739" t="str">
        <f>"59"</f>
        <v>59</v>
      </c>
    </row>
    <row r="1740" spans="1:6">
      <c r="A1740" t="str">
        <f>"E1083-56"</f>
        <v>E1083-56</v>
      </c>
      <c r="B1740" t="str">
        <f t="shared" si="206"/>
        <v>VIA AGOSTINO NOVELLA  34-</v>
      </c>
      <c r="C1740" t="str">
        <f t="shared" si="203"/>
        <v>PRA</v>
      </c>
      <c r="D1740">
        <v>12</v>
      </c>
      <c r="E1740" t="str">
        <f t="shared" si="204"/>
        <v>584</v>
      </c>
      <c r="F1740" t="str">
        <f>"60"</f>
        <v>60</v>
      </c>
    </row>
    <row r="1741" spans="1:6">
      <c r="A1741" t="str">
        <f>"E1083-57"</f>
        <v>E1083-57</v>
      </c>
      <c r="B1741" t="str">
        <f t="shared" si="206"/>
        <v>VIA AGOSTINO NOVELLA  34-</v>
      </c>
      <c r="C1741" t="str">
        <f t="shared" si="203"/>
        <v>PRA</v>
      </c>
      <c r="D1741">
        <v>12</v>
      </c>
      <c r="E1741" t="str">
        <f t="shared" si="204"/>
        <v>584</v>
      </c>
      <c r="F1741" t="str">
        <f>"61"</f>
        <v>61</v>
      </c>
    </row>
    <row r="1742" spans="1:6">
      <c r="A1742" t="str">
        <f>"E1083-58"</f>
        <v>E1083-58</v>
      </c>
      <c r="B1742" t="str">
        <f t="shared" si="206"/>
        <v>VIA AGOSTINO NOVELLA  34-</v>
      </c>
      <c r="C1742" t="str">
        <f t="shared" si="203"/>
        <v>PRA</v>
      </c>
      <c r="D1742">
        <v>12</v>
      </c>
      <c r="E1742" t="str">
        <f t="shared" si="204"/>
        <v>584</v>
      </c>
      <c r="F1742" t="str">
        <f>"62"</f>
        <v>62</v>
      </c>
    </row>
    <row r="1743" spans="1:6">
      <c r="A1743" t="str">
        <f>"E1083-59"</f>
        <v>E1083-59</v>
      </c>
      <c r="B1743" t="str">
        <f t="shared" si="206"/>
        <v>VIA AGOSTINO NOVELLA  34-</v>
      </c>
      <c r="C1743" t="str">
        <f t="shared" si="203"/>
        <v>PRA</v>
      </c>
      <c r="D1743">
        <v>12</v>
      </c>
      <c r="E1743" t="str">
        <f t="shared" si="204"/>
        <v>584</v>
      </c>
      <c r="F1743" t="str">
        <f>"63"</f>
        <v>63</v>
      </c>
    </row>
    <row r="1744" spans="1:6">
      <c r="A1744" t="str">
        <f>"E1083-60"</f>
        <v>E1083-60</v>
      </c>
      <c r="B1744" t="str">
        <f t="shared" si="206"/>
        <v>VIA AGOSTINO NOVELLA  34-</v>
      </c>
      <c r="C1744" t="str">
        <f t="shared" si="203"/>
        <v>PRA</v>
      </c>
      <c r="D1744">
        <v>12</v>
      </c>
      <c r="E1744" t="str">
        <f t="shared" si="204"/>
        <v>584</v>
      </c>
      <c r="F1744" t="str">
        <f>"64"</f>
        <v>64</v>
      </c>
    </row>
    <row r="1745" spans="1:6">
      <c r="A1745" t="str">
        <f>"E1083-61"</f>
        <v>E1083-61</v>
      </c>
      <c r="B1745" t="str">
        <f t="shared" si="206"/>
        <v>VIA AGOSTINO NOVELLA  34-</v>
      </c>
      <c r="C1745" t="str">
        <f t="shared" si="203"/>
        <v>PRA</v>
      </c>
      <c r="D1745">
        <v>12</v>
      </c>
      <c r="E1745" t="str">
        <f t="shared" si="204"/>
        <v>584</v>
      </c>
      <c r="F1745" t="str">
        <f>"65"</f>
        <v>65</v>
      </c>
    </row>
    <row r="1746" spans="1:6">
      <c r="A1746" t="str">
        <f>"E1083-62"</f>
        <v>E1083-62</v>
      </c>
      <c r="B1746" t="str">
        <f t="shared" si="206"/>
        <v>VIA AGOSTINO NOVELLA  34-</v>
      </c>
      <c r="C1746" t="str">
        <f t="shared" si="203"/>
        <v>PRA</v>
      </c>
      <c r="D1746">
        <v>12</v>
      </c>
      <c r="E1746" t="str">
        <f t="shared" si="204"/>
        <v>584</v>
      </c>
      <c r="F1746" t="str">
        <f>"66"</f>
        <v>66</v>
      </c>
    </row>
    <row r="1747" spans="1:6">
      <c r="A1747" t="str">
        <f>"E1083-63"</f>
        <v>E1083-63</v>
      </c>
      <c r="B1747" t="str">
        <f t="shared" si="206"/>
        <v>VIA AGOSTINO NOVELLA  34-</v>
      </c>
      <c r="C1747" t="str">
        <f t="shared" si="203"/>
        <v>PRA</v>
      </c>
      <c r="D1747">
        <v>12</v>
      </c>
      <c r="E1747" t="str">
        <f t="shared" si="204"/>
        <v>584</v>
      </c>
      <c r="F1747" t="str">
        <f>"67"</f>
        <v>67</v>
      </c>
    </row>
    <row r="1748" spans="1:6">
      <c r="A1748" t="str">
        <f>"E1083-64"</f>
        <v>E1083-64</v>
      </c>
      <c r="B1748" t="str">
        <f t="shared" si="206"/>
        <v>VIA AGOSTINO NOVELLA  34-</v>
      </c>
      <c r="C1748" t="str">
        <f t="shared" si="203"/>
        <v>PRA</v>
      </c>
      <c r="D1748">
        <v>12</v>
      </c>
      <c r="E1748" t="str">
        <f t="shared" si="204"/>
        <v>584</v>
      </c>
      <c r="F1748" t="str">
        <f>"68"</f>
        <v>68</v>
      </c>
    </row>
    <row r="1749" spans="1:6">
      <c r="A1749" t="str">
        <f>"E1083-65"</f>
        <v>E1083-65</v>
      </c>
      <c r="B1749" t="str">
        <f t="shared" si="206"/>
        <v>VIA AGOSTINO NOVELLA  34-</v>
      </c>
      <c r="C1749" t="str">
        <f t="shared" ref="C1749:C1780" si="207">"PRA"</f>
        <v>PRA</v>
      </c>
      <c r="D1749">
        <v>12</v>
      </c>
      <c r="E1749" t="str">
        <f t="shared" ref="E1749:E1780" si="208">"584"</f>
        <v>584</v>
      </c>
      <c r="F1749" t="str">
        <f>"69"</f>
        <v>69</v>
      </c>
    </row>
    <row r="1750" spans="1:6">
      <c r="A1750" t="str">
        <f>"E1083-66"</f>
        <v>E1083-66</v>
      </c>
      <c r="B1750" t="str">
        <f t="shared" si="206"/>
        <v>VIA AGOSTINO NOVELLA  34-</v>
      </c>
      <c r="C1750" t="str">
        <f t="shared" si="207"/>
        <v>PRA</v>
      </c>
      <c r="D1750">
        <v>12</v>
      </c>
      <c r="E1750" t="str">
        <f t="shared" si="208"/>
        <v>584</v>
      </c>
      <c r="F1750" t="str">
        <f>"70"</f>
        <v>70</v>
      </c>
    </row>
    <row r="1751" spans="1:6">
      <c r="A1751" t="str">
        <f>"E1083-67"</f>
        <v>E1083-67</v>
      </c>
      <c r="B1751" t="str">
        <f t="shared" si="206"/>
        <v>VIA AGOSTINO NOVELLA  34-</v>
      </c>
      <c r="C1751" t="str">
        <f t="shared" si="207"/>
        <v>PRA</v>
      </c>
      <c r="D1751">
        <v>12</v>
      </c>
      <c r="E1751" t="str">
        <f t="shared" si="208"/>
        <v>584</v>
      </c>
      <c r="F1751" t="str">
        <f>"71"</f>
        <v>71</v>
      </c>
    </row>
    <row r="1752" spans="1:6">
      <c r="A1752" t="str">
        <f>"E1083-68"</f>
        <v>E1083-68</v>
      </c>
      <c r="B1752" t="str">
        <f t="shared" ref="B1752:B1768" si="209">"VIA AGOSTINO NOVELLA  36-"</f>
        <v>VIA AGOSTINO NOVELLA  36-</v>
      </c>
      <c r="C1752" t="str">
        <f t="shared" si="207"/>
        <v>PRA</v>
      </c>
      <c r="D1752">
        <v>12</v>
      </c>
      <c r="E1752" t="str">
        <f t="shared" si="208"/>
        <v>584</v>
      </c>
      <c r="F1752" t="str">
        <f>"72"</f>
        <v>72</v>
      </c>
    </row>
    <row r="1753" spans="1:6">
      <c r="A1753" t="str">
        <f>"E1083-69"</f>
        <v>E1083-69</v>
      </c>
      <c r="B1753" t="str">
        <f t="shared" si="209"/>
        <v>VIA AGOSTINO NOVELLA  36-</v>
      </c>
      <c r="C1753" t="str">
        <f t="shared" si="207"/>
        <v>PRA</v>
      </c>
      <c r="D1753">
        <v>12</v>
      </c>
      <c r="E1753" t="str">
        <f t="shared" si="208"/>
        <v>584</v>
      </c>
      <c r="F1753" t="str">
        <f>"73"</f>
        <v>73</v>
      </c>
    </row>
    <row r="1754" spans="1:6">
      <c r="A1754" t="str">
        <f>"E1083-70"</f>
        <v>E1083-70</v>
      </c>
      <c r="B1754" t="str">
        <f t="shared" si="209"/>
        <v>VIA AGOSTINO NOVELLA  36-</v>
      </c>
      <c r="C1754" t="str">
        <f t="shared" si="207"/>
        <v>PRA</v>
      </c>
      <c r="D1754">
        <v>12</v>
      </c>
      <c r="E1754" t="str">
        <f t="shared" si="208"/>
        <v>584</v>
      </c>
      <c r="F1754" t="str">
        <f>"74"</f>
        <v>74</v>
      </c>
    </row>
    <row r="1755" spans="1:6">
      <c r="A1755" t="str">
        <f>"E1083-71"</f>
        <v>E1083-71</v>
      </c>
      <c r="B1755" t="str">
        <f t="shared" si="209"/>
        <v>VIA AGOSTINO NOVELLA  36-</v>
      </c>
      <c r="C1755" t="str">
        <f t="shared" si="207"/>
        <v>PRA</v>
      </c>
      <c r="D1755">
        <v>12</v>
      </c>
      <c r="E1755" t="str">
        <f t="shared" si="208"/>
        <v>584</v>
      </c>
      <c r="F1755" t="str">
        <f>"75"</f>
        <v>75</v>
      </c>
    </row>
    <row r="1756" spans="1:6">
      <c r="A1756" t="str">
        <f>"E1083-72"</f>
        <v>E1083-72</v>
      </c>
      <c r="B1756" t="str">
        <f t="shared" si="209"/>
        <v>VIA AGOSTINO NOVELLA  36-</v>
      </c>
      <c r="C1756" t="str">
        <f t="shared" si="207"/>
        <v>PRA</v>
      </c>
      <c r="D1756">
        <v>12</v>
      </c>
      <c r="E1756" t="str">
        <f t="shared" si="208"/>
        <v>584</v>
      </c>
      <c r="F1756" t="str">
        <f>"76"</f>
        <v>76</v>
      </c>
    </row>
    <row r="1757" spans="1:6">
      <c r="A1757" t="str">
        <f>"E1083-73"</f>
        <v>E1083-73</v>
      </c>
      <c r="B1757" t="str">
        <f t="shared" si="209"/>
        <v>VIA AGOSTINO NOVELLA  36-</v>
      </c>
      <c r="C1757" t="str">
        <f t="shared" si="207"/>
        <v>PRA</v>
      </c>
      <c r="D1757">
        <v>12</v>
      </c>
      <c r="E1757" t="str">
        <f t="shared" si="208"/>
        <v>584</v>
      </c>
      <c r="F1757" t="str">
        <f>"77"</f>
        <v>77</v>
      </c>
    </row>
    <row r="1758" spans="1:6">
      <c r="A1758" t="str">
        <f>"E1083-74"</f>
        <v>E1083-74</v>
      </c>
      <c r="B1758" t="str">
        <f t="shared" si="209"/>
        <v>VIA AGOSTINO NOVELLA  36-</v>
      </c>
      <c r="C1758" t="str">
        <f t="shared" si="207"/>
        <v>PRA</v>
      </c>
      <c r="D1758">
        <v>12</v>
      </c>
      <c r="E1758" t="str">
        <f t="shared" si="208"/>
        <v>584</v>
      </c>
      <c r="F1758" t="str">
        <f>"78"</f>
        <v>78</v>
      </c>
    </row>
    <row r="1759" spans="1:6">
      <c r="A1759" t="str">
        <f>"E1083-75"</f>
        <v>E1083-75</v>
      </c>
      <c r="B1759" t="str">
        <f t="shared" si="209"/>
        <v>VIA AGOSTINO NOVELLA  36-</v>
      </c>
      <c r="C1759" t="str">
        <f t="shared" si="207"/>
        <v>PRA</v>
      </c>
      <c r="D1759">
        <v>12</v>
      </c>
      <c r="E1759" t="str">
        <f t="shared" si="208"/>
        <v>584</v>
      </c>
      <c r="F1759" t="str">
        <f>"79"</f>
        <v>79</v>
      </c>
    </row>
    <row r="1760" spans="1:6">
      <c r="A1760" t="str">
        <f>"E1083-76"</f>
        <v>E1083-76</v>
      </c>
      <c r="B1760" t="str">
        <f t="shared" si="209"/>
        <v>VIA AGOSTINO NOVELLA  36-</v>
      </c>
      <c r="C1760" t="str">
        <f t="shared" si="207"/>
        <v>PRA</v>
      </c>
      <c r="D1760">
        <v>12</v>
      </c>
      <c r="E1760" t="str">
        <f t="shared" si="208"/>
        <v>584</v>
      </c>
      <c r="F1760" t="str">
        <f>"80"</f>
        <v>80</v>
      </c>
    </row>
    <row r="1761" spans="1:6">
      <c r="A1761" t="str">
        <f>"E1083-77"</f>
        <v>E1083-77</v>
      </c>
      <c r="B1761" t="str">
        <f t="shared" si="209"/>
        <v>VIA AGOSTINO NOVELLA  36-</v>
      </c>
      <c r="C1761" t="str">
        <f t="shared" si="207"/>
        <v>PRA</v>
      </c>
      <c r="D1761">
        <v>12</v>
      </c>
      <c r="E1761" t="str">
        <f t="shared" si="208"/>
        <v>584</v>
      </c>
      <c r="F1761" t="str">
        <f>"81"</f>
        <v>81</v>
      </c>
    </row>
    <row r="1762" spans="1:6">
      <c r="A1762" t="str">
        <f>"E1083-78"</f>
        <v>E1083-78</v>
      </c>
      <c r="B1762" t="str">
        <f t="shared" si="209"/>
        <v>VIA AGOSTINO NOVELLA  36-</v>
      </c>
      <c r="C1762" t="str">
        <f t="shared" si="207"/>
        <v>PRA</v>
      </c>
      <c r="D1762">
        <v>12</v>
      </c>
      <c r="E1762" t="str">
        <f t="shared" si="208"/>
        <v>584</v>
      </c>
      <c r="F1762" t="str">
        <f>"82"</f>
        <v>82</v>
      </c>
    </row>
    <row r="1763" spans="1:6">
      <c r="A1763" t="str">
        <f>"E1083-79"</f>
        <v>E1083-79</v>
      </c>
      <c r="B1763" t="str">
        <f t="shared" si="209"/>
        <v>VIA AGOSTINO NOVELLA  36-</v>
      </c>
      <c r="C1763" t="str">
        <f t="shared" si="207"/>
        <v>PRA</v>
      </c>
      <c r="D1763">
        <v>12</v>
      </c>
      <c r="E1763" t="str">
        <f t="shared" si="208"/>
        <v>584</v>
      </c>
      <c r="F1763" t="str">
        <f>"83"</f>
        <v>83</v>
      </c>
    </row>
    <row r="1764" spans="1:6">
      <c r="A1764" t="str">
        <f>"E1083-80"</f>
        <v>E1083-80</v>
      </c>
      <c r="B1764" t="str">
        <f t="shared" si="209"/>
        <v>VIA AGOSTINO NOVELLA  36-</v>
      </c>
      <c r="C1764" t="str">
        <f t="shared" si="207"/>
        <v>PRA</v>
      </c>
      <c r="D1764">
        <v>12</v>
      </c>
      <c r="E1764" t="str">
        <f t="shared" si="208"/>
        <v>584</v>
      </c>
      <c r="F1764" t="str">
        <f>"84"</f>
        <v>84</v>
      </c>
    </row>
    <row r="1765" spans="1:6">
      <c r="A1765" t="str">
        <f>"E1083-81"</f>
        <v>E1083-81</v>
      </c>
      <c r="B1765" t="str">
        <f t="shared" si="209"/>
        <v>VIA AGOSTINO NOVELLA  36-</v>
      </c>
      <c r="C1765" t="str">
        <f t="shared" si="207"/>
        <v>PRA</v>
      </c>
      <c r="D1765">
        <v>12</v>
      </c>
      <c r="E1765" t="str">
        <f t="shared" si="208"/>
        <v>584</v>
      </c>
      <c r="F1765" t="str">
        <f>"85"</f>
        <v>85</v>
      </c>
    </row>
    <row r="1766" spans="1:6">
      <c r="A1766" t="str">
        <f>"E1083-82"</f>
        <v>E1083-82</v>
      </c>
      <c r="B1766" t="str">
        <f t="shared" si="209"/>
        <v>VIA AGOSTINO NOVELLA  36-</v>
      </c>
      <c r="C1766" t="str">
        <f t="shared" si="207"/>
        <v>PRA</v>
      </c>
      <c r="D1766">
        <v>12</v>
      </c>
      <c r="E1766" t="str">
        <f t="shared" si="208"/>
        <v>584</v>
      </c>
      <c r="F1766" t="str">
        <f>"86"</f>
        <v>86</v>
      </c>
    </row>
    <row r="1767" spans="1:6">
      <c r="A1767" t="str">
        <f>"E1083-83"</f>
        <v>E1083-83</v>
      </c>
      <c r="B1767" t="str">
        <f t="shared" si="209"/>
        <v>VIA AGOSTINO NOVELLA  36-</v>
      </c>
      <c r="C1767" t="str">
        <f t="shared" si="207"/>
        <v>PRA</v>
      </c>
      <c r="D1767">
        <v>12</v>
      </c>
      <c r="E1767" t="str">
        <f t="shared" si="208"/>
        <v>584</v>
      </c>
      <c r="F1767" t="str">
        <f>"87"</f>
        <v>87</v>
      </c>
    </row>
    <row r="1768" spans="1:6">
      <c r="A1768" t="str">
        <f>"E1083-84"</f>
        <v>E1083-84</v>
      </c>
      <c r="B1768" t="str">
        <f t="shared" si="209"/>
        <v>VIA AGOSTINO NOVELLA  36-</v>
      </c>
      <c r="C1768" t="str">
        <f t="shared" si="207"/>
        <v>PRA</v>
      </c>
      <c r="D1768">
        <v>12</v>
      </c>
      <c r="E1768" t="str">
        <f t="shared" si="208"/>
        <v>584</v>
      </c>
      <c r="F1768" t="str">
        <f>"88"</f>
        <v>88</v>
      </c>
    </row>
    <row r="1769" spans="1:6">
      <c r="A1769" t="str">
        <f>"E1083-85"</f>
        <v>E1083-85</v>
      </c>
      <c r="B1769" t="str">
        <f t="shared" ref="B1769:B1785" si="210">"VIA AGOSTINO NOVELLA  38-"</f>
        <v>VIA AGOSTINO NOVELLA  38-</v>
      </c>
      <c r="C1769" t="str">
        <f t="shared" si="207"/>
        <v>PRA</v>
      </c>
      <c r="D1769">
        <v>12</v>
      </c>
      <c r="E1769" t="str">
        <f t="shared" si="208"/>
        <v>584</v>
      </c>
      <c r="F1769" t="str">
        <f>"89"</f>
        <v>89</v>
      </c>
    </row>
    <row r="1770" spans="1:6">
      <c r="A1770" t="str">
        <f>"E1083-86"</f>
        <v>E1083-86</v>
      </c>
      <c r="B1770" t="str">
        <f t="shared" si="210"/>
        <v>VIA AGOSTINO NOVELLA  38-</v>
      </c>
      <c r="C1770" t="str">
        <f t="shared" si="207"/>
        <v>PRA</v>
      </c>
      <c r="D1770">
        <v>12</v>
      </c>
      <c r="E1770" t="str">
        <f t="shared" si="208"/>
        <v>584</v>
      </c>
      <c r="F1770" t="str">
        <f>"90"</f>
        <v>90</v>
      </c>
    </row>
    <row r="1771" spans="1:6">
      <c r="A1771" t="str">
        <f>"E1083-87"</f>
        <v>E1083-87</v>
      </c>
      <c r="B1771" t="str">
        <f t="shared" si="210"/>
        <v>VIA AGOSTINO NOVELLA  38-</v>
      </c>
      <c r="C1771" t="str">
        <f t="shared" si="207"/>
        <v>PRA</v>
      </c>
      <c r="D1771">
        <v>12</v>
      </c>
      <c r="E1771" t="str">
        <f t="shared" si="208"/>
        <v>584</v>
      </c>
      <c r="F1771" t="str">
        <f>"91"</f>
        <v>91</v>
      </c>
    </row>
    <row r="1772" spans="1:6">
      <c r="A1772" t="str">
        <f>"E1083-88"</f>
        <v>E1083-88</v>
      </c>
      <c r="B1772" t="str">
        <f t="shared" si="210"/>
        <v>VIA AGOSTINO NOVELLA  38-</v>
      </c>
      <c r="C1772" t="str">
        <f t="shared" si="207"/>
        <v>PRA</v>
      </c>
      <c r="D1772">
        <v>12</v>
      </c>
      <c r="E1772" t="str">
        <f t="shared" si="208"/>
        <v>584</v>
      </c>
      <c r="F1772" t="str">
        <f>"92"</f>
        <v>92</v>
      </c>
    </row>
    <row r="1773" spans="1:6">
      <c r="A1773" t="str">
        <f>"E1083-89"</f>
        <v>E1083-89</v>
      </c>
      <c r="B1773" t="str">
        <f t="shared" si="210"/>
        <v>VIA AGOSTINO NOVELLA  38-</v>
      </c>
      <c r="C1773" t="str">
        <f t="shared" si="207"/>
        <v>PRA</v>
      </c>
      <c r="D1773">
        <v>12</v>
      </c>
      <c r="E1773" t="str">
        <f t="shared" si="208"/>
        <v>584</v>
      </c>
      <c r="F1773" t="str">
        <f>"93"</f>
        <v>93</v>
      </c>
    </row>
    <row r="1774" spans="1:6">
      <c r="A1774" t="str">
        <f>"E1083-90"</f>
        <v>E1083-90</v>
      </c>
      <c r="B1774" t="str">
        <f t="shared" si="210"/>
        <v>VIA AGOSTINO NOVELLA  38-</v>
      </c>
      <c r="C1774" t="str">
        <f t="shared" si="207"/>
        <v>PRA</v>
      </c>
      <c r="D1774">
        <v>12</v>
      </c>
      <c r="E1774" t="str">
        <f t="shared" si="208"/>
        <v>584</v>
      </c>
      <c r="F1774" t="str">
        <f>"94"</f>
        <v>94</v>
      </c>
    </row>
    <row r="1775" spans="1:6">
      <c r="A1775" t="str">
        <f>"E1083-91"</f>
        <v>E1083-91</v>
      </c>
      <c r="B1775" t="str">
        <f t="shared" si="210"/>
        <v>VIA AGOSTINO NOVELLA  38-</v>
      </c>
      <c r="C1775" t="str">
        <f t="shared" si="207"/>
        <v>PRA</v>
      </c>
      <c r="D1775">
        <v>12</v>
      </c>
      <c r="E1775" t="str">
        <f t="shared" si="208"/>
        <v>584</v>
      </c>
      <c r="F1775" t="str">
        <f>"95"</f>
        <v>95</v>
      </c>
    </row>
    <row r="1776" spans="1:6">
      <c r="A1776" t="str">
        <f>"E1083-92"</f>
        <v>E1083-92</v>
      </c>
      <c r="B1776" t="str">
        <f t="shared" si="210"/>
        <v>VIA AGOSTINO NOVELLA  38-</v>
      </c>
      <c r="C1776" t="str">
        <f t="shared" si="207"/>
        <v>PRA</v>
      </c>
      <c r="D1776">
        <v>12</v>
      </c>
      <c r="E1776" t="str">
        <f t="shared" si="208"/>
        <v>584</v>
      </c>
      <c r="F1776" t="str">
        <f>"96"</f>
        <v>96</v>
      </c>
    </row>
    <row r="1777" spans="1:6">
      <c r="A1777" t="str">
        <f>"E1083-93"</f>
        <v>E1083-93</v>
      </c>
      <c r="B1777" t="str">
        <f t="shared" si="210"/>
        <v>VIA AGOSTINO NOVELLA  38-</v>
      </c>
      <c r="C1777" t="str">
        <f t="shared" si="207"/>
        <v>PRA</v>
      </c>
      <c r="D1777">
        <v>12</v>
      </c>
      <c r="E1777" t="str">
        <f t="shared" si="208"/>
        <v>584</v>
      </c>
      <c r="F1777" t="str">
        <f>"97"</f>
        <v>97</v>
      </c>
    </row>
    <row r="1778" spans="1:6">
      <c r="A1778" t="str">
        <f>"E1083-94"</f>
        <v>E1083-94</v>
      </c>
      <c r="B1778" t="str">
        <f t="shared" si="210"/>
        <v>VIA AGOSTINO NOVELLA  38-</v>
      </c>
      <c r="C1778" t="str">
        <f t="shared" si="207"/>
        <v>PRA</v>
      </c>
      <c r="D1778">
        <v>12</v>
      </c>
      <c r="E1778" t="str">
        <f t="shared" si="208"/>
        <v>584</v>
      </c>
      <c r="F1778" t="str">
        <f>"98"</f>
        <v>98</v>
      </c>
    </row>
    <row r="1779" spans="1:6">
      <c r="A1779" t="str">
        <f>"E1083-95"</f>
        <v>E1083-95</v>
      </c>
      <c r="B1779" t="str">
        <f t="shared" si="210"/>
        <v>VIA AGOSTINO NOVELLA  38-</v>
      </c>
      <c r="C1779" t="str">
        <f t="shared" si="207"/>
        <v>PRA</v>
      </c>
      <c r="D1779">
        <v>12</v>
      </c>
      <c r="E1779" t="str">
        <f t="shared" si="208"/>
        <v>584</v>
      </c>
      <c r="F1779" t="str">
        <f>"99"</f>
        <v>99</v>
      </c>
    </row>
    <row r="1780" spans="1:6">
      <c r="A1780" t="str">
        <f>"E1083-96"</f>
        <v>E1083-96</v>
      </c>
      <c r="B1780" t="str">
        <f t="shared" si="210"/>
        <v>VIA AGOSTINO NOVELLA  38-</v>
      </c>
      <c r="C1780" t="str">
        <f t="shared" si="207"/>
        <v>PRA</v>
      </c>
      <c r="D1780">
        <v>12</v>
      </c>
      <c r="E1780" t="str">
        <f t="shared" si="208"/>
        <v>584</v>
      </c>
      <c r="F1780" t="str">
        <f>"100"</f>
        <v>100</v>
      </c>
    </row>
    <row r="1781" spans="1:6">
      <c r="A1781" t="str">
        <f>"E1083-97"</f>
        <v>E1083-97</v>
      </c>
      <c r="B1781" t="str">
        <f t="shared" si="210"/>
        <v>VIA AGOSTINO NOVELLA  38-</v>
      </c>
      <c r="C1781" t="str">
        <f t="shared" ref="C1781:C1812" si="211">"PRA"</f>
        <v>PRA</v>
      </c>
      <c r="D1781">
        <v>12</v>
      </c>
      <c r="E1781" t="str">
        <f t="shared" ref="E1781:E1812" si="212">"584"</f>
        <v>584</v>
      </c>
      <c r="F1781" t="str">
        <f>"101"</f>
        <v>101</v>
      </c>
    </row>
    <row r="1782" spans="1:6">
      <c r="A1782" t="str">
        <f>"E1083-98"</f>
        <v>E1083-98</v>
      </c>
      <c r="B1782" t="str">
        <f t="shared" si="210"/>
        <v>VIA AGOSTINO NOVELLA  38-</v>
      </c>
      <c r="C1782" t="str">
        <f t="shared" si="211"/>
        <v>PRA</v>
      </c>
      <c r="D1782">
        <v>12</v>
      </c>
      <c r="E1782" t="str">
        <f t="shared" si="212"/>
        <v>584</v>
      </c>
      <c r="F1782" t="str">
        <f>"102"</f>
        <v>102</v>
      </c>
    </row>
    <row r="1783" spans="1:6">
      <c r="A1783" t="str">
        <f>"E1083-99"</f>
        <v>E1083-99</v>
      </c>
      <c r="B1783" t="str">
        <f t="shared" si="210"/>
        <v>VIA AGOSTINO NOVELLA  38-</v>
      </c>
      <c r="C1783" t="str">
        <f t="shared" si="211"/>
        <v>PRA</v>
      </c>
      <c r="D1783">
        <v>12</v>
      </c>
      <c r="E1783" t="str">
        <f t="shared" si="212"/>
        <v>584</v>
      </c>
      <c r="F1783" t="str">
        <f>"103"</f>
        <v>103</v>
      </c>
    </row>
    <row r="1784" spans="1:6">
      <c r="A1784" t="str">
        <f>"E1083-100"</f>
        <v>E1083-100</v>
      </c>
      <c r="B1784" t="str">
        <f t="shared" si="210"/>
        <v>VIA AGOSTINO NOVELLA  38-</v>
      </c>
      <c r="C1784" t="str">
        <f t="shared" si="211"/>
        <v>PRA</v>
      </c>
      <c r="D1784">
        <v>12</v>
      </c>
      <c r="E1784" t="str">
        <f t="shared" si="212"/>
        <v>584</v>
      </c>
      <c r="F1784" t="str">
        <f>"104"</f>
        <v>104</v>
      </c>
    </row>
    <row r="1785" spans="1:6">
      <c r="A1785" t="str">
        <f>"E1083-101"</f>
        <v>E1083-101</v>
      </c>
      <c r="B1785" t="str">
        <f t="shared" si="210"/>
        <v>VIA AGOSTINO NOVELLA  38-</v>
      </c>
      <c r="C1785" t="str">
        <f t="shared" si="211"/>
        <v>PRA</v>
      </c>
      <c r="D1785">
        <v>12</v>
      </c>
      <c r="E1785" t="str">
        <f t="shared" si="212"/>
        <v>584</v>
      </c>
      <c r="F1785" t="str">
        <f>"105"</f>
        <v>105</v>
      </c>
    </row>
    <row r="1786" spans="1:6">
      <c r="A1786" t="str">
        <f>"E1083-102"</f>
        <v>E1083-102</v>
      </c>
      <c r="B1786" t="str">
        <f t="shared" ref="B1786:B1802" si="213">"VIA AGOSTINO NOVELLA  40-"</f>
        <v>VIA AGOSTINO NOVELLA  40-</v>
      </c>
      <c r="C1786" t="str">
        <f t="shared" si="211"/>
        <v>PRA</v>
      </c>
      <c r="D1786">
        <v>12</v>
      </c>
      <c r="E1786" t="str">
        <f t="shared" si="212"/>
        <v>584</v>
      </c>
      <c r="F1786" t="str">
        <f>"106"</f>
        <v>106</v>
      </c>
    </row>
    <row r="1787" spans="1:6">
      <c r="A1787" t="str">
        <f>"E1083-103"</f>
        <v>E1083-103</v>
      </c>
      <c r="B1787" t="str">
        <f t="shared" si="213"/>
        <v>VIA AGOSTINO NOVELLA  40-</v>
      </c>
      <c r="C1787" t="str">
        <f t="shared" si="211"/>
        <v>PRA</v>
      </c>
      <c r="D1787">
        <v>12</v>
      </c>
      <c r="E1787" t="str">
        <f t="shared" si="212"/>
        <v>584</v>
      </c>
      <c r="F1787" t="str">
        <f>"107"</f>
        <v>107</v>
      </c>
    </row>
    <row r="1788" spans="1:6">
      <c r="A1788" t="str">
        <f>"E1083-104"</f>
        <v>E1083-104</v>
      </c>
      <c r="B1788" t="str">
        <f t="shared" si="213"/>
        <v>VIA AGOSTINO NOVELLA  40-</v>
      </c>
      <c r="C1788" t="str">
        <f t="shared" si="211"/>
        <v>PRA</v>
      </c>
      <c r="D1788">
        <v>12</v>
      </c>
      <c r="E1788" t="str">
        <f t="shared" si="212"/>
        <v>584</v>
      </c>
      <c r="F1788" t="str">
        <f>"108"</f>
        <v>108</v>
      </c>
    </row>
    <row r="1789" spans="1:6">
      <c r="A1789" t="str">
        <f>"E1083-105"</f>
        <v>E1083-105</v>
      </c>
      <c r="B1789" t="str">
        <f t="shared" si="213"/>
        <v>VIA AGOSTINO NOVELLA  40-</v>
      </c>
      <c r="C1789" t="str">
        <f t="shared" si="211"/>
        <v>PRA</v>
      </c>
      <c r="D1789">
        <v>12</v>
      </c>
      <c r="E1789" t="str">
        <f t="shared" si="212"/>
        <v>584</v>
      </c>
      <c r="F1789" t="str">
        <f>"109"</f>
        <v>109</v>
      </c>
    </row>
    <row r="1790" spans="1:6">
      <c r="A1790" t="str">
        <f>"E1083-106"</f>
        <v>E1083-106</v>
      </c>
      <c r="B1790" t="str">
        <f t="shared" si="213"/>
        <v>VIA AGOSTINO NOVELLA  40-</v>
      </c>
      <c r="C1790" t="str">
        <f t="shared" si="211"/>
        <v>PRA</v>
      </c>
      <c r="D1790">
        <v>12</v>
      </c>
      <c r="E1790" t="str">
        <f t="shared" si="212"/>
        <v>584</v>
      </c>
      <c r="F1790" t="str">
        <f>"110"</f>
        <v>110</v>
      </c>
    </row>
    <row r="1791" spans="1:6">
      <c r="A1791" t="str">
        <f>"E1083-107"</f>
        <v>E1083-107</v>
      </c>
      <c r="B1791" t="str">
        <f t="shared" si="213"/>
        <v>VIA AGOSTINO NOVELLA  40-</v>
      </c>
      <c r="C1791" t="str">
        <f t="shared" si="211"/>
        <v>PRA</v>
      </c>
      <c r="D1791">
        <v>12</v>
      </c>
      <c r="E1791" t="str">
        <f t="shared" si="212"/>
        <v>584</v>
      </c>
      <c r="F1791" t="str">
        <f>"111"</f>
        <v>111</v>
      </c>
    </row>
    <row r="1792" spans="1:6">
      <c r="A1792" t="str">
        <f>"E1083-108"</f>
        <v>E1083-108</v>
      </c>
      <c r="B1792" t="str">
        <f t="shared" si="213"/>
        <v>VIA AGOSTINO NOVELLA  40-</v>
      </c>
      <c r="C1792" t="str">
        <f t="shared" si="211"/>
        <v>PRA</v>
      </c>
      <c r="D1792">
        <v>12</v>
      </c>
      <c r="E1792" t="str">
        <f t="shared" si="212"/>
        <v>584</v>
      </c>
      <c r="F1792" t="str">
        <f>"112"</f>
        <v>112</v>
      </c>
    </row>
    <row r="1793" spans="1:6">
      <c r="A1793" t="str">
        <f>"E1083-109"</f>
        <v>E1083-109</v>
      </c>
      <c r="B1793" t="str">
        <f t="shared" si="213"/>
        <v>VIA AGOSTINO NOVELLA  40-</v>
      </c>
      <c r="C1793" t="str">
        <f t="shared" si="211"/>
        <v>PRA</v>
      </c>
      <c r="D1793">
        <v>12</v>
      </c>
      <c r="E1793" t="str">
        <f t="shared" si="212"/>
        <v>584</v>
      </c>
      <c r="F1793" t="str">
        <f>"113"</f>
        <v>113</v>
      </c>
    </row>
    <row r="1794" spans="1:6">
      <c r="A1794" t="str">
        <f>"E1083-110"</f>
        <v>E1083-110</v>
      </c>
      <c r="B1794" t="str">
        <f t="shared" si="213"/>
        <v>VIA AGOSTINO NOVELLA  40-</v>
      </c>
      <c r="C1794" t="str">
        <f t="shared" si="211"/>
        <v>PRA</v>
      </c>
      <c r="D1794">
        <v>12</v>
      </c>
      <c r="E1794" t="str">
        <f t="shared" si="212"/>
        <v>584</v>
      </c>
      <c r="F1794" t="str">
        <f>"114"</f>
        <v>114</v>
      </c>
    </row>
    <row r="1795" spans="1:6">
      <c r="A1795" t="str">
        <f>"E1083-111"</f>
        <v>E1083-111</v>
      </c>
      <c r="B1795" t="str">
        <f t="shared" si="213"/>
        <v>VIA AGOSTINO NOVELLA  40-</v>
      </c>
      <c r="C1795" t="str">
        <f t="shared" si="211"/>
        <v>PRA</v>
      </c>
      <c r="D1795">
        <v>12</v>
      </c>
      <c r="E1795" t="str">
        <f t="shared" si="212"/>
        <v>584</v>
      </c>
      <c r="F1795" t="str">
        <f>"115"</f>
        <v>115</v>
      </c>
    </row>
    <row r="1796" spans="1:6">
      <c r="A1796" t="str">
        <f>"E1083-112"</f>
        <v>E1083-112</v>
      </c>
      <c r="B1796" t="str">
        <f t="shared" si="213"/>
        <v>VIA AGOSTINO NOVELLA  40-</v>
      </c>
      <c r="C1796" t="str">
        <f t="shared" si="211"/>
        <v>PRA</v>
      </c>
      <c r="D1796">
        <v>12</v>
      </c>
      <c r="E1796" t="str">
        <f t="shared" si="212"/>
        <v>584</v>
      </c>
      <c r="F1796" t="str">
        <f>"116"</f>
        <v>116</v>
      </c>
    </row>
    <row r="1797" spans="1:6">
      <c r="A1797" t="str">
        <f>"E1083-113"</f>
        <v>E1083-113</v>
      </c>
      <c r="B1797" t="str">
        <f t="shared" si="213"/>
        <v>VIA AGOSTINO NOVELLA  40-</v>
      </c>
      <c r="C1797" t="str">
        <f t="shared" si="211"/>
        <v>PRA</v>
      </c>
      <c r="D1797">
        <v>12</v>
      </c>
      <c r="E1797" t="str">
        <f t="shared" si="212"/>
        <v>584</v>
      </c>
      <c r="F1797" t="str">
        <f>"117"</f>
        <v>117</v>
      </c>
    </row>
    <row r="1798" spans="1:6">
      <c r="A1798" t="str">
        <f>"E1083-114"</f>
        <v>E1083-114</v>
      </c>
      <c r="B1798" t="str">
        <f t="shared" si="213"/>
        <v>VIA AGOSTINO NOVELLA  40-</v>
      </c>
      <c r="C1798" t="str">
        <f t="shared" si="211"/>
        <v>PRA</v>
      </c>
      <c r="D1798">
        <v>12</v>
      </c>
      <c r="E1798" t="str">
        <f t="shared" si="212"/>
        <v>584</v>
      </c>
      <c r="F1798" t="str">
        <f>"118"</f>
        <v>118</v>
      </c>
    </row>
    <row r="1799" spans="1:6">
      <c r="A1799" t="str">
        <f>"E1083-115"</f>
        <v>E1083-115</v>
      </c>
      <c r="B1799" t="str">
        <f t="shared" si="213"/>
        <v>VIA AGOSTINO NOVELLA  40-</v>
      </c>
      <c r="C1799" t="str">
        <f t="shared" si="211"/>
        <v>PRA</v>
      </c>
      <c r="D1799">
        <v>12</v>
      </c>
      <c r="E1799" t="str">
        <f t="shared" si="212"/>
        <v>584</v>
      </c>
      <c r="F1799" t="str">
        <f>"119"</f>
        <v>119</v>
      </c>
    </row>
    <row r="1800" spans="1:6">
      <c r="A1800" t="str">
        <f>"E1083-116"</f>
        <v>E1083-116</v>
      </c>
      <c r="B1800" t="str">
        <f t="shared" si="213"/>
        <v>VIA AGOSTINO NOVELLA  40-</v>
      </c>
      <c r="C1800" t="str">
        <f t="shared" si="211"/>
        <v>PRA</v>
      </c>
      <c r="D1800">
        <v>12</v>
      </c>
      <c r="E1800" t="str">
        <f t="shared" si="212"/>
        <v>584</v>
      </c>
      <c r="F1800" t="str">
        <f>"120"</f>
        <v>120</v>
      </c>
    </row>
    <row r="1801" spans="1:6">
      <c r="A1801" t="str">
        <f>"E1083-117"</f>
        <v>E1083-117</v>
      </c>
      <c r="B1801" t="str">
        <f t="shared" si="213"/>
        <v>VIA AGOSTINO NOVELLA  40-</v>
      </c>
      <c r="C1801" t="str">
        <f t="shared" si="211"/>
        <v>PRA</v>
      </c>
      <c r="D1801">
        <v>12</v>
      </c>
      <c r="E1801" t="str">
        <f t="shared" si="212"/>
        <v>584</v>
      </c>
      <c r="F1801" t="str">
        <f>"121"</f>
        <v>121</v>
      </c>
    </row>
    <row r="1802" spans="1:6">
      <c r="A1802" t="str">
        <f>"E1083-118"</f>
        <v>E1083-118</v>
      </c>
      <c r="B1802" t="str">
        <f t="shared" si="213"/>
        <v>VIA AGOSTINO NOVELLA  40-</v>
      </c>
      <c r="C1802" t="str">
        <f t="shared" si="211"/>
        <v>PRA</v>
      </c>
      <c r="D1802">
        <v>12</v>
      </c>
      <c r="E1802" t="str">
        <f t="shared" si="212"/>
        <v>584</v>
      </c>
      <c r="F1802" t="str">
        <f>"122"</f>
        <v>122</v>
      </c>
    </row>
    <row r="1803" spans="1:6">
      <c r="A1803" t="str">
        <f>"E1083-119"</f>
        <v>E1083-119</v>
      </c>
      <c r="B1803" t="str">
        <f t="shared" ref="B1803:B1819" si="214">"VIA AGOSTINO NOVELLA  42-"</f>
        <v>VIA AGOSTINO NOVELLA  42-</v>
      </c>
      <c r="C1803" t="str">
        <f t="shared" si="211"/>
        <v>PRA</v>
      </c>
      <c r="D1803">
        <v>12</v>
      </c>
      <c r="E1803" t="str">
        <f t="shared" si="212"/>
        <v>584</v>
      </c>
      <c r="F1803" t="str">
        <f>"123"</f>
        <v>123</v>
      </c>
    </row>
    <row r="1804" spans="1:6">
      <c r="A1804" t="str">
        <f>"E1083-120"</f>
        <v>E1083-120</v>
      </c>
      <c r="B1804" t="str">
        <f t="shared" si="214"/>
        <v>VIA AGOSTINO NOVELLA  42-</v>
      </c>
      <c r="C1804" t="str">
        <f t="shared" si="211"/>
        <v>PRA</v>
      </c>
      <c r="D1804">
        <v>12</v>
      </c>
      <c r="E1804" t="str">
        <f t="shared" si="212"/>
        <v>584</v>
      </c>
      <c r="F1804" t="str">
        <f>"124"</f>
        <v>124</v>
      </c>
    </row>
    <row r="1805" spans="1:6">
      <c r="A1805" t="str">
        <f>"E1083-121"</f>
        <v>E1083-121</v>
      </c>
      <c r="B1805" t="str">
        <f t="shared" si="214"/>
        <v>VIA AGOSTINO NOVELLA  42-</v>
      </c>
      <c r="C1805" t="str">
        <f t="shared" si="211"/>
        <v>PRA</v>
      </c>
      <c r="D1805">
        <v>12</v>
      </c>
      <c r="E1805" t="str">
        <f t="shared" si="212"/>
        <v>584</v>
      </c>
      <c r="F1805" t="str">
        <f>"125"</f>
        <v>125</v>
      </c>
    </row>
    <row r="1806" spans="1:6">
      <c r="A1806" t="str">
        <f>"E1083-122"</f>
        <v>E1083-122</v>
      </c>
      <c r="B1806" t="str">
        <f t="shared" si="214"/>
        <v>VIA AGOSTINO NOVELLA  42-</v>
      </c>
      <c r="C1806" t="str">
        <f t="shared" si="211"/>
        <v>PRA</v>
      </c>
      <c r="D1806">
        <v>12</v>
      </c>
      <c r="E1806" t="str">
        <f t="shared" si="212"/>
        <v>584</v>
      </c>
      <c r="F1806" t="str">
        <f>"126"</f>
        <v>126</v>
      </c>
    </row>
    <row r="1807" spans="1:6">
      <c r="A1807" t="str">
        <f>"E1083-123"</f>
        <v>E1083-123</v>
      </c>
      <c r="B1807" t="str">
        <f t="shared" si="214"/>
        <v>VIA AGOSTINO NOVELLA  42-</v>
      </c>
      <c r="C1807" t="str">
        <f t="shared" si="211"/>
        <v>PRA</v>
      </c>
      <c r="D1807">
        <v>12</v>
      </c>
      <c r="E1807" t="str">
        <f t="shared" si="212"/>
        <v>584</v>
      </c>
      <c r="F1807" t="str">
        <f>"127"</f>
        <v>127</v>
      </c>
    </row>
    <row r="1808" spans="1:6">
      <c r="A1808" t="str">
        <f>"E1083-124"</f>
        <v>E1083-124</v>
      </c>
      <c r="B1808" t="str">
        <f t="shared" si="214"/>
        <v>VIA AGOSTINO NOVELLA  42-</v>
      </c>
      <c r="C1808" t="str">
        <f t="shared" si="211"/>
        <v>PRA</v>
      </c>
      <c r="D1808">
        <v>12</v>
      </c>
      <c r="E1808" t="str">
        <f t="shared" si="212"/>
        <v>584</v>
      </c>
      <c r="F1808" t="str">
        <f>"128"</f>
        <v>128</v>
      </c>
    </row>
    <row r="1809" spans="1:6">
      <c r="A1809" t="str">
        <f>"E1083-125"</f>
        <v>E1083-125</v>
      </c>
      <c r="B1809" t="str">
        <f t="shared" si="214"/>
        <v>VIA AGOSTINO NOVELLA  42-</v>
      </c>
      <c r="C1809" t="str">
        <f t="shared" si="211"/>
        <v>PRA</v>
      </c>
      <c r="D1809">
        <v>12</v>
      </c>
      <c r="E1809" t="str">
        <f t="shared" si="212"/>
        <v>584</v>
      </c>
      <c r="F1809" t="str">
        <f>"129"</f>
        <v>129</v>
      </c>
    </row>
    <row r="1810" spans="1:6">
      <c r="A1810" t="str">
        <f>"E1083-126"</f>
        <v>E1083-126</v>
      </c>
      <c r="B1810" t="str">
        <f t="shared" si="214"/>
        <v>VIA AGOSTINO NOVELLA  42-</v>
      </c>
      <c r="C1810" t="str">
        <f t="shared" si="211"/>
        <v>PRA</v>
      </c>
      <c r="D1810">
        <v>12</v>
      </c>
      <c r="E1810" t="str">
        <f t="shared" si="212"/>
        <v>584</v>
      </c>
      <c r="F1810" t="str">
        <f>"130"</f>
        <v>130</v>
      </c>
    </row>
    <row r="1811" spans="1:6">
      <c r="A1811" t="str">
        <f>"E1083-127"</f>
        <v>E1083-127</v>
      </c>
      <c r="B1811" t="str">
        <f t="shared" si="214"/>
        <v>VIA AGOSTINO NOVELLA  42-</v>
      </c>
      <c r="C1811" t="str">
        <f t="shared" si="211"/>
        <v>PRA</v>
      </c>
      <c r="D1811">
        <v>12</v>
      </c>
      <c r="E1811" t="str">
        <f t="shared" si="212"/>
        <v>584</v>
      </c>
      <c r="F1811" t="str">
        <f>"131"</f>
        <v>131</v>
      </c>
    </row>
    <row r="1812" spans="1:6">
      <c r="A1812" t="str">
        <f>"E1083-128"</f>
        <v>E1083-128</v>
      </c>
      <c r="B1812" t="str">
        <f t="shared" si="214"/>
        <v>VIA AGOSTINO NOVELLA  42-</v>
      </c>
      <c r="C1812" t="str">
        <f t="shared" si="211"/>
        <v>PRA</v>
      </c>
      <c r="D1812">
        <v>12</v>
      </c>
      <c r="E1812" t="str">
        <f t="shared" si="212"/>
        <v>584</v>
      </c>
      <c r="F1812" t="str">
        <f>"132"</f>
        <v>132</v>
      </c>
    </row>
    <row r="1813" spans="1:6">
      <c r="A1813" t="str">
        <f>"E1083-129"</f>
        <v>E1083-129</v>
      </c>
      <c r="B1813" t="str">
        <f t="shared" si="214"/>
        <v>VIA AGOSTINO NOVELLA  42-</v>
      </c>
      <c r="C1813" t="str">
        <f t="shared" ref="C1813:C1819" si="215">"PRA"</f>
        <v>PRA</v>
      </c>
      <c r="D1813">
        <v>12</v>
      </c>
      <c r="E1813" t="str">
        <f t="shared" ref="E1813:E1819" si="216">"584"</f>
        <v>584</v>
      </c>
      <c r="F1813" t="str">
        <f>"133"</f>
        <v>133</v>
      </c>
    </row>
    <row r="1814" spans="1:6">
      <c r="A1814" t="str">
        <f>"E1083-130"</f>
        <v>E1083-130</v>
      </c>
      <c r="B1814" t="str">
        <f t="shared" si="214"/>
        <v>VIA AGOSTINO NOVELLA  42-</v>
      </c>
      <c r="C1814" t="str">
        <f t="shared" si="215"/>
        <v>PRA</v>
      </c>
      <c r="D1814">
        <v>12</v>
      </c>
      <c r="E1814" t="str">
        <f t="shared" si="216"/>
        <v>584</v>
      </c>
      <c r="F1814" t="str">
        <f>"134"</f>
        <v>134</v>
      </c>
    </row>
    <row r="1815" spans="1:6">
      <c r="A1815" t="str">
        <f>"E1083-131"</f>
        <v>E1083-131</v>
      </c>
      <c r="B1815" t="str">
        <f t="shared" si="214"/>
        <v>VIA AGOSTINO NOVELLA  42-</v>
      </c>
      <c r="C1815" t="str">
        <f t="shared" si="215"/>
        <v>PRA</v>
      </c>
      <c r="D1815">
        <v>12</v>
      </c>
      <c r="E1815" t="str">
        <f t="shared" si="216"/>
        <v>584</v>
      </c>
      <c r="F1815" t="str">
        <f>"135"</f>
        <v>135</v>
      </c>
    </row>
    <row r="1816" spans="1:6">
      <c r="A1816" t="str">
        <f>"E1083-132"</f>
        <v>E1083-132</v>
      </c>
      <c r="B1816" t="str">
        <f t="shared" si="214"/>
        <v>VIA AGOSTINO NOVELLA  42-</v>
      </c>
      <c r="C1816" t="str">
        <f t="shared" si="215"/>
        <v>PRA</v>
      </c>
      <c r="D1816">
        <v>12</v>
      </c>
      <c r="E1816" t="str">
        <f t="shared" si="216"/>
        <v>584</v>
      </c>
      <c r="F1816" t="str">
        <f>"136"</f>
        <v>136</v>
      </c>
    </row>
    <row r="1817" spans="1:6">
      <c r="A1817" t="str">
        <f>"E1083-133"</f>
        <v>E1083-133</v>
      </c>
      <c r="B1817" t="str">
        <f t="shared" si="214"/>
        <v>VIA AGOSTINO NOVELLA  42-</v>
      </c>
      <c r="C1817" t="str">
        <f t="shared" si="215"/>
        <v>PRA</v>
      </c>
      <c r="D1817">
        <v>12</v>
      </c>
      <c r="E1817" t="str">
        <f t="shared" si="216"/>
        <v>584</v>
      </c>
      <c r="F1817" t="str">
        <f>"137"</f>
        <v>137</v>
      </c>
    </row>
    <row r="1818" spans="1:6">
      <c r="A1818" t="str">
        <f>"E1083-134"</f>
        <v>E1083-134</v>
      </c>
      <c r="B1818" t="str">
        <f t="shared" si="214"/>
        <v>VIA AGOSTINO NOVELLA  42-</v>
      </c>
      <c r="C1818" t="str">
        <f t="shared" si="215"/>
        <v>PRA</v>
      </c>
      <c r="D1818">
        <v>12</v>
      </c>
      <c r="E1818" t="str">
        <f t="shared" si="216"/>
        <v>584</v>
      </c>
      <c r="F1818" t="str">
        <f>"138"</f>
        <v>138</v>
      </c>
    </row>
    <row r="1819" spans="1:6">
      <c r="A1819" t="str">
        <f>"E1083-135"</f>
        <v>E1083-135</v>
      </c>
      <c r="B1819" t="str">
        <f t="shared" si="214"/>
        <v>VIA AGOSTINO NOVELLA  42-</v>
      </c>
      <c r="C1819" t="str">
        <f t="shared" si="215"/>
        <v>PRA</v>
      </c>
      <c r="D1819">
        <v>12</v>
      </c>
      <c r="E1819" t="str">
        <f t="shared" si="216"/>
        <v>584</v>
      </c>
      <c r="F1819" t="str">
        <f>"139"</f>
        <v>139</v>
      </c>
    </row>
    <row r="1820" spans="1:6">
      <c r="A1820" t="str">
        <f>"E1083-136"</f>
        <v>E1083-136</v>
      </c>
      <c r="B1820" t="str">
        <f>"VIA AGOSTINO NOVELLA VICINO AL 24-"</f>
        <v>VIA AGOSTINO NOVELLA VICINO AL 24-</v>
      </c>
      <c r="C1820" t="str">
        <f>"3"</f>
        <v>3</v>
      </c>
      <c r="D1820">
        <v>10</v>
      </c>
      <c r="E1820" t="str">
        <f>"67"</f>
        <v>67</v>
      </c>
      <c r="F1820" t="str">
        <f>"0000"</f>
        <v>0000</v>
      </c>
    </row>
    <row r="1821" spans="1:6">
      <c r="C1821" t="str">
        <f>"3"</f>
        <v>3</v>
      </c>
      <c r="D1821">
        <v>12</v>
      </c>
      <c r="E1821" t="str">
        <f>"3"</f>
        <v>3</v>
      </c>
      <c r="F1821" t="str">
        <f>"0000"</f>
        <v>0000</v>
      </c>
    </row>
    <row r="1822" spans="1:6">
      <c r="C1822" t="str">
        <f>"3"</f>
        <v>3</v>
      </c>
      <c r="D1822">
        <v>12</v>
      </c>
      <c r="E1822" t="str">
        <f>"7"</f>
        <v>7</v>
      </c>
      <c r="F1822" t="str">
        <f>"0000"</f>
        <v>0000</v>
      </c>
    </row>
    <row r="1823" spans="1:6">
      <c r="C1823" t="str">
        <f>"3"</f>
        <v>3</v>
      </c>
      <c r="D1823">
        <v>12</v>
      </c>
      <c r="E1823" t="str">
        <f>"4"</f>
        <v>4</v>
      </c>
      <c r="F1823" t="str">
        <f>"0000"</f>
        <v>0000</v>
      </c>
    </row>
    <row r="1824" spans="1:6">
      <c r="C1824" t="str">
        <f>"3"</f>
        <v>3</v>
      </c>
      <c r="D1824">
        <v>12</v>
      </c>
      <c r="E1824" t="str">
        <f>"1"</f>
        <v>1</v>
      </c>
      <c r="F1824" t="str">
        <f>"0000"</f>
        <v>0000</v>
      </c>
    </row>
    <row r="1825" spans="1:6">
      <c r="A1825" t="str">
        <f>"E1084-1"</f>
        <v>E1084-1</v>
      </c>
      <c r="B1825" t="str">
        <f t="shared" ref="B1825:B1836" si="217">"VIA GAETANO DE SANCTIS  31-"</f>
        <v>VIA GAETANO DE SANCTIS  31-</v>
      </c>
      <c r="C1825" t="str">
        <f t="shared" ref="C1825:C1856" si="218">"PRA"</f>
        <v>PRA</v>
      </c>
      <c r="D1825">
        <v>12</v>
      </c>
      <c r="E1825" t="str">
        <f t="shared" ref="E1825:E1849" si="219">"584"</f>
        <v>584</v>
      </c>
      <c r="F1825" t="str">
        <f>"140"</f>
        <v>140</v>
      </c>
    </row>
    <row r="1826" spans="1:6">
      <c r="A1826" t="str">
        <f>"E1084-2"</f>
        <v>E1084-2</v>
      </c>
      <c r="B1826" t="str">
        <f t="shared" si="217"/>
        <v>VIA GAETANO DE SANCTIS  31-</v>
      </c>
      <c r="C1826" t="str">
        <f t="shared" si="218"/>
        <v>PRA</v>
      </c>
      <c r="D1826">
        <v>12</v>
      </c>
      <c r="E1826" t="str">
        <f t="shared" si="219"/>
        <v>584</v>
      </c>
      <c r="F1826" t="str">
        <f>"141"</f>
        <v>141</v>
      </c>
    </row>
    <row r="1827" spans="1:6">
      <c r="A1827" t="str">
        <f>"E1084-3"</f>
        <v>E1084-3</v>
      </c>
      <c r="B1827" t="str">
        <f t="shared" si="217"/>
        <v>VIA GAETANO DE SANCTIS  31-</v>
      </c>
      <c r="C1827" t="str">
        <f t="shared" si="218"/>
        <v>PRA</v>
      </c>
      <c r="D1827">
        <v>12</v>
      </c>
      <c r="E1827" t="str">
        <f t="shared" si="219"/>
        <v>584</v>
      </c>
      <c r="F1827" t="str">
        <f>"142"</f>
        <v>142</v>
      </c>
    </row>
    <row r="1828" spans="1:6">
      <c r="A1828" t="str">
        <f>"E1084-4"</f>
        <v>E1084-4</v>
      </c>
      <c r="B1828" t="str">
        <f t="shared" si="217"/>
        <v>VIA GAETANO DE SANCTIS  31-</v>
      </c>
      <c r="C1828" t="str">
        <f t="shared" si="218"/>
        <v>PRA</v>
      </c>
      <c r="D1828">
        <v>12</v>
      </c>
      <c r="E1828" t="str">
        <f t="shared" si="219"/>
        <v>584</v>
      </c>
      <c r="F1828" t="str">
        <f>"143"</f>
        <v>143</v>
      </c>
    </row>
    <row r="1829" spans="1:6">
      <c r="A1829" t="str">
        <f>"E1084-5"</f>
        <v>E1084-5</v>
      </c>
      <c r="B1829" t="str">
        <f t="shared" si="217"/>
        <v>VIA GAETANO DE SANCTIS  31-</v>
      </c>
      <c r="C1829" t="str">
        <f t="shared" si="218"/>
        <v>PRA</v>
      </c>
      <c r="D1829">
        <v>12</v>
      </c>
      <c r="E1829" t="str">
        <f t="shared" si="219"/>
        <v>584</v>
      </c>
      <c r="F1829" t="str">
        <f>"144"</f>
        <v>144</v>
      </c>
    </row>
    <row r="1830" spans="1:6">
      <c r="A1830" t="str">
        <f>"E1084-6"</f>
        <v>E1084-6</v>
      </c>
      <c r="B1830" t="str">
        <f t="shared" si="217"/>
        <v>VIA GAETANO DE SANCTIS  31-</v>
      </c>
      <c r="C1830" t="str">
        <f t="shared" si="218"/>
        <v>PRA</v>
      </c>
      <c r="D1830">
        <v>12</v>
      </c>
      <c r="E1830" t="str">
        <f t="shared" si="219"/>
        <v>584</v>
      </c>
      <c r="F1830" t="str">
        <f>"145"</f>
        <v>145</v>
      </c>
    </row>
    <row r="1831" spans="1:6">
      <c r="A1831" t="str">
        <f>"E1084-7"</f>
        <v>E1084-7</v>
      </c>
      <c r="B1831" t="str">
        <f t="shared" si="217"/>
        <v>VIA GAETANO DE SANCTIS  31-</v>
      </c>
      <c r="C1831" t="str">
        <f t="shared" si="218"/>
        <v>PRA</v>
      </c>
      <c r="D1831">
        <v>12</v>
      </c>
      <c r="E1831" t="str">
        <f t="shared" si="219"/>
        <v>584</v>
      </c>
      <c r="F1831" t="str">
        <f>"146"</f>
        <v>146</v>
      </c>
    </row>
    <row r="1832" spans="1:6">
      <c r="A1832" t="str">
        <f>"E1084-8"</f>
        <v>E1084-8</v>
      </c>
      <c r="B1832" t="str">
        <f t="shared" si="217"/>
        <v>VIA GAETANO DE SANCTIS  31-</v>
      </c>
      <c r="C1832" t="str">
        <f t="shared" si="218"/>
        <v>PRA</v>
      </c>
      <c r="D1832">
        <v>12</v>
      </c>
      <c r="E1832" t="str">
        <f t="shared" si="219"/>
        <v>584</v>
      </c>
      <c r="F1832" t="str">
        <f>"147"</f>
        <v>147</v>
      </c>
    </row>
    <row r="1833" spans="1:6">
      <c r="A1833" t="str">
        <f>"E1084-9"</f>
        <v>E1084-9</v>
      </c>
      <c r="B1833" t="str">
        <f t="shared" si="217"/>
        <v>VIA GAETANO DE SANCTIS  31-</v>
      </c>
      <c r="C1833" t="str">
        <f t="shared" si="218"/>
        <v>PRA</v>
      </c>
      <c r="D1833">
        <v>12</v>
      </c>
      <c r="E1833" t="str">
        <f t="shared" si="219"/>
        <v>584</v>
      </c>
      <c r="F1833" t="str">
        <f>"148"</f>
        <v>148</v>
      </c>
    </row>
    <row r="1834" spans="1:6">
      <c r="A1834" t="str">
        <f>"E1084-10"</f>
        <v>E1084-10</v>
      </c>
      <c r="B1834" t="str">
        <f t="shared" si="217"/>
        <v>VIA GAETANO DE SANCTIS  31-</v>
      </c>
      <c r="C1834" t="str">
        <f t="shared" si="218"/>
        <v>PRA</v>
      </c>
      <c r="D1834">
        <v>12</v>
      </c>
      <c r="E1834" t="str">
        <f t="shared" si="219"/>
        <v>584</v>
      </c>
      <c r="F1834" t="str">
        <f>"149"</f>
        <v>149</v>
      </c>
    </row>
    <row r="1835" spans="1:6">
      <c r="A1835" t="str">
        <f>"E1084-11"</f>
        <v>E1084-11</v>
      </c>
      <c r="B1835" t="str">
        <f t="shared" si="217"/>
        <v>VIA GAETANO DE SANCTIS  31-</v>
      </c>
      <c r="C1835" t="str">
        <f t="shared" si="218"/>
        <v>PRA</v>
      </c>
      <c r="D1835">
        <v>12</v>
      </c>
      <c r="E1835" t="str">
        <f t="shared" si="219"/>
        <v>584</v>
      </c>
      <c r="F1835" t="str">
        <f>"150"</f>
        <v>150</v>
      </c>
    </row>
    <row r="1836" spans="1:6">
      <c r="A1836" t="str">
        <f>"E1084-12"</f>
        <v>E1084-12</v>
      </c>
      <c r="B1836" t="str">
        <f t="shared" si="217"/>
        <v>VIA GAETANO DE SANCTIS  31-</v>
      </c>
      <c r="C1836" t="str">
        <f t="shared" si="218"/>
        <v>PRA</v>
      </c>
      <c r="D1836">
        <v>12</v>
      </c>
      <c r="E1836" t="str">
        <f t="shared" si="219"/>
        <v>584</v>
      </c>
      <c r="F1836" t="str">
        <f>"151"</f>
        <v>151</v>
      </c>
    </row>
    <row r="1837" spans="1:6">
      <c r="A1837" t="str">
        <f>"E1084-13"</f>
        <v>E1084-13</v>
      </c>
      <c r="B1837" t="str">
        <f t="shared" ref="B1837:B1849" si="220">"VIA GAETANO DE SANCTIS  33-"</f>
        <v>VIA GAETANO DE SANCTIS  33-</v>
      </c>
      <c r="C1837" t="str">
        <f t="shared" si="218"/>
        <v>PRA</v>
      </c>
      <c r="D1837">
        <v>12</v>
      </c>
      <c r="E1837" t="str">
        <f t="shared" si="219"/>
        <v>584</v>
      </c>
      <c r="F1837" t="str">
        <f>"152"</f>
        <v>152</v>
      </c>
    </row>
    <row r="1838" spans="1:6">
      <c r="A1838" t="str">
        <f>"E1084-14"</f>
        <v>E1084-14</v>
      </c>
      <c r="B1838" t="str">
        <f t="shared" si="220"/>
        <v>VIA GAETANO DE SANCTIS  33-</v>
      </c>
      <c r="C1838" t="str">
        <f t="shared" si="218"/>
        <v>PRA</v>
      </c>
      <c r="D1838">
        <v>12</v>
      </c>
      <c r="E1838" t="str">
        <f t="shared" si="219"/>
        <v>584</v>
      </c>
      <c r="F1838" t="str">
        <f>"153"</f>
        <v>153</v>
      </c>
    </row>
    <row r="1839" spans="1:6">
      <c r="A1839" t="str">
        <f>"E1084-15"</f>
        <v>E1084-15</v>
      </c>
      <c r="B1839" t="str">
        <f t="shared" si="220"/>
        <v>VIA GAETANO DE SANCTIS  33-</v>
      </c>
      <c r="C1839" t="str">
        <f t="shared" si="218"/>
        <v>PRA</v>
      </c>
      <c r="D1839">
        <v>12</v>
      </c>
      <c r="E1839" t="str">
        <f t="shared" si="219"/>
        <v>584</v>
      </c>
      <c r="F1839" t="str">
        <f>"154"</f>
        <v>154</v>
      </c>
    </row>
    <row r="1840" spans="1:6">
      <c r="A1840" t="str">
        <f>"E1084-16"</f>
        <v>E1084-16</v>
      </c>
      <c r="B1840" t="str">
        <f t="shared" si="220"/>
        <v>VIA GAETANO DE SANCTIS  33-</v>
      </c>
      <c r="C1840" t="str">
        <f t="shared" si="218"/>
        <v>PRA</v>
      </c>
      <c r="D1840">
        <v>12</v>
      </c>
      <c r="E1840" t="str">
        <f t="shared" si="219"/>
        <v>584</v>
      </c>
      <c r="F1840" t="str">
        <f>"155"</f>
        <v>155</v>
      </c>
    </row>
    <row r="1841" spans="1:6">
      <c r="A1841" t="str">
        <f>"E1084-17"</f>
        <v>E1084-17</v>
      </c>
      <c r="B1841" t="str">
        <f t="shared" si="220"/>
        <v>VIA GAETANO DE SANCTIS  33-</v>
      </c>
      <c r="C1841" t="str">
        <f t="shared" si="218"/>
        <v>PRA</v>
      </c>
      <c r="D1841">
        <v>12</v>
      </c>
      <c r="E1841" t="str">
        <f t="shared" si="219"/>
        <v>584</v>
      </c>
      <c r="F1841" t="str">
        <f>"156"</f>
        <v>156</v>
      </c>
    </row>
    <row r="1842" spans="1:6">
      <c r="A1842" t="str">
        <f>"E1084-18"</f>
        <v>E1084-18</v>
      </c>
      <c r="B1842" t="str">
        <f t="shared" si="220"/>
        <v>VIA GAETANO DE SANCTIS  33-</v>
      </c>
      <c r="C1842" t="str">
        <f t="shared" si="218"/>
        <v>PRA</v>
      </c>
      <c r="D1842">
        <v>12</v>
      </c>
      <c r="E1842" t="str">
        <f t="shared" si="219"/>
        <v>584</v>
      </c>
      <c r="F1842" t="str">
        <f>"157"</f>
        <v>157</v>
      </c>
    </row>
    <row r="1843" spans="1:6">
      <c r="A1843" t="str">
        <f>"E1084-19"</f>
        <v>E1084-19</v>
      </c>
      <c r="B1843" t="str">
        <f t="shared" si="220"/>
        <v>VIA GAETANO DE SANCTIS  33-</v>
      </c>
      <c r="C1843" t="str">
        <f t="shared" si="218"/>
        <v>PRA</v>
      </c>
      <c r="D1843">
        <v>12</v>
      </c>
      <c r="E1843" t="str">
        <f t="shared" si="219"/>
        <v>584</v>
      </c>
      <c r="F1843" t="str">
        <f>"158"</f>
        <v>158</v>
      </c>
    </row>
    <row r="1844" spans="1:6">
      <c r="A1844" t="str">
        <f>"E1084-20"</f>
        <v>E1084-20</v>
      </c>
      <c r="B1844" t="str">
        <f t="shared" si="220"/>
        <v>VIA GAETANO DE SANCTIS  33-</v>
      </c>
      <c r="C1844" t="str">
        <f t="shared" si="218"/>
        <v>PRA</v>
      </c>
      <c r="D1844">
        <v>12</v>
      </c>
      <c r="E1844" t="str">
        <f t="shared" si="219"/>
        <v>584</v>
      </c>
      <c r="F1844" t="str">
        <f>"159"</f>
        <v>159</v>
      </c>
    </row>
    <row r="1845" spans="1:6">
      <c r="A1845" t="str">
        <f>"E1084-21"</f>
        <v>E1084-21</v>
      </c>
      <c r="B1845" t="str">
        <f t="shared" si="220"/>
        <v>VIA GAETANO DE SANCTIS  33-</v>
      </c>
      <c r="C1845" t="str">
        <f t="shared" si="218"/>
        <v>PRA</v>
      </c>
      <c r="D1845">
        <v>12</v>
      </c>
      <c r="E1845" t="str">
        <f t="shared" si="219"/>
        <v>584</v>
      </c>
      <c r="F1845" t="str">
        <f>"160"</f>
        <v>160</v>
      </c>
    </row>
    <row r="1846" spans="1:6">
      <c r="A1846" t="str">
        <f>"E1084-22"</f>
        <v>E1084-22</v>
      </c>
      <c r="B1846" t="str">
        <f t="shared" si="220"/>
        <v>VIA GAETANO DE SANCTIS  33-</v>
      </c>
      <c r="C1846" t="str">
        <f t="shared" si="218"/>
        <v>PRA</v>
      </c>
      <c r="D1846">
        <v>12</v>
      </c>
      <c r="E1846" t="str">
        <f t="shared" si="219"/>
        <v>584</v>
      </c>
      <c r="F1846" t="str">
        <f>"161"</f>
        <v>161</v>
      </c>
    </row>
    <row r="1847" spans="1:6">
      <c r="A1847" t="str">
        <f>"E1084-23"</f>
        <v>E1084-23</v>
      </c>
      <c r="B1847" t="str">
        <f t="shared" si="220"/>
        <v>VIA GAETANO DE SANCTIS  33-</v>
      </c>
      <c r="C1847" t="str">
        <f t="shared" si="218"/>
        <v>PRA</v>
      </c>
      <c r="D1847">
        <v>12</v>
      </c>
      <c r="E1847" t="str">
        <f t="shared" si="219"/>
        <v>584</v>
      </c>
      <c r="F1847" t="str">
        <f>"162"</f>
        <v>162</v>
      </c>
    </row>
    <row r="1848" spans="1:6">
      <c r="A1848" t="str">
        <f>"E1084-24"</f>
        <v>E1084-24</v>
      </c>
      <c r="B1848" t="str">
        <f t="shared" si="220"/>
        <v>VIA GAETANO DE SANCTIS  33-</v>
      </c>
      <c r="C1848" t="str">
        <f t="shared" si="218"/>
        <v>PRA</v>
      </c>
      <c r="D1848">
        <v>12</v>
      </c>
      <c r="E1848" t="str">
        <f t="shared" si="219"/>
        <v>584</v>
      </c>
      <c r="F1848" t="str">
        <f>"163"</f>
        <v>163</v>
      </c>
    </row>
    <row r="1849" spans="1:6">
      <c r="A1849" t="str">
        <f>"E1084-25"</f>
        <v>E1084-25</v>
      </c>
      <c r="B1849" t="str">
        <f t="shared" si="220"/>
        <v>VIA GAETANO DE SANCTIS  33-</v>
      </c>
      <c r="C1849" t="str">
        <f t="shared" si="218"/>
        <v>PRA</v>
      </c>
      <c r="D1849">
        <v>12</v>
      </c>
      <c r="E1849" t="str">
        <f t="shared" si="219"/>
        <v>584</v>
      </c>
      <c r="F1849" t="str">
        <f>"164"</f>
        <v>164</v>
      </c>
    </row>
    <row r="1850" spans="1:6">
      <c r="A1850" t="str">
        <f>"E1085-1"</f>
        <v>E1085-1</v>
      </c>
      <c r="B1850" t="str">
        <f t="shared" ref="B1850:B1863" si="221">"VIA ELIO VITTORINI  3D-"</f>
        <v>VIA ELIO VITTORINI  3D-</v>
      </c>
      <c r="C1850" t="str">
        <f t="shared" si="218"/>
        <v>PRA</v>
      </c>
      <c r="D1850">
        <v>15</v>
      </c>
      <c r="E1850" t="str">
        <f t="shared" ref="E1850:E1881" si="222">"304"</f>
        <v>304</v>
      </c>
      <c r="F1850" t="str">
        <f>"44"</f>
        <v>44</v>
      </c>
    </row>
    <row r="1851" spans="1:6">
      <c r="A1851" t="str">
        <f>"E1085-2"</f>
        <v>E1085-2</v>
      </c>
      <c r="B1851" t="str">
        <f t="shared" si="221"/>
        <v>VIA ELIO VITTORINI  3D-</v>
      </c>
      <c r="C1851" t="str">
        <f t="shared" si="218"/>
        <v>PRA</v>
      </c>
      <c r="D1851">
        <v>15</v>
      </c>
      <c r="E1851" t="str">
        <f t="shared" si="222"/>
        <v>304</v>
      </c>
      <c r="F1851" t="str">
        <f>"45"</f>
        <v>45</v>
      </c>
    </row>
    <row r="1852" spans="1:6">
      <c r="A1852" t="str">
        <f>"E1085-3"</f>
        <v>E1085-3</v>
      </c>
      <c r="B1852" t="str">
        <f t="shared" si="221"/>
        <v>VIA ELIO VITTORINI  3D-</v>
      </c>
      <c r="C1852" t="str">
        <f t="shared" si="218"/>
        <v>PRA</v>
      </c>
      <c r="D1852">
        <v>15</v>
      </c>
      <c r="E1852" t="str">
        <f t="shared" si="222"/>
        <v>304</v>
      </c>
      <c r="F1852" t="str">
        <f>"46"</f>
        <v>46</v>
      </c>
    </row>
    <row r="1853" spans="1:6">
      <c r="A1853" t="str">
        <f>"E1085-4"</f>
        <v>E1085-4</v>
      </c>
      <c r="B1853" t="str">
        <f t="shared" si="221"/>
        <v>VIA ELIO VITTORINI  3D-</v>
      </c>
      <c r="C1853" t="str">
        <f t="shared" si="218"/>
        <v>PRA</v>
      </c>
      <c r="D1853">
        <v>15</v>
      </c>
      <c r="E1853" t="str">
        <f t="shared" si="222"/>
        <v>304</v>
      </c>
      <c r="F1853" t="str">
        <f>"47"</f>
        <v>47</v>
      </c>
    </row>
    <row r="1854" spans="1:6">
      <c r="A1854" t="str">
        <f>"E1085-5"</f>
        <v>E1085-5</v>
      </c>
      <c r="B1854" t="str">
        <f t="shared" si="221"/>
        <v>VIA ELIO VITTORINI  3D-</v>
      </c>
      <c r="C1854" t="str">
        <f t="shared" si="218"/>
        <v>PRA</v>
      </c>
      <c r="D1854">
        <v>15</v>
      </c>
      <c r="E1854" t="str">
        <f t="shared" si="222"/>
        <v>304</v>
      </c>
      <c r="F1854" t="str">
        <f>"48"</f>
        <v>48</v>
      </c>
    </row>
    <row r="1855" spans="1:6">
      <c r="A1855" t="str">
        <f>"E1085-6"</f>
        <v>E1085-6</v>
      </c>
      <c r="B1855" t="str">
        <f t="shared" si="221"/>
        <v>VIA ELIO VITTORINI  3D-</v>
      </c>
      <c r="C1855" t="str">
        <f t="shared" si="218"/>
        <v>PRA</v>
      </c>
      <c r="D1855">
        <v>15</v>
      </c>
      <c r="E1855" t="str">
        <f t="shared" si="222"/>
        <v>304</v>
      </c>
      <c r="F1855" t="str">
        <f>"49"</f>
        <v>49</v>
      </c>
    </row>
    <row r="1856" spans="1:6">
      <c r="A1856" t="str">
        <f>"E1085-7"</f>
        <v>E1085-7</v>
      </c>
      <c r="B1856" t="str">
        <f t="shared" si="221"/>
        <v>VIA ELIO VITTORINI  3D-</v>
      </c>
      <c r="C1856" t="str">
        <f t="shared" si="218"/>
        <v>PRA</v>
      </c>
      <c r="D1856">
        <v>15</v>
      </c>
      <c r="E1856" t="str">
        <f t="shared" si="222"/>
        <v>304</v>
      </c>
      <c r="F1856" t="str">
        <f>"50"</f>
        <v>50</v>
      </c>
    </row>
    <row r="1857" spans="1:6">
      <c r="A1857" t="str">
        <f>"E1085-8"</f>
        <v>E1085-8</v>
      </c>
      <c r="B1857" t="str">
        <f t="shared" si="221"/>
        <v>VIA ELIO VITTORINI  3D-</v>
      </c>
      <c r="C1857" t="str">
        <f t="shared" ref="C1857:C1888" si="223">"PRA"</f>
        <v>PRA</v>
      </c>
      <c r="D1857">
        <v>15</v>
      </c>
      <c r="E1857" t="str">
        <f t="shared" si="222"/>
        <v>304</v>
      </c>
      <c r="F1857" t="str">
        <f>"51"</f>
        <v>51</v>
      </c>
    </row>
    <row r="1858" spans="1:6">
      <c r="A1858" t="str">
        <f>"E1085-9"</f>
        <v>E1085-9</v>
      </c>
      <c r="B1858" t="str">
        <f t="shared" si="221"/>
        <v>VIA ELIO VITTORINI  3D-</v>
      </c>
      <c r="C1858" t="str">
        <f t="shared" si="223"/>
        <v>PRA</v>
      </c>
      <c r="D1858">
        <v>15</v>
      </c>
      <c r="E1858" t="str">
        <f t="shared" si="222"/>
        <v>304</v>
      </c>
      <c r="F1858" t="str">
        <f>"52"</f>
        <v>52</v>
      </c>
    </row>
    <row r="1859" spans="1:6">
      <c r="A1859" t="str">
        <f>"E1085-10"</f>
        <v>E1085-10</v>
      </c>
      <c r="B1859" t="str">
        <f t="shared" si="221"/>
        <v>VIA ELIO VITTORINI  3D-</v>
      </c>
      <c r="C1859" t="str">
        <f t="shared" si="223"/>
        <v>PRA</v>
      </c>
      <c r="D1859">
        <v>15</v>
      </c>
      <c r="E1859" t="str">
        <f t="shared" si="222"/>
        <v>304</v>
      </c>
      <c r="F1859" t="str">
        <f>"53"</f>
        <v>53</v>
      </c>
    </row>
    <row r="1860" spans="1:6">
      <c r="A1860" t="str">
        <f>"E1085-11"</f>
        <v>E1085-11</v>
      </c>
      <c r="B1860" t="str">
        <f t="shared" si="221"/>
        <v>VIA ELIO VITTORINI  3D-</v>
      </c>
      <c r="C1860" t="str">
        <f t="shared" si="223"/>
        <v>PRA</v>
      </c>
      <c r="D1860">
        <v>15</v>
      </c>
      <c r="E1860" t="str">
        <f t="shared" si="222"/>
        <v>304</v>
      </c>
      <c r="F1860" t="str">
        <f>"54"</f>
        <v>54</v>
      </c>
    </row>
    <row r="1861" spans="1:6">
      <c r="A1861" t="str">
        <f>"E1085-12"</f>
        <v>E1085-12</v>
      </c>
      <c r="B1861" t="str">
        <f t="shared" si="221"/>
        <v>VIA ELIO VITTORINI  3D-</v>
      </c>
      <c r="C1861" t="str">
        <f t="shared" si="223"/>
        <v>PRA</v>
      </c>
      <c r="D1861">
        <v>15</v>
      </c>
      <c r="E1861" t="str">
        <f t="shared" si="222"/>
        <v>304</v>
      </c>
      <c r="F1861" t="str">
        <f>"55"</f>
        <v>55</v>
      </c>
    </row>
    <row r="1862" spans="1:6">
      <c r="A1862" t="str">
        <f>"E1085-13"</f>
        <v>E1085-13</v>
      </c>
      <c r="B1862" t="str">
        <f t="shared" si="221"/>
        <v>VIA ELIO VITTORINI  3D-</v>
      </c>
      <c r="C1862" t="str">
        <f t="shared" si="223"/>
        <v>PRA</v>
      </c>
      <c r="D1862">
        <v>15</v>
      </c>
      <c r="E1862" t="str">
        <f t="shared" si="222"/>
        <v>304</v>
      </c>
      <c r="F1862" t="str">
        <f>"56"</f>
        <v>56</v>
      </c>
    </row>
    <row r="1863" spans="1:6">
      <c r="A1863" t="str">
        <f>"E1085-14"</f>
        <v>E1085-14</v>
      </c>
      <c r="B1863" t="str">
        <f t="shared" si="221"/>
        <v>VIA ELIO VITTORINI  3D-</v>
      </c>
      <c r="C1863" t="str">
        <f t="shared" si="223"/>
        <v>PRA</v>
      </c>
      <c r="D1863">
        <v>15</v>
      </c>
      <c r="E1863" t="str">
        <f t="shared" si="222"/>
        <v>304</v>
      </c>
      <c r="F1863" t="str">
        <f>"57"</f>
        <v>57</v>
      </c>
    </row>
    <row r="1864" spans="1:6">
      <c r="A1864" t="str">
        <f>"E1085-15"</f>
        <v>E1085-15</v>
      </c>
      <c r="B1864" t="str">
        <f t="shared" ref="B1864:B1871" si="224">"VIA ELIO VITTORINI  3H-"</f>
        <v>VIA ELIO VITTORINI  3H-</v>
      </c>
      <c r="C1864" t="str">
        <f t="shared" si="223"/>
        <v>PRA</v>
      </c>
      <c r="D1864">
        <v>15</v>
      </c>
      <c r="E1864" t="str">
        <f t="shared" si="222"/>
        <v>304</v>
      </c>
      <c r="F1864" t="str">
        <f>"59"</f>
        <v>59</v>
      </c>
    </row>
    <row r="1865" spans="1:6">
      <c r="A1865" t="str">
        <f>"E1085-16"</f>
        <v>E1085-16</v>
      </c>
      <c r="B1865" t="str">
        <f t="shared" si="224"/>
        <v>VIA ELIO VITTORINI  3H-</v>
      </c>
      <c r="C1865" t="str">
        <f t="shared" si="223"/>
        <v>PRA</v>
      </c>
      <c r="D1865">
        <v>15</v>
      </c>
      <c r="E1865" t="str">
        <f t="shared" si="222"/>
        <v>304</v>
      </c>
      <c r="F1865" t="str">
        <f>"60"</f>
        <v>60</v>
      </c>
    </row>
    <row r="1866" spans="1:6">
      <c r="A1866" t="str">
        <f>"E1085-17"</f>
        <v>E1085-17</v>
      </c>
      <c r="B1866" t="str">
        <f t="shared" si="224"/>
        <v>VIA ELIO VITTORINI  3H-</v>
      </c>
      <c r="C1866" t="str">
        <f t="shared" si="223"/>
        <v>PRA</v>
      </c>
      <c r="D1866">
        <v>15</v>
      </c>
      <c r="E1866" t="str">
        <f t="shared" si="222"/>
        <v>304</v>
      </c>
      <c r="F1866" t="str">
        <f>"61"</f>
        <v>61</v>
      </c>
    </row>
    <row r="1867" spans="1:6">
      <c r="A1867" t="str">
        <f>"E1085-18"</f>
        <v>E1085-18</v>
      </c>
      <c r="B1867" t="str">
        <f t="shared" si="224"/>
        <v>VIA ELIO VITTORINI  3H-</v>
      </c>
      <c r="C1867" t="str">
        <f t="shared" si="223"/>
        <v>PRA</v>
      </c>
      <c r="D1867">
        <v>14</v>
      </c>
      <c r="E1867" t="str">
        <f t="shared" si="222"/>
        <v>304</v>
      </c>
      <c r="F1867" t="str">
        <f>"62"</f>
        <v>62</v>
      </c>
    </row>
    <row r="1868" spans="1:6">
      <c r="A1868" t="str">
        <f>"E1085-19"</f>
        <v>E1085-19</v>
      </c>
      <c r="B1868" t="str">
        <f t="shared" si="224"/>
        <v>VIA ELIO VITTORINI  3H-</v>
      </c>
      <c r="C1868" t="str">
        <f t="shared" si="223"/>
        <v>PRA</v>
      </c>
      <c r="D1868">
        <v>15</v>
      </c>
      <c r="E1868" t="str">
        <f t="shared" si="222"/>
        <v>304</v>
      </c>
      <c r="F1868" t="str">
        <f>"63"</f>
        <v>63</v>
      </c>
    </row>
    <row r="1869" spans="1:6">
      <c r="A1869" t="str">
        <f>"E1085-20"</f>
        <v>E1085-20</v>
      </c>
      <c r="B1869" t="str">
        <f t="shared" si="224"/>
        <v>VIA ELIO VITTORINI  3H-</v>
      </c>
      <c r="C1869" t="str">
        <f t="shared" si="223"/>
        <v>PRA</v>
      </c>
      <c r="D1869">
        <v>15</v>
      </c>
      <c r="E1869" t="str">
        <f t="shared" si="222"/>
        <v>304</v>
      </c>
      <c r="F1869" t="str">
        <f>"64"</f>
        <v>64</v>
      </c>
    </row>
    <row r="1870" spans="1:6">
      <c r="A1870" t="str">
        <f>"E1085-21"</f>
        <v>E1085-21</v>
      </c>
      <c r="B1870" t="str">
        <f t="shared" si="224"/>
        <v>VIA ELIO VITTORINI  3H-</v>
      </c>
      <c r="C1870" t="str">
        <f t="shared" si="223"/>
        <v>PRA</v>
      </c>
      <c r="D1870">
        <v>15</v>
      </c>
      <c r="E1870" t="str">
        <f t="shared" si="222"/>
        <v>304</v>
      </c>
      <c r="F1870" t="str">
        <f>"65"</f>
        <v>65</v>
      </c>
    </row>
    <row r="1871" spans="1:6">
      <c r="A1871" t="str">
        <f>"E1085-22"</f>
        <v>E1085-22</v>
      </c>
      <c r="B1871" t="str">
        <f t="shared" si="224"/>
        <v>VIA ELIO VITTORINI  3H-</v>
      </c>
      <c r="C1871" t="str">
        <f t="shared" si="223"/>
        <v>PRA</v>
      </c>
      <c r="D1871">
        <v>15</v>
      </c>
      <c r="E1871" t="str">
        <f t="shared" si="222"/>
        <v>304</v>
      </c>
      <c r="F1871" t="str">
        <f>"66"</f>
        <v>66</v>
      </c>
    </row>
    <row r="1872" spans="1:6">
      <c r="A1872" t="str">
        <f>"E1085-23"</f>
        <v>E1085-23</v>
      </c>
      <c r="B1872" t="str">
        <f t="shared" ref="B1872:B1884" si="225">"VIA ELIO VITTORINI  3N-"</f>
        <v>VIA ELIO VITTORINI  3N-</v>
      </c>
      <c r="C1872" t="str">
        <f t="shared" si="223"/>
        <v>PRA</v>
      </c>
      <c r="D1872">
        <v>15</v>
      </c>
      <c r="E1872" t="str">
        <f t="shared" si="222"/>
        <v>304</v>
      </c>
      <c r="F1872" t="str">
        <f>"68"</f>
        <v>68</v>
      </c>
    </row>
    <row r="1873" spans="1:6">
      <c r="A1873" t="str">
        <f>"E1085-24"</f>
        <v>E1085-24</v>
      </c>
      <c r="B1873" t="str">
        <f t="shared" si="225"/>
        <v>VIA ELIO VITTORINI  3N-</v>
      </c>
      <c r="C1873" t="str">
        <f t="shared" si="223"/>
        <v>PRA</v>
      </c>
      <c r="D1873">
        <v>15</v>
      </c>
      <c r="E1873" t="str">
        <f t="shared" si="222"/>
        <v>304</v>
      </c>
      <c r="F1873" t="str">
        <f>"69"</f>
        <v>69</v>
      </c>
    </row>
    <row r="1874" spans="1:6">
      <c r="A1874" t="str">
        <f>"E1085-25"</f>
        <v>E1085-25</v>
      </c>
      <c r="B1874" t="str">
        <f t="shared" si="225"/>
        <v>VIA ELIO VITTORINI  3N-</v>
      </c>
      <c r="C1874" t="str">
        <f t="shared" si="223"/>
        <v>PRA</v>
      </c>
      <c r="D1874">
        <v>15</v>
      </c>
      <c r="E1874" t="str">
        <f t="shared" si="222"/>
        <v>304</v>
      </c>
      <c r="F1874" t="str">
        <f>"70"</f>
        <v>70</v>
      </c>
    </row>
    <row r="1875" spans="1:6">
      <c r="A1875" t="str">
        <f>"E1085-26"</f>
        <v>E1085-26</v>
      </c>
      <c r="B1875" t="str">
        <f t="shared" si="225"/>
        <v>VIA ELIO VITTORINI  3N-</v>
      </c>
      <c r="C1875" t="str">
        <f t="shared" si="223"/>
        <v>PRA</v>
      </c>
      <c r="D1875">
        <v>15</v>
      </c>
      <c r="E1875" t="str">
        <f t="shared" si="222"/>
        <v>304</v>
      </c>
      <c r="F1875" t="str">
        <f>"71"</f>
        <v>71</v>
      </c>
    </row>
    <row r="1876" spans="1:6">
      <c r="A1876" t="str">
        <f>"E1085-27"</f>
        <v>E1085-27</v>
      </c>
      <c r="B1876" t="str">
        <f t="shared" si="225"/>
        <v>VIA ELIO VITTORINI  3N-</v>
      </c>
      <c r="C1876" t="str">
        <f t="shared" si="223"/>
        <v>PRA</v>
      </c>
      <c r="D1876">
        <v>15</v>
      </c>
      <c r="E1876" t="str">
        <f t="shared" si="222"/>
        <v>304</v>
      </c>
      <c r="F1876" t="str">
        <f>"72"</f>
        <v>72</v>
      </c>
    </row>
    <row r="1877" spans="1:6">
      <c r="A1877" t="str">
        <f>"E1085-28"</f>
        <v>E1085-28</v>
      </c>
      <c r="B1877" t="str">
        <f t="shared" si="225"/>
        <v>VIA ELIO VITTORINI  3N-</v>
      </c>
      <c r="C1877" t="str">
        <f t="shared" si="223"/>
        <v>PRA</v>
      </c>
      <c r="D1877">
        <v>15</v>
      </c>
      <c r="E1877" t="str">
        <f t="shared" si="222"/>
        <v>304</v>
      </c>
      <c r="F1877" t="str">
        <f>"73"</f>
        <v>73</v>
      </c>
    </row>
    <row r="1878" spans="1:6">
      <c r="A1878" t="str">
        <f>"E1085-29"</f>
        <v>E1085-29</v>
      </c>
      <c r="B1878" t="str">
        <f t="shared" si="225"/>
        <v>VIA ELIO VITTORINI  3N-</v>
      </c>
      <c r="C1878" t="str">
        <f t="shared" si="223"/>
        <v>PRA</v>
      </c>
      <c r="D1878">
        <v>15</v>
      </c>
      <c r="E1878" t="str">
        <f t="shared" si="222"/>
        <v>304</v>
      </c>
      <c r="F1878" t="str">
        <f>"74"</f>
        <v>74</v>
      </c>
    </row>
    <row r="1879" spans="1:6">
      <c r="A1879" t="str">
        <f>"E1085-30"</f>
        <v>E1085-30</v>
      </c>
      <c r="B1879" t="str">
        <f t="shared" si="225"/>
        <v>VIA ELIO VITTORINI  3N-</v>
      </c>
      <c r="C1879" t="str">
        <f t="shared" si="223"/>
        <v>PRA</v>
      </c>
      <c r="D1879">
        <v>15</v>
      </c>
      <c r="E1879" t="str">
        <f t="shared" si="222"/>
        <v>304</v>
      </c>
      <c r="F1879" t="str">
        <f>"75"</f>
        <v>75</v>
      </c>
    </row>
    <row r="1880" spans="1:6">
      <c r="A1880" t="str">
        <f>"E1085-31"</f>
        <v>E1085-31</v>
      </c>
      <c r="B1880" t="str">
        <f t="shared" si="225"/>
        <v>VIA ELIO VITTORINI  3N-</v>
      </c>
      <c r="C1880" t="str">
        <f t="shared" si="223"/>
        <v>PRA</v>
      </c>
      <c r="D1880">
        <v>15</v>
      </c>
      <c r="E1880" t="str">
        <f t="shared" si="222"/>
        <v>304</v>
      </c>
      <c r="F1880" t="str">
        <f>"76"</f>
        <v>76</v>
      </c>
    </row>
    <row r="1881" spans="1:6">
      <c r="A1881" t="str">
        <f>"E1085-32"</f>
        <v>E1085-32</v>
      </c>
      <c r="B1881" t="str">
        <f t="shared" si="225"/>
        <v>VIA ELIO VITTORINI  3N-</v>
      </c>
      <c r="C1881" t="str">
        <f t="shared" si="223"/>
        <v>PRA</v>
      </c>
      <c r="D1881">
        <v>15</v>
      </c>
      <c r="E1881" t="str">
        <f t="shared" si="222"/>
        <v>304</v>
      </c>
      <c r="F1881" t="str">
        <f>"77"</f>
        <v>77</v>
      </c>
    </row>
    <row r="1882" spans="1:6">
      <c r="A1882" t="str">
        <f>"E1085-33"</f>
        <v>E1085-33</v>
      </c>
      <c r="B1882" t="str">
        <f t="shared" si="225"/>
        <v>VIA ELIO VITTORINI  3N-</v>
      </c>
      <c r="C1882" t="str">
        <f t="shared" si="223"/>
        <v>PRA</v>
      </c>
      <c r="D1882">
        <v>15</v>
      </c>
      <c r="E1882" t="str">
        <f t="shared" ref="E1882:E1901" si="226">"304"</f>
        <v>304</v>
      </c>
      <c r="F1882" t="str">
        <f>"78"</f>
        <v>78</v>
      </c>
    </row>
    <row r="1883" spans="1:6">
      <c r="A1883" t="str">
        <f>"E1085-34"</f>
        <v>E1085-34</v>
      </c>
      <c r="B1883" t="str">
        <f t="shared" si="225"/>
        <v>VIA ELIO VITTORINI  3N-</v>
      </c>
      <c r="C1883" t="str">
        <f t="shared" si="223"/>
        <v>PRA</v>
      </c>
      <c r="D1883">
        <v>15</v>
      </c>
      <c r="E1883" t="str">
        <f t="shared" si="226"/>
        <v>304</v>
      </c>
      <c r="F1883" t="str">
        <f>"79"</f>
        <v>79</v>
      </c>
    </row>
    <row r="1884" spans="1:6">
      <c r="A1884" t="str">
        <f>"E1085-35"</f>
        <v>E1085-35</v>
      </c>
      <c r="B1884" t="str">
        <f t="shared" si="225"/>
        <v>VIA ELIO VITTORINI  3N-</v>
      </c>
      <c r="C1884" t="str">
        <f t="shared" si="223"/>
        <v>PRA</v>
      </c>
      <c r="D1884">
        <v>15</v>
      </c>
      <c r="E1884" t="str">
        <f t="shared" si="226"/>
        <v>304</v>
      </c>
      <c r="F1884" t="str">
        <f>"80"</f>
        <v>80</v>
      </c>
    </row>
    <row r="1885" spans="1:6">
      <c r="A1885" t="str">
        <f>"E1085-36"</f>
        <v>E1085-36</v>
      </c>
      <c r="B1885" t="str">
        <f t="shared" ref="B1885:B1892" si="227">"VIA ELIO VITTORINI  5D-"</f>
        <v>VIA ELIO VITTORINI  5D-</v>
      </c>
      <c r="C1885" t="str">
        <f t="shared" si="223"/>
        <v>PRA</v>
      </c>
      <c r="D1885">
        <v>15</v>
      </c>
      <c r="E1885" t="str">
        <f t="shared" si="226"/>
        <v>304</v>
      </c>
      <c r="F1885" t="str">
        <f>"83"</f>
        <v>83</v>
      </c>
    </row>
    <row r="1886" spans="1:6">
      <c r="A1886" t="str">
        <f>"E1085-37"</f>
        <v>E1085-37</v>
      </c>
      <c r="B1886" t="str">
        <f t="shared" si="227"/>
        <v>VIA ELIO VITTORINI  5D-</v>
      </c>
      <c r="C1886" t="str">
        <f t="shared" si="223"/>
        <v>PRA</v>
      </c>
      <c r="D1886">
        <v>15</v>
      </c>
      <c r="E1886" t="str">
        <f t="shared" si="226"/>
        <v>304</v>
      </c>
      <c r="F1886" t="str">
        <f>"84"</f>
        <v>84</v>
      </c>
    </row>
    <row r="1887" spans="1:6">
      <c r="A1887" t="str">
        <f>"E1085-38"</f>
        <v>E1085-38</v>
      </c>
      <c r="B1887" t="str">
        <f t="shared" si="227"/>
        <v>VIA ELIO VITTORINI  5D-</v>
      </c>
      <c r="C1887" t="str">
        <f t="shared" si="223"/>
        <v>PRA</v>
      </c>
      <c r="D1887">
        <v>15</v>
      </c>
      <c r="E1887" t="str">
        <f t="shared" si="226"/>
        <v>304</v>
      </c>
      <c r="F1887" t="str">
        <f>"85"</f>
        <v>85</v>
      </c>
    </row>
    <row r="1888" spans="1:6">
      <c r="A1888" t="str">
        <f>"E1085-39"</f>
        <v>E1085-39</v>
      </c>
      <c r="B1888" t="str">
        <f t="shared" si="227"/>
        <v>VIA ELIO VITTORINI  5D-</v>
      </c>
      <c r="C1888" t="str">
        <f t="shared" si="223"/>
        <v>PRA</v>
      </c>
      <c r="D1888">
        <v>15</v>
      </c>
      <c r="E1888" t="str">
        <f t="shared" si="226"/>
        <v>304</v>
      </c>
      <c r="F1888" t="str">
        <f>"86"</f>
        <v>86</v>
      </c>
    </row>
    <row r="1889" spans="1:6">
      <c r="A1889" t="str">
        <f>"E1085-40"</f>
        <v>E1085-40</v>
      </c>
      <c r="B1889" t="str">
        <f t="shared" si="227"/>
        <v>VIA ELIO VITTORINI  5D-</v>
      </c>
      <c r="C1889" t="str">
        <f t="shared" ref="C1889:C1901" si="228">"PRA"</f>
        <v>PRA</v>
      </c>
      <c r="D1889">
        <v>15</v>
      </c>
      <c r="E1889" t="str">
        <f t="shared" si="226"/>
        <v>304</v>
      </c>
      <c r="F1889" t="str">
        <f>"87"</f>
        <v>87</v>
      </c>
    </row>
    <row r="1890" spans="1:6">
      <c r="A1890" t="str">
        <f>"E1085-41"</f>
        <v>E1085-41</v>
      </c>
      <c r="B1890" t="str">
        <f t="shared" si="227"/>
        <v>VIA ELIO VITTORINI  5D-</v>
      </c>
      <c r="C1890" t="str">
        <f t="shared" si="228"/>
        <v>PRA</v>
      </c>
      <c r="D1890">
        <v>15</v>
      </c>
      <c r="E1890" t="str">
        <f t="shared" si="226"/>
        <v>304</v>
      </c>
      <c r="F1890" t="str">
        <f>"88"</f>
        <v>88</v>
      </c>
    </row>
    <row r="1891" spans="1:6">
      <c r="A1891" t="str">
        <f>"E1085-42"</f>
        <v>E1085-42</v>
      </c>
      <c r="B1891" t="str">
        <f t="shared" si="227"/>
        <v>VIA ELIO VITTORINI  5D-</v>
      </c>
      <c r="C1891" t="str">
        <f t="shared" si="228"/>
        <v>PRA</v>
      </c>
      <c r="D1891">
        <v>15</v>
      </c>
      <c r="E1891" t="str">
        <f t="shared" si="226"/>
        <v>304</v>
      </c>
      <c r="F1891" t="str">
        <f>"89"</f>
        <v>89</v>
      </c>
    </row>
    <row r="1892" spans="1:6">
      <c r="A1892" t="str">
        <f>"E1085-43"</f>
        <v>E1085-43</v>
      </c>
      <c r="B1892" t="str">
        <f t="shared" si="227"/>
        <v>VIA ELIO VITTORINI  5D-</v>
      </c>
      <c r="C1892" t="str">
        <f t="shared" si="228"/>
        <v>PRA</v>
      </c>
      <c r="D1892">
        <v>15</v>
      </c>
      <c r="E1892" t="str">
        <f t="shared" si="226"/>
        <v>304</v>
      </c>
      <c r="F1892" t="str">
        <f>"93"</f>
        <v>93</v>
      </c>
    </row>
    <row r="1893" spans="1:6">
      <c r="A1893" t="str">
        <f>"E1085-44"</f>
        <v>E1085-44</v>
      </c>
      <c r="B1893" t="str">
        <f t="shared" ref="B1893:B1899" si="229">"VIA ELIO VITTORINI  5H-"</f>
        <v>VIA ELIO VITTORINI  5H-</v>
      </c>
      <c r="C1893" t="str">
        <f t="shared" si="228"/>
        <v>PRA</v>
      </c>
      <c r="D1893">
        <v>15</v>
      </c>
      <c r="E1893" t="str">
        <f t="shared" si="226"/>
        <v>304</v>
      </c>
      <c r="F1893" t="str">
        <f>"96"</f>
        <v>96</v>
      </c>
    </row>
    <row r="1894" spans="1:6">
      <c r="A1894" t="str">
        <f>"E1085-45"</f>
        <v>E1085-45</v>
      </c>
      <c r="B1894" t="str">
        <f t="shared" si="229"/>
        <v>VIA ELIO VITTORINI  5H-</v>
      </c>
      <c r="C1894" t="str">
        <f t="shared" si="228"/>
        <v>PRA</v>
      </c>
      <c r="D1894">
        <v>15</v>
      </c>
      <c r="E1894" t="str">
        <f t="shared" si="226"/>
        <v>304</v>
      </c>
      <c r="F1894" t="str">
        <f>"97"</f>
        <v>97</v>
      </c>
    </row>
    <row r="1895" spans="1:6">
      <c r="A1895" t="str">
        <f>"E1085-46"</f>
        <v>E1085-46</v>
      </c>
      <c r="B1895" t="str">
        <f t="shared" si="229"/>
        <v>VIA ELIO VITTORINI  5H-</v>
      </c>
      <c r="C1895" t="str">
        <f t="shared" si="228"/>
        <v>PRA</v>
      </c>
      <c r="D1895">
        <v>15</v>
      </c>
      <c r="E1895" t="str">
        <f t="shared" si="226"/>
        <v>304</v>
      </c>
      <c r="F1895" t="str">
        <f>"98"</f>
        <v>98</v>
      </c>
    </row>
    <row r="1896" spans="1:6">
      <c r="A1896" t="str">
        <f>"E1085-47"</f>
        <v>E1085-47</v>
      </c>
      <c r="B1896" t="str">
        <f t="shared" si="229"/>
        <v>VIA ELIO VITTORINI  5H-</v>
      </c>
      <c r="C1896" t="str">
        <f t="shared" si="228"/>
        <v>PRA</v>
      </c>
      <c r="D1896">
        <v>15</v>
      </c>
      <c r="E1896" t="str">
        <f t="shared" si="226"/>
        <v>304</v>
      </c>
      <c r="F1896" t="str">
        <f>"99"</f>
        <v>99</v>
      </c>
    </row>
    <row r="1897" spans="1:6">
      <c r="A1897" t="str">
        <f>"E1085-48"</f>
        <v>E1085-48</v>
      </c>
      <c r="B1897" t="str">
        <f t="shared" si="229"/>
        <v>VIA ELIO VITTORINI  5H-</v>
      </c>
      <c r="C1897" t="str">
        <f t="shared" si="228"/>
        <v>PRA</v>
      </c>
      <c r="D1897">
        <v>15</v>
      </c>
      <c r="E1897" t="str">
        <f t="shared" si="226"/>
        <v>304</v>
      </c>
      <c r="F1897" t="str">
        <f>"100"</f>
        <v>100</v>
      </c>
    </row>
    <row r="1898" spans="1:6">
      <c r="A1898" t="str">
        <f>"E1085-49"</f>
        <v>E1085-49</v>
      </c>
      <c r="B1898" t="str">
        <f t="shared" si="229"/>
        <v>VIA ELIO VITTORINI  5H-</v>
      </c>
      <c r="C1898" t="str">
        <f t="shared" si="228"/>
        <v>PRA</v>
      </c>
      <c r="D1898">
        <v>15</v>
      </c>
      <c r="E1898" t="str">
        <f t="shared" si="226"/>
        <v>304</v>
      </c>
      <c r="F1898" t="str">
        <f>"101"</f>
        <v>101</v>
      </c>
    </row>
    <row r="1899" spans="1:6">
      <c r="A1899" t="str">
        <f>"E1085-50"</f>
        <v>E1085-50</v>
      </c>
      <c r="B1899" t="str">
        <f t="shared" si="229"/>
        <v>VIA ELIO VITTORINI  5H-</v>
      </c>
      <c r="C1899" t="str">
        <f t="shared" si="228"/>
        <v>PRA</v>
      </c>
      <c r="D1899">
        <v>15</v>
      </c>
      <c r="E1899" t="str">
        <f t="shared" si="226"/>
        <v>304</v>
      </c>
      <c r="F1899" t="str">
        <f>"102"</f>
        <v>102</v>
      </c>
    </row>
    <row r="1900" spans="1:6">
      <c r="A1900" t="str">
        <f>"E1085-51"</f>
        <v>E1085-51</v>
      </c>
      <c r="B1900" t="str">
        <f>"VIA ELIO VITTORINI  5N-"</f>
        <v>VIA ELIO VITTORINI  5N-</v>
      </c>
      <c r="C1900" t="str">
        <f t="shared" si="228"/>
        <v>PRA</v>
      </c>
      <c r="D1900">
        <v>15</v>
      </c>
      <c r="E1900" t="str">
        <f t="shared" si="226"/>
        <v>304</v>
      </c>
      <c r="F1900" t="str">
        <f>"107"</f>
        <v>107</v>
      </c>
    </row>
    <row r="1901" spans="1:6">
      <c r="A1901" t="str">
        <f>"E1085-52"</f>
        <v>E1085-52</v>
      </c>
      <c r="B1901" t="str">
        <f>"VIA ELIO VITTORINI  5N-"</f>
        <v>VIA ELIO VITTORINI  5N-</v>
      </c>
      <c r="C1901" t="str">
        <f t="shared" si="228"/>
        <v>PRA</v>
      </c>
      <c r="D1901">
        <v>15</v>
      </c>
      <c r="E1901" t="str">
        <f t="shared" si="226"/>
        <v>304</v>
      </c>
      <c r="F1901" t="str">
        <f>"109"</f>
        <v>109</v>
      </c>
    </row>
    <row r="1902" spans="1:6">
      <c r="A1902" t="str">
        <f>"E1085-53"</f>
        <v>E1085-53</v>
      </c>
      <c r="B1902" t="str">
        <f>"VIA ELIO VITTORINI  5H-"</f>
        <v>VIA ELIO VITTORINI  5H-</v>
      </c>
      <c r="C1902" t="str">
        <f t="shared" ref="C1902:C1933" si="230">"3"</f>
        <v>3</v>
      </c>
      <c r="D1902">
        <v>15</v>
      </c>
      <c r="E1902" t="str">
        <f t="shared" ref="E1902:E1933" si="231">"368"</f>
        <v>368</v>
      </c>
      <c r="F1902" t="str">
        <f t="shared" ref="F1902:F1933" si="232">"0000"</f>
        <v>0000</v>
      </c>
    </row>
    <row r="1903" spans="1:6">
      <c r="A1903" t="str">
        <f>"E1085-54"</f>
        <v>E1085-54</v>
      </c>
      <c r="B1903" t="str">
        <f>"VIA ELIO VITTORINI  5H-"</f>
        <v>VIA ELIO VITTORINI  5H-</v>
      </c>
      <c r="C1903" t="str">
        <f t="shared" si="230"/>
        <v>3</v>
      </c>
      <c r="D1903">
        <v>15</v>
      </c>
      <c r="E1903" t="str">
        <f t="shared" si="231"/>
        <v>368</v>
      </c>
      <c r="F1903" t="str">
        <f t="shared" si="232"/>
        <v>0000</v>
      </c>
    </row>
    <row r="1904" spans="1:6">
      <c r="A1904" t="str">
        <f>"E1085-55"</f>
        <v>E1085-55</v>
      </c>
      <c r="B1904" t="str">
        <f>"VIA ELIO VITTORINI  5H-"</f>
        <v>VIA ELIO VITTORINI  5H-</v>
      </c>
      <c r="C1904" t="str">
        <f t="shared" si="230"/>
        <v>3</v>
      </c>
      <c r="D1904">
        <v>15</v>
      </c>
      <c r="E1904" t="str">
        <f t="shared" si="231"/>
        <v>368</v>
      </c>
      <c r="F1904" t="str">
        <f t="shared" si="232"/>
        <v>0000</v>
      </c>
    </row>
    <row r="1905" spans="1:6">
      <c r="A1905" t="str">
        <f>"E1085-56"</f>
        <v>E1085-56</v>
      </c>
      <c r="B1905" t="str">
        <f>"VIA ELIO VITTORINI  5D-"</f>
        <v>VIA ELIO VITTORINI  5D-</v>
      </c>
      <c r="C1905" t="str">
        <f t="shared" si="230"/>
        <v>3</v>
      </c>
      <c r="D1905">
        <v>15</v>
      </c>
      <c r="E1905" t="str">
        <f t="shared" si="231"/>
        <v>368</v>
      </c>
      <c r="F1905" t="str">
        <f t="shared" si="232"/>
        <v>0000</v>
      </c>
    </row>
    <row r="1906" spans="1:6">
      <c r="A1906" t="str">
        <f>"E1085-57"</f>
        <v>E1085-57</v>
      </c>
      <c r="B1906" t="str">
        <f>"VIA ELIO VITTORINI  3N-"</f>
        <v>VIA ELIO VITTORINI  3N-</v>
      </c>
      <c r="C1906" t="str">
        <f t="shared" si="230"/>
        <v>3</v>
      </c>
      <c r="D1906">
        <v>15</v>
      </c>
      <c r="E1906" t="str">
        <f t="shared" si="231"/>
        <v>368</v>
      </c>
      <c r="F1906" t="str">
        <f t="shared" si="232"/>
        <v>0000</v>
      </c>
    </row>
    <row r="1907" spans="1:6">
      <c r="A1907" t="str">
        <f>"E1085-58"</f>
        <v>E1085-58</v>
      </c>
      <c r="B1907" t="str">
        <f>"VIA ELIO VITTORINI  3N-"</f>
        <v>VIA ELIO VITTORINI  3N-</v>
      </c>
      <c r="C1907" t="str">
        <f t="shared" si="230"/>
        <v>3</v>
      </c>
      <c r="D1907">
        <v>15</v>
      </c>
      <c r="E1907" t="str">
        <f t="shared" si="231"/>
        <v>368</v>
      </c>
      <c r="F1907" t="str">
        <f t="shared" si="232"/>
        <v>0000</v>
      </c>
    </row>
    <row r="1908" spans="1:6">
      <c r="A1908" t="str">
        <f>"E1085-59"</f>
        <v>E1085-59</v>
      </c>
      <c r="B1908" t="str">
        <f>"VIA ELIO VITTORINI  3N-"</f>
        <v>VIA ELIO VITTORINI  3N-</v>
      </c>
      <c r="C1908" t="str">
        <f t="shared" si="230"/>
        <v>3</v>
      </c>
      <c r="D1908">
        <v>15</v>
      </c>
      <c r="E1908" t="str">
        <f t="shared" si="231"/>
        <v>368</v>
      </c>
      <c r="F1908" t="str">
        <f t="shared" si="232"/>
        <v>0000</v>
      </c>
    </row>
    <row r="1909" spans="1:6">
      <c r="A1909" t="str">
        <f>"E1085-60"</f>
        <v>E1085-60</v>
      </c>
      <c r="B1909" t="str">
        <f>"VIA ELIO VITTORINI  3N-"</f>
        <v>VIA ELIO VITTORINI  3N-</v>
      </c>
      <c r="C1909" t="str">
        <f t="shared" si="230"/>
        <v>3</v>
      </c>
      <c r="D1909">
        <v>15</v>
      </c>
      <c r="E1909" t="str">
        <f t="shared" si="231"/>
        <v>368</v>
      </c>
      <c r="F1909" t="str">
        <f t="shared" si="232"/>
        <v>0000</v>
      </c>
    </row>
    <row r="1910" spans="1:6">
      <c r="A1910" t="str">
        <f>"E1085-61"</f>
        <v>E1085-61</v>
      </c>
      <c r="B1910" t="str">
        <f>"VIA ELIO VITTORINI  3N-"</f>
        <v>VIA ELIO VITTORINI  3N-</v>
      </c>
      <c r="C1910" t="str">
        <f t="shared" si="230"/>
        <v>3</v>
      </c>
      <c r="D1910">
        <v>15</v>
      </c>
      <c r="E1910" t="str">
        <f t="shared" si="231"/>
        <v>368</v>
      </c>
      <c r="F1910" t="str">
        <f t="shared" si="232"/>
        <v>0000</v>
      </c>
    </row>
    <row r="1911" spans="1:6">
      <c r="A1911" t="str">
        <f>"E1085-62"</f>
        <v>E1085-62</v>
      </c>
      <c r="B1911" t="str">
        <f>"VIA ELIO VITTORINI  3H-"</f>
        <v>VIA ELIO VITTORINI  3H-</v>
      </c>
      <c r="C1911" t="str">
        <f t="shared" si="230"/>
        <v>3</v>
      </c>
      <c r="D1911">
        <v>15</v>
      </c>
      <c r="E1911" t="str">
        <f t="shared" si="231"/>
        <v>368</v>
      </c>
      <c r="F1911" t="str">
        <f t="shared" si="232"/>
        <v>0000</v>
      </c>
    </row>
    <row r="1912" spans="1:6">
      <c r="A1912" t="str">
        <f>"E1085-63"</f>
        <v>E1085-63</v>
      </c>
      <c r="B1912" t="str">
        <f>"VIA ELIO VITTORINI  3H-"</f>
        <v>VIA ELIO VITTORINI  3H-</v>
      </c>
      <c r="C1912" t="str">
        <f t="shared" si="230"/>
        <v>3</v>
      </c>
      <c r="D1912">
        <v>15</v>
      </c>
      <c r="E1912" t="str">
        <f t="shared" si="231"/>
        <v>368</v>
      </c>
      <c r="F1912" t="str">
        <f t="shared" si="232"/>
        <v>0000</v>
      </c>
    </row>
    <row r="1913" spans="1:6">
      <c r="A1913" t="str">
        <f>"E1085-64"</f>
        <v>E1085-64</v>
      </c>
      <c r="B1913" t="str">
        <f>"VIA ELIO VITTORINI  3H-"</f>
        <v>VIA ELIO VITTORINI  3H-</v>
      </c>
      <c r="C1913" t="str">
        <f t="shared" si="230"/>
        <v>3</v>
      </c>
      <c r="D1913">
        <v>15</v>
      </c>
      <c r="E1913" t="str">
        <f t="shared" si="231"/>
        <v>368</v>
      </c>
      <c r="F1913" t="str">
        <f t="shared" si="232"/>
        <v>0000</v>
      </c>
    </row>
    <row r="1914" spans="1:6">
      <c r="A1914" t="str">
        <f>"E1085-65"</f>
        <v>E1085-65</v>
      </c>
      <c r="B1914" t="str">
        <f>"VIA ELIO VITTORINI  3H-"</f>
        <v>VIA ELIO VITTORINI  3H-</v>
      </c>
      <c r="C1914" t="str">
        <f t="shared" si="230"/>
        <v>3</v>
      </c>
      <c r="D1914">
        <v>15</v>
      </c>
      <c r="E1914" t="str">
        <f t="shared" si="231"/>
        <v>368</v>
      </c>
      <c r="F1914" t="str">
        <f t="shared" si="232"/>
        <v>0000</v>
      </c>
    </row>
    <row r="1915" spans="1:6">
      <c r="A1915" t="str">
        <f>"E1085-66"</f>
        <v>E1085-66</v>
      </c>
      <c r="B1915" t="str">
        <f t="shared" ref="B1915:B1921" si="233">"VIA ELIO VITTORINI  3D-"</f>
        <v>VIA ELIO VITTORINI  3D-</v>
      </c>
      <c r="C1915" t="str">
        <f t="shared" si="230"/>
        <v>3</v>
      </c>
      <c r="D1915">
        <v>15</v>
      </c>
      <c r="E1915" t="str">
        <f t="shared" si="231"/>
        <v>368</v>
      </c>
      <c r="F1915" t="str">
        <f t="shared" si="232"/>
        <v>0000</v>
      </c>
    </row>
    <row r="1916" spans="1:6">
      <c r="A1916" t="str">
        <f>"E1085-67"</f>
        <v>E1085-67</v>
      </c>
      <c r="B1916" t="str">
        <f t="shared" si="233"/>
        <v>VIA ELIO VITTORINI  3D-</v>
      </c>
      <c r="C1916" t="str">
        <f t="shared" si="230"/>
        <v>3</v>
      </c>
      <c r="D1916">
        <v>15</v>
      </c>
      <c r="E1916" t="str">
        <f t="shared" si="231"/>
        <v>368</v>
      </c>
      <c r="F1916" t="str">
        <f t="shared" si="232"/>
        <v>0000</v>
      </c>
    </row>
    <row r="1917" spans="1:6">
      <c r="A1917" t="str">
        <f>"E1085-68"</f>
        <v>E1085-68</v>
      </c>
      <c r="B1917" t="str">
        <f t="shared" si="233"/>
        <v>VIA ELIO VITTORINI  3D-</v>
      </c>
      <c r="C1917" t="str">
        <f t="shared" si="230"/>
        <v>3</v>
      </c>
      <c r="D1917">
        <v>15</v>
      </c>
      <c r="E1917" t="str">
        <f t="shared" si="231"/>
        <v>368</v>
      </c>
      <c r="F1917" t="str">
        <f t="shared" si="232"/>
        <v>0000</v>
      </c>
    </row>
    <row r="1918" spans="1:6">
      <c r="A1918" t="str">
        <f>"E1085-69"</f>
        <v>E1085-69</v>
      </c>
      <c r="B1918" t="str">
        <f t="shared" si="233"/>
        <v>VIA ELIO VITTORINI  3D-</v>
      </c>
      <c r="C1918" t="str">
        <f t="shared" si="230"/>
        <v>3</v>
      </c>
      <c r="D1918">
        <v>15</v>
      </c>
      <c r="E1918" t="str">
        <f t="shared" si="231"/>
        <v>368</v>
      </c>
      <c r="F1918" t="str">
        <f t="shared" si="232"/>
        <v>0000</v>
      </c>
    </row>
    <row r="1919" spans="1:6">
      <c r="A1919" t="str">
        <f>"E1085-70"</f>
        <v>E1085-70</v>
      </c>
      <c r="B1919" t="str">
        <f t="shared" si="233"/>
        <v>VIA ELIO VITTORINI  3D-</v>
      </c>
      <c r="C1919" t="str">
        <f t="shared" si="230"/>
        <v>3</v>
      </c>
      <c r="D1919">
        <v>15</v>
      </c>
      <c r="E1919" t="str">
        <f t="shared" si="231"/>
        <v>368</v>
      </c>
      <c r="F1919" t="str">
        <f t="shared" si="232"/>
        <v>0000</v>
      </c>
    </row>
    <row r="1920" spans="1:6">
      <c r="A1920" t="str">
        <f>"E1085-71"</f>
        <v>E1085-71</v>
      </c>
      <c r="B1920" t="str">
        <f t="shared" si="233"/>
        <v>VIA ELIO VITTORINI  3D-</v>
      </c>
      <c r="C1920" t="str">
        <f t="shared" si="230"/>
        <v>3</v>
      </c>
      <c r="D1920">
        <v>15</v>
      </c>
      <c r="E1920" t="str">
        <f t="shared" si="231"/>
        <v>368</v>
      </c>
      <c r="F1920" t="str">
        <f t="shared" si="232"/>
        <v>0000</v>
      </c>
    </row>
    <row r="1921" spans="1:6">
      <c r="A1921" t="str">
        <f>"E1085-72"</f>
        <v>E1085-72</v>
      </c>
      <c r="B1921" t="str">
        <f t="shared" si="233"/>
        <v>VIA ELIO VITTORINI  3D-</v>
      </c>
      <c r="C1921" t="str">
        <f t="shared" si="230"/>
        <v>3</v>
      </c>
      <c r="D1921">
        <v>15</v>
      </c>
      <c r="E1921" t="str">
        <f t="shared" si="231"/>
        <v>368</v>
      </c>
      <c r="F1921" t="str">
        <f t="shared" si="232"/>
        <v>0000</v>
      </c>
    </row>
    <row r="1922" spans="1:6">
      <c r="A1922" t="str">
        <f>"E1085-73"</f>
        <v>E1085-73</v>
      </c>
      <c r="B1922" t="str">
        <f>"VIA ELIO VITTORINI  5N-"</f>
        <v>VIA ELIO VITTORINI  5N-</v>
      </c>
      <c r="C1922" t="str">
        <f t="shared" si="230"/>
        <v>3</v>
      </c>
      <c r="D1922">
        <v>15</v>
      </c>
      <c r="E1922" t="str">
        <f t="shared" si="231"/>
        <v>368</v>
      </c>
      <c r="F1922" t="str">
        <f t="shared" si="232"/>
        <v>0000</v>
      </c>
    </row>
    <row r="1923" spans="1:6">
      <c r="A1923" t="str">
        <f>"E1085-74"</f>
        <v>E1085-74</v>
      </c>
      <c r="B1923" t="str">
        <f>"VIA ELIO VITTORINI  5H-"</f>
        <v>VIA ELIO VITTORINI  5H-</v>
      </c>
      <c r="C1923" t="str">
        <f t="shared" si="230"/>
        <v>3</v>
      </c>
      <c r="D1923">
        <v>15</v>
      </c>
      <c r="E1923" t="str">
        <f t="shared" si="231"/>
        <v>368</v>
      </c>
      <c r="F1923" t="str">
        <f t="shared" si="232"/>
        <v>0000</v>
      </c>
    </row>
    <row r="1924" spans="1:6">
      <c r="A1924" t="str">
        <f>"E1085-75"</f>
        <v>E1085-75</v>
      </c>
      <c r="B1924" t="str">
        <f>"VIA ELIO VITTORINI  5D-"</f>
        <v>VIA ELIO VITTORINI  5D-</v>
      </c>
      <c r="C1924" t="str">
        <f t="shared" si="230"/>
        <v>3</v>
      </c>
      <c r="D1924">
        <v>15</v>
      </c>
      <c r="E1924" t="str">
        <f t="shared" si="231"/>
        <v>368</v>
      </c>
      <c r="F1924" t="str">
        <f t="shared" si="232"/>
        <v>0000</v>
      </c>
    </row>
    <row r="1925" spans="1:6">
      <c r="A1925" t="str">
        <f>"E1085-76"</f>
        <v>E1085-76</v>
      </c>
      <c r="B1925" t="str">
        <f>"VIA ELIO VITTORINI  5D-"</f>
        <v>VIA ELIO VITTORINI  5D-</v>
      </c>
      <c r="C1925" t="str">
        <f t="shared" si="230"/>
        <v>3</v>
      </c>
      <c r="D1925">
        <v>15</v>
      </c>
      <c r="E1925" t="str">
        <f t="shared" si="231"/>
        <v>368</v>
      </c>
      <c r="F1925" t="str">
        <f t="shared" si="232"/>
        <v>0000</v>
      </c>
    </row>
    <row r="1926" spans="1:6">
      <c r="A1926" t="str">
        <f>"E1085-77"</f>
        <v>E1085-77</v>
      </c>
      <c r="B1926" t="str">
        <f>"VIA ELIO VITTORINI  5D-"</f>
        <v>VIA ELIO VITTORINI  5D-</v>
      </c>
      <c r="C1926" t="str">
        <f t="shared" si="230"/>
        <v>3</v>
      </c>
      <c r="D1926">
        <v>15</v>
      </c>
      <c r="E1926" t="str">
        <f t="shared" si="231"/>
        <v>368</v>
      </c>
      <c r="F1926" t="str">
        <f t="shared" si="232"/>
        <v>0000</v>
      </c>
    </row>
    <row r="1927" spans="1:6">
      <c r="A1927" t="str">
        <f>"E1085-78"</f>
        <v>E1085-78</v>
      </c>
      <c r="B1927" t="str">
        <f>"VIA ELIO VITTORINI  3N-"</f>
        <v>VIA ELIO VITTORINI  3N-</v>
      </c>
      <c r="C1927" t="str">
        <f t="shared" si="230"/>
        <v>3</v>
      </c>
      <c r="D1927">
        <v>15</v>
      </c>
      <c r="E1927" t="str">
        <f t="shared" si="231"/>
        <v>368</v>
      </c>
      <c r="F1927" t="str">
        <f t="shared" si="232"/>
        <v>0000</v>
      </c>
    </row>
    <row r="1928" spans="1:6">
      <c r="A1928" t="str">
        <f>"E1085-79"</f>
        <v>E1085-79</v>
      </c>
      <c r="B1928" t="str">
        <f>"VIA ELIO VITTORINI  3N-"</f>
        <v>VIA ELIO VITTORINI  3N-</v>
      </c>
      <c r="C1928" t="str">
        <f t="shared" si="230"/>
        <v>3</v>
      </c>
      <c r="D1928">
        <v>15</v>
      </c>
      <c r="E1928" t="str">
        <f t="shared" si="231"/>
        <v>368</v>
      </c>
      <c r="F1928" t="str">
        <f t="shared" si="232"/>
        <v>0000</v>
      </c>
    </row>
    <row r="1929" spans="1:6">
      <c r="A1929" t="str">
        <f>"E1085-80"</f>
        <v>E1085-80</v>
      </c>
      <c r="B1929" t="str">
        <f>"VIA ELIO VITTORINI  3N-"</f>
        <v>VIA ELIO VITTORINI  3N-</v>
      </c>
      <c r="C1929" t="str">
        <f t="shared" si="230"/>
        <v>3</v>
      </c>
      <c r="D1929">
        <v>15</v>
      </c>
      <c r="E1929" t="str">
        <f t="shared" si="231"/>
        <v>368</v>
      </c>
      <c r="F1929" t="str">
        <f t="shared" si="232"/>
        <v>0000</v>
      </c>
    </row>
    <row r="1930" spans="1:6">
      <c r="A1930" t="str">
        <f>"E1085-81"</f>
        <v>E1085-81</v>
      </c>
      <c r="B1930" t="str">
        <f>"VIA ELIO VITTORINI  3N-"</f>
        <v>VIA ELIO VITTORINI  3N-</v>
      </c>
      <c r="C1930" t="str">
        <f t="shared" si="230"/>
        <v>3</v>
      </c>
      <c r="D1930">
        <v>15</v>
      </c>
      <c r="E1930" t="str">
        <f t="shared" si="231"/>
        <v>368</v>
      </c>
      <c r="F1930" t="str">
        <f t="shared" si="232"/>
        <v>0000</v>
      </c>
    </row>
    <row r="1931" spans="1:6">
      <c r="A1931" t="str">
        <f>"E1085-82"</f>
        <v>E1085-82</v>
      </c>
      <c r="B1931" t="str">
        <f>"VIA ELIO VITTORINI  3H-"</f>
        <v>VIA ELIO VITTORINI  3H-</v>
      </c>
      <c r="C1931" t="str">
        <f t="shared" si="230"/>
        <v>3</v>
      </c>
      <c r="D1931">
        <v>15</v>
      </c>
      <c r="E1931" t="str">
        <f t="shared" si="231"/>
        <v>368</v>
      </c>
      <c r="F1931" t="str">
        <f t="shared" si="232"/>
        <v>0000</v>
      </c>
    </row>
    <row r="1932" spans="1:6">
      <c r="A1932" t="str">
        <f>"E1085-83"</f>
        <v>E1085-83</v>
      </c>
      <c r="B1932" t="str">
        <f>"VIA ELIO VITTORINI  3D-"</f>
        <v>VIA ELIO VITTORINI  3D-</v>
      </c>
      <c r="C1932" t="str">
        <f t="shared" si="230"/>
        <v>3</v>
      </c>
      <c r="D1932">
        <v>15</v>
      </c>
      <c r="E1932" t="str">
        <f t="shared" si="231"/>
        <v>368</v>
      </c>
      <c r="F1932" t="str">
        <f t="shared" si="232"/>
        <v>0000</v>
      </c>
    </row>
    <row r="1933" spans="1:6">
      <c r="A1933" t="str">
        <f>"E1085-84"</f>
        <v>E1085-84</v>
      </c>
      <c r="B1933" t="str">
        <f>"VIA ELIO VITTORINI  3D-"</f>
        <v>VIA ELIO VITTORINI  3D-</v>
      </c>
      <c r="C1933" t="str">
        <f t="shared" si="230"/>
        <v>3</v>
      </c>
      <c r="D1933">
        <v>15</v>
      </c>
      <c r="E1933" t="str">
        <f t="shared" si="231"/>
        <v>368</v>
      </c>
      <c r="F1933" t="str">
        <f t="shared" si="232"/>
        <v>0000</v>
      </c>
    </row>
    <row r="1934" spans="1:6">
      <c r="A1934" t="str">
        <f>"E1085-85"</f>
        <v>E1085-85</v>
      </c>
      <c r="B1934" t="str">
        <f>"VIA ELIO VITTORINI  3D-"</f>
        <v>VIA ELIO VITTORINI  3D-</v>
      </c>
      <c r="C1934" t="str">
        <f t="shared" ref="C1934:C1953" si="234">"3"</f>
        <v>3</v>
      </c>
      <c r="D1934">
        <v>15</v>
      </c>
      <c r="E1934" t="str">
        <f t="shared" ref="E1934:E1953" si="235">"368"</f>
        <v>368</v>
      </c>
      <c r="F1934" t="str">
        <f t="shared" ref="F1934:F1953" si="236">"0000"</f>
        <v>0000</v>
      </c>
    </row>
    <row r="1935" spans="1:6">
      <c r="A1935" t="str">
        <f>"E1085-86"</f>
        <v>E1085-86</v>
      </c>
      <c r="B1935" t="str">
        <f>"VIA ELIO VITTORINI  5N-"</f>
        <v>VIA ELIO VITTORINI  5N-</v>
      </c>
      <c r="C1935" t="str">
        <f t="shared" si="234"/>
        <v>3</v>
      </c>
      <c r="D1935">
        <v>15</v>
      </c>
      <c r="E1935" t="str">
        <f t="shared" si="235"/>
        <v>368</v>
      </c>
      <c r="F1935" t="str">
        <f t="shared" si="236"/>
        <v>0000</v>
      </c>
    </row>
    <row r="1936" spans="1:6">
      <c r="A1936" t="str">
        <f>"E1085-87"</f>
        <v>E1085-87</v>
      </c>
      <c r="B1936" t="str">
        <f>"VIA ELIO VITTORINI  5H-"</f>
        <v>VIA ELIO VITTORINI  5H-</v>
      </c>
      <c r="C1936" t="str">
        <f t="shared" si="234"/>
        <v>3</v>
      </c>
      <c r="D1936">
        <v>15</v>
      </c>
      <c r="E1936" t="str">
        <f t="shared" si="235"/>
        <v>368</v>
      </c>
      <c r="F1936" t="str">
        <f t="shared" si="236"/>
        <v>0000</v>
      </c>
    </row>
    <row r="1937" spans="1:6">
      <c r="A1937" t="str">
        <f>"E1085-88"</f>
        <v>E1085-88</v>
      </c>
      <c r="B1937" t="str">
        <f>"VIA ELIO VITTORINI  5H-"</f>
        <v>VIA ELIO VITTORINI  5H-</v>
      </c>
      <c r="C1937" t="str">
        <f t="shared" si="234"/>
        <v>3</v>
      </c>
      <c r="D1937">
        <v>15</v>
      </c>
      <c r="E1937" t="str">
        <f t="shared" si="235"/>
        <v>368</v>
      </c>
      <c r="F1937" t="str">
        <f t="shared" si="236"/>
        <v>0000</v>
      </c>
    </row>
    <row r="1938" spans="1:6">
      <c r="A1938" t="str">
        <f>"E1085-89"</f>
        <v>E1085-89</v>
      </c>
      <c r="B1938" t="str">
        <f>"VIA ELIO VITTORINI  5H-"</f>
        <v>VIA ELIO VITTORINI  5H-</v>
      </c>
      <c r="C1938" t="str">
        <f t="shared" si="234"/>
        <v>3</v>
      </c>
      <c r="D1938">
        <v>15</v>
      </c>
      <c r="E1938" t="str">
        <f t="shared" si="235"/>
        <v>368</v>
      </c>
      <c r="F1938" t="str">
        <f t="shared" si="236"/>
        <v>0000</v>
      </c>
    </row>
    <row r="1939" spans="1:6">
      <c r="A1939" t="str">
        <f>"E1085-90"</f>
        <v>E1085-90</v>
      </c>
      <c r="B1939" t="str">
        <f>"VIA ELIO VITTORINI  5D-"</f>
        <v>VIA ELIO VITTORINI  5D-</v>
      </c>
      <c r="C1939" t="str">
        <f t="shared" si="234"/>
        <v>3</v>
      </c>
      <c r="D1939">
        <v>15</v>
      </c>
      <c r="E1939" t="str">
        <f t="shared" si="235"/>
        <v>368</v>
      </c>
      <c r="F1939" t="str">
        <f t="shared" si="236"/>
        <v>0000</v>
      </c>
    </row>
    <row r="1940" spans="1:6">
      <c r="A1940" t="str">
        <f>"E1085-91"</f>
        <v>E1085-91</v>
      </c>
      <c r="B1940" t="str">
        <f>"VIA ELIO VITTORINI  5D-"</f>
        <v>VIA ELIO VITTORINI  5D-</v>
      </c>
      <c r="C1940" t="str">
        <f t="shared" si="234"/>
        <v>3</v>
      </c>
      <c r="D1940">
        <v>15</v>
      </c>
      <c r="E1940" t="str">
        <f t="shared" si="235"/>
        <v>368</v>
      </c>
      <c r="F1940" t="str">
        <f t="shared" si="236"/>
        <v>0000</v>
      </c>
    </row>
    <row r="1941" spans="1:6">
      <c r="A1941" t="str">
        <f>"E1085-92"</f>
        <v>E1085-92</v>
      </c>
      <c r="B1941" t="str">
        <f>"VIA ELIO VITTORINI  5D-"</f>
        <v>VIA ELIO VITTORINI  5D-</v>
      </c>
      <c r="C1941" t="str">
        <f t="shared" si="234"/>
        <v>3</v>
      </c>
      <c r="D1941">
        <v>15</v>
      </c>
      <c r="E1941" t="str">
        <f t="shared" si="235"/>
        <v>368</v>
      </c>
      <c r="F1941" t="str">
        <f t="shared" si="236"/>
        <v>0000</v>
      </c>
    </row>
    <row r="1942" spans="1:6">
      <c r="A1942" t="str">
        <f>"E1085-93"</f>
        <v>E1085-93</v>
      </c>
      <c r="B1942" t="str">
        <f>"VIA ELIO VITTORINI  5D-"</f>
        <v>VIA ELIO VITTORINI  5D-</v>
      </c>
      <c r="C1942" t="str">
        <f t="shared" si="234"/>
        <v>3</v>
      </c>
      <c r="D1942">
        <v>15</v>
      </c>
      <c r="E1942" t="str">
        <f t="shared" si="235"/>
        <v>368</v>
      </c>
      <c r="F1942" t="str">
        <f t="shared" si="236"/>
        <v>0000</v>
      </c>
    </row>
    <row r="1943" spans="1:6">
      <c r="A1943" t="str">
        <f>"E1085-94"</f>
        <v>E1085-94</v>
      </c>
      <c r="B1943" t="str">
        <f>"VIA ELIO VITTORINI  3N-"</f>
        <v>VIA ELIO VITTORINI  3N-</v>
      </c>
      <c r="C1943" t="str">
        <f t="shared" si="234"/>
        <v>3</v>
      </c>
      <c r="D1943">
        <v>15</v>
      </c>
      <c r="E1943" t="str">
        <f t="shared" si="235"/>
        <v>368</v>
      </c>
      <c r="F1943" t="str">
        <f t="shared" si="236"/>
        <v>0000</v>
      </c>
    </row>
    <row r="1944" spans="1:6">
      <c r="A1944" t="str">
        <f>"E1085-95"</f>
        <v>E1085-95</v>
      </c>
      <c r="B1944" t="str">
        <f>"VIA ELIO VITTORINI  3N-"</f>
        <v>VIA ELIO VITTORINI  3N-</v>
      </c>
      <c r="C1944" t="str">
        <f t="shared" si="234"/>
        <v>3</v>
      </c>
      <c r="D1944">
        <v>15</v>
      </c>
      <c r="E1944" t="str">
        <f t="shared" si="235"/>
        <v>368</v>
      </c>
      <c r="F1944" t="str">
        <f t="shared" si="236"/>
        <v>0000</v>
      </c>
    </row>
    <row r="1945" spans="1:6">
      <c r="A1945" t="str">
        <f>"E1085-96"</f>
        <v>E1085-96</v>
      </c>
      <c r="B1945" t="str">
        <f>"VIA ELIO VITTORINI  3N-"</f>
        <v>VIA ELIO VITTORINI  3N-</v>
      </c>
      <c r="C1945" t="str">
        <f t="shared" si="234"/>
        <v>3</v>
      </c>
      <c r="D1945">
        <v>15</v>
      </c>
      <c r="E1945" t="str">
        <f t="shared" si="235"/>
        <v>368</v>
      </c>
      <c r="F1945" t="str">
        <f t="shared" si="236"/>
        <v>0000</v>
      </c>
    </row>
    <row r="1946" spans="1:6">
      <c r="A1946" t="str">
        <f>"E1085-97"</f>
        <v>E1085-97</v>
      </c>
      <c r="B1946" t="str">
        <f>"VIA ELIO VITTORINI  3N-"</f>
        <v>VIA ELIO VITTORINI  3N-</v>
      </c>
      <c r="C1946" t="str">
        <f t="shared" si="234"/>
        <v>3</v>
      </c>
      <c r="D1946">
        <v>15</v>
      </c>
      <c r="E1946" t="str">
        <f t="shared" si="235"/>
        <v>368</v>
      </c>
      <c r="F1946" t="str">
        <f t="shared" si="236"/>
        <v>0000</v>
      </c>
    </row>
    <row r="1947" spans="1:6">
      <c r="A1947" t="str">
        <f>"E1085-98"</f>
        <v>E1085-98</v>
      </c>
      <c r="B1947" t="str">
        <f>"VIA ELIO VITTORINI  3H-"</f>
        <v>VIA ELIO VITTORINI  3H-</v>
      </c>
      <c r="C1947" t="str">
        <f t="shared" si="234"/>
        <v>3</v>
      </c>
      <c r="D1947">
        <v>15</v>
      </c>
      <c r="E1947" t="str">
        <f t="shared" si="235"/>
        <v>368</v>
      </c>
      <c r="F1947" t="str">
        <f t="shared" si="236"/>
        <v>0000</v>
      </c>
    </row>
    <row r="1948" spans="1:6">
      <c r="A1948" t="str">
        <f>"E1085-99"</f>
        <v>E1085-99</v>
      </c>
      <c r="B1948" t="str">
        <f>"VIA ELIO VITTORINI  3H-"</f>
        <v>VIA ELIO VITTORINI  3H-</v>
      </c>
      <c r="C1948" t="str">
        <f t="shared" si="234"/>
        <v>3</v>
      </c>
      <c r="D1948">
        <v>15</v>
      </c>
      <c r="E1948" t="str">
        <f t="shared" si="235"/>
        <v>368</v>
      </c>
      <c r="F1948" t="str">
        <f t="shared" si="236"/>
        <v>0000</v>
      </c>
    </row>
    <row r="1949" spans="1:6">
      <c r="A1949" t="str">
        <f>"E1085-100"</f>
        <v>E1085-100</v>
      </c>
      <c r="B1949" t="str">
        <f>"VIA ELIO VITTORINI  3H-"</f>
        <v>VIA ELIO VITTORINI  3H-</v>
      </c>
      <c r="C1949" t="str">
        <f t="shared" si="234"/>
        <v>3</v>
      </c>
      <c r="D1949">
        <v>15</v>
      </c>
      <c r="E1949" t="str">
        <f t="shared" si="235"/>
        <v>368</v>
      </c>
      <c r="F1949" t="str">
        <f t="shared" si="236"/>
        <v>0000</v>
      </c>
    </row>
    <row r="1950" spans="1:6">
      <c r="A1950" t="str">
        <f>"E1085-101"</f>
        <v>E1085-101</v>
      </c>
      <c r="B1950" t="str">
        <f>"VIA ELIO VITTORINI  3D-"</f>
        <v>VIA ELIO VITTORINI  3D-</v>
      </c>
      <c r="C1950" t="str">
        <f t="shared" si="234"/>
        <v>3</v>
      </c>
      <c r="D1950">
        <v>15</v>
      </c>
      <c r="E1950" t="str">
        <f t="shared" si="235"/>
        <v>368</v>
      </c>
      <c r="F1950" t="str">
        <f t="shared" si="236"/>
        <v>0000</v>
      </c>
    </row>
    <row r="1951" spans="1:6">
      <c r="A1951" t="str">
        <f>"E1085-102"</f>
        <v>E1085-102</v>
      </c>
      <c r="B1951" t="str">
        <f>"VIA ELIO VITTORINI  3D-"</f>
        <v>VIA ELIO VITTORINI  3D-</v>
      </c>
      <c r="C1951" t="str">
        <f t="shared" si="234"/>
        <v>3</v>
      </c>
      <c r="D1951">
        <v>15</v>
      </c>
      <c r="E1951" t="str">
        <f t="shared" si="235"/>
        <v>368</v>
      </c>
      <c r="F1951" t="str">
        <f t="shared" si="236"/>
        <v>0000</v>
      </c>
    </row>
    <row r="1952" spans="1:6">
      <c r="A1952" t="str">
        <f>"E1085-103"</f>
        <v>E1085-103</v>
      </c>
      <c r="B1952" t="str">
        <f>"VIA ELIO VITTORINI  3D-"</f>
        <v>VIA ELIO VITTORINI  3D-</v>
      </c>
      <c r="C1952" t="str">
        <f t="shared" si="234"/>
        <v>3</v>
      </c>
      <c r="D1952">
        <v>15</v>
      </c>
      <c r="E1952" t="str">
        <f t="shared" si="235"/>
        <v>368</v>
      </c>
      <c r="F1952" t="str">
        <f t="shared" si="236"/>
        <v>0000</v>
      </c>
    </row>
    <row r="1953" spans="1:6">
      <c r="A1953" t="str">
        <f>"E1085-104"</f>
        <v>E1085-104</v>
      </c>
      <c r="B1953" t="str">
        <f>"VIA ELIO VITTORINI  3D-"</f>
        <v>VIA ELIO VITTORINI  3D-</v>
      </c>
      <c r="C1953" t="str">
        <f t="shared" si="234"/>
        <v>3</v>
      </c>
      <c r="D1953">
        <v>15</v>
      </c>
      <c r="E1953" t="str">
        <f t="shared" si="235"/>
        <v>368</v>
      </c>
      <c r="F1953" t="str">
        <f t="shared" si="236"/>
        <v>0000</v>
      </c>
    </row>
    <row r="1954" spans="1:6">
      <c r="A1954" t="str">
        <f>"E1085-105"</f>
        <v>E1085-105</v>
      </c>
      <c r="B1954" t="str">
        <f t="shared" ref="B1954:B1959" si="237">"VIA ELIO VITTORINI  7-"</f>
        <v>VIA ELIO VITTORINI  7-</v>
      </c>
      <c r="C1954" t="str">
        <f t="shared" ref="C1954:C1985" si="238">"PRA"</f>
        <v>PRA</v>
      </c>
      <c r="D1954">
        <v>15</v>
      </c>
      <c r="E1954" t="str">
        <f t="shared" ref="E1954:E1983" si="239">"304"</f>
        <v>304</v>
      </c>
      <c r="F1954" t="str">
        <f>"21"</f>
        <v>21</v>
      </c>
    </row>
    <row r="1955" spans="1:6">
      <c r="A1955" t="str">
        <f>"E1085-106"</f>
        <v>E1085-106</v>
      </c>
      <c r="B1955" t="str">
        <f t="shared" si="237"/>
        <v>VIA ELIO VITTORINI  7-</v>
      </c>
      <c r="C1955" t="str">
        <f t="shared" si="238"/>
        <v>PRA</v>
      </c>
      <c r="D1955">
        <v>15</v>
      </c>
      <c r="E1955" t="str">
        <f t="shared" si="239"/>
        <v>304</v>
      </c>
      <c r="F1955" t="str">
        <f>"22"</f>
        <v>22</v>
      </c>
    </row>
    <row r="1956" spans="1:6">
      <c r="A1956" t="str">
        <f>"E1085-107"</f>
        <v>E1085-107</v>
      </c>
      <c r="B1956" t="str">
        <f t="shared" si="237"/>
        <v>VIA ELIO VITTORINI  7-</v>
      </c>
      <c r="C1956" t="str">
        <f t="shared" si="238"/>
        <v>PRA</v>
      </c>
      <c r="D1956">
        <v>15</v>
      </c>
      <c r="E1956" t="str">
        <f t="shared" si="239"/>
        <v>304</v>
      </c>
      <c r="F1956" t="str">
        <f>"23"</f>
        <v>23</v>
      </c>
    </row>
    <row r="1957" spans="1:6">
      <c r="A1957" t="str">
        <f>"E1085-108"</f>
        <v>E1085-108</v>
      </c>
      <c r="B1957" t="str">
        <f t="shared" si="237"/>
        <v>VIA ELIO VITTORINI  7-</v>
      </c>
      <c r="C1957" t="str">
        <f t="shared" si="238"/>
        <v>PRA</v>
      </c>
      <c r="D1957">
        <v>15</v>
      </c>
      <c r="E1957" t="str">
        <f t="shared" si="239"/>
        <v>304</v>
      </c>
      <c r="F1957" t="str">
        <f>"24"</f>
        <v>24</v>
      </c>
    </row>
    <row r="1958" spans="1:6">
      <c r="A1958" t="str">
        <f>"E1085-109"</f>
        <v>E1085-109</v>
      </c>
      <c r="B1958" t="str">
        <f t="shared" si="237"/>
        <v>VIA ELIO VITTORINI  7-</v>
      </c>
      <c r="C1958" t="str">
        <f t="shared" si="238"/>
        <v>PRA</v>
      </c>
      <c r="D1958">
        <v>15</v>
      </c>
      <c r="E1958" t="str">
        <f t="shared" si="239"/>
        <v>304</v>
      </c>
      <c r="F1958" t="str">
        <f>"26"</f>
        <v>26</v>
      </c>
    </row>
    <row r="1959" spans="1:6">
      <c r="A1959" t="str">
        <f>"E1085-110"</f>
        <v>E1085-110</v>
      </c>
      <c r="B1959" t="str">
        <f t="shared" si="237"/>
        <v>VIA ELIO VITTORINI  7-</v>
      </c>
      <c r="C1959" t="str">
        <f t="shared" si="238"/>
        <v>PRA</v>
      </c>
      <c r="D1959">
        <v>15</v>
      </c>
      <c r="E1959" t="str">
        <f t="shared" si="239"/>
        <v>304</v>
      </c>
      <c r="F1959" t="str">
        <f>"27"</f>
        <v>27</v>
      </c>
    </row>
    <row r="1960" spans="1:6">
      <c r="A1960" t="str">
        <f>"E1085-111"</f>
        <v>E1085-111</v>
      </c>
      <c r="B1960" t="str">
        <f t="shared" ref="B1960:B1966" si="240">"VIA ELIO VITTORINI  3-"</f>
        <v>VIA ELIO VITTORINI  3-</v>
      </c>
      <c r="C1960" t="str">
        <f t="shared" si="238"/>
        <v>PRA</v>
      </c>
      <c r="D1960">
        <v>15</v>
      </c>
      <c r="E1960" t="str">
        <f t="shared" si="239"/>
        <v>304</v>
      </c>
      <c r="F1960" t="str">
        <f>"3"</f>
        <v>3</v>
      </c>
    </row>
    <row r="1961" spans="1:6">
      <c r="A1961" t="str">
        <f>"E1085-112"</f>
        <v>E1085-112</v>
      </c>
      <c r="B1961" t="str">
        <f t="shared" si="240"/>
        <v>VIA ELIO VITTORINI  3-</v>
      </c>
      <c r="C1961" t="str">
        <f t="shared" si="238"/>
        <v>PRA</v>
      </c>
      <c r="D1961">
        <v>15</v>
      </c>
      <c r="E1961" t="str">
        <f t="shared" si="239"/>
        <v>304</v>
      </c>
      <c r="F1961" t="str">
        <f>"4"</f>
        <v>4</v>
      </c>
    </row>
    <row r="1962" spans="1:6">
      <c r="A1962" t="str">
        <f>"E1085-113"</f>
        <v>E1085-113</v>
      </c>
      <c r="B1962" t="str">
        <f t="shared" si="240"/>
        <v>VIA ELIO VITTORINI  3-</v>
      </c>
      <c r="C1962" t="str">
        <f t="shared" si="238"/>
        <v>PRA</v>
      </c>
      <c r="D1962">
        <v>15</v>
      </c>
      <c r="E1962" t="str">
        <f t="shared" si="239"/>
        <v>304</v>
      </c>
      <c r="F1962" t="str">
        <f>"5"</f>
        <v>5</v>
      </c>
    </row>
    <row r="1963" spans="1:6">
      <c r="A1963" t="str">
        <f>"E1085-114"</f>
        <v>E1085-114</v>
      </c>
      <c r="B1963" t="str">
        <f t="shared" si="240"/>
        <v>VIA ELIO VITTORINI  3-</v>
      </c>
      <c r="C1963" t="str">
        <f t="shared" si="238"/>
        <v>PRA</v>
      </c>
      <c r="D1963">
        <v>15</v>
      </c>
      <c r="E1963" t="str">
        <f t="shared" si="239"/>
        <v>304</v>
      </c>
      <c r="F1963" t="str">
        <f>"6"</f>
        <v>6</v>
      </c>
    </row>
    <row r="1964" spans="1:6">
      <c r="A1964" t="str">
        <f>"E1085-115"</f>
        <v>E1085-115</v>
      </c>
      <c r="B1964" t="str">
        <f t="shared" si="240"/>
        <v>VIA ELIO VITTORINI  3-</v>
      </c>
      <c r="C1964" t="str">
        <f t="shared" si="238"/>
        <v>PRA</v>
      </c>
      <c r="D1964">
        <v>15</v>
      </c>
      <c r="E1964" t="str">
        <f t="shared" si="239"/>
        <v>304</v>
      </c>
      <c r="F1964" t="str">
        <f>"7"</f>
        <v>7</v>
      </c>
    </row>
    <row r="1965" spans="1:6">
      <c r="A1965" t="str">
        <f>"E1085-116"</f>
        <v>E1085-116</v>
      </c>
      <c r="B1965" t="str">
        <f t="shared" si="240"/>
        <v>VIA ELIO VITTORINI  3-</v>
      </c>
      <c r="C1965" t="str">
        <f t="shared" si="238"/>
        <v>PRA</v>
      </c>
      <c r="D1965">
        <v>15</v>
      </c>
      <c r="E1965" t="str">
        <f t="shared" si="239"/>
        <v>304</v>
      </c>
      <c r="F1965" t="str">
        <f>"9"</f>
        <v>9</v>
      </c>
    </row>
    <row r="1966" spans="1:6">
      <c r="A1966" t="str">
        <f>"E1085-117"</f>
        <v>E1085-117</v>
      </c>
      <c r="B1966" t="str">
        <f t="shared" si="240"/>
        <v>VIA ELIO VITTORINI  3-</v>
      </c>
      <c r="C1966" t="str">
        <f t="shared" si="238"/>
        <v>PRA</v>
      </c>
      <c r="D1966">
        <v>15</v>
      </c>
      <c r="E1966" t="str">
        <f t="shared" si="239"/>
        <v>304</v>
      </c>
      <c r="F1966" t="str">
        <f>"11"</f>
        <v>11</v>
      </c>
    </row>
    <row r="1967" spans="1:6">
      <c r="A1967" t="str">
        <f>"E1085-118"</f>
        <v>E1085-118</v>
      </c>
      <c r="B1967" t="str">
        <f t="shared" ref="B1967:B1975" si="241">"VIA ELIO VITTORINI  7-"</f>
        <v>VIA ELIO VITTORINI  7-</v>
      </c>
      <c r="C1967" t="str">
        <f t="shared" si="238"/>
        <v>PRA</v>
      </c>
      <c r="D1967">
        <v>15</v>
      </c>
      <c r="E1967" t="str">
        <f t="shared" si="239"/>
        <v>304</v>
      </c>
      <c r="F1967" t="str">
        <f>"32"</f>
        <v>32</v>
      </c>
    </row>
    <row r="1968" spans="1:6">
      <c r="A1968" t="str">
        <f>"E1085-119"</f>
        <v>E1085-119</v>
      </c>
      <c r="B1968" t="str">
        <f t="shared" si="241"/>
        <v>VIA ELIO VITTORINI  7-</v>
      </c>
      <c r="C1968" t="str">
        <f t="shared" si="238"/>
        <v>PRA</v>
      </c>
      <c r="D1968">
        <v>15</v>
      </c>
      <c r="E1968" t="str">
        <f t="shared" si="239"/>
        <v>304</v>
      </c>
      <c r="F1968" t="str">
        <f>"33"</f>
        <v>33</v>
      </c>
    </row>
    <row r="1969" spans="1:6">
      <c r="A1969" t="str">
        <f>"E1085-120"</f>
        <v>E1085-120</v>
      </c>
      <c r="B1969" t="str">
        <f t="shared" si="241"/>
        <v>VIA ELIO VITTORINI  7-</v>
      </c>
      <c r="C1969" t="str">
        <f t="shared" si="238"/>
        <v>PRA</v>
      </c>
      <c r="D1969">
        <v>15</v>
      </c>
      <c r="E1969" t="str">
        <f t="shared" si="239"/>
        <v>304</v>
      </c>
      <c r="F1969" t="str">
        <f>"34"</f>
        <v>34</v>
      </c>
    </row>
    <row r="1970" spans="1:6">
      <c r="A1970" t="str">
        <f>"E1085-121"</f>
        <v>E1085-121</v>
      </c>
      <c r="B1970" t="str">
        <f t="shared" si="241"/>
        <v>VIA ELIO VITTORINI  7-</v>
      </c>
      <c r="C1970" t="str">
        <f t="shared" si="238"/>
        <v>PRA</v>
      </c>
      <c r="D1970">
        <v>15</v>
      </c>
      <c r="E1970" t="str">
        <f t="shared" si="239"/>
        <v>304</v>
      </c>
      <c r="F1970" t="str">
        <f>"35"</f>
        <v>35</v>
      </c>
    </row>
    <row r="1971" spans="1:6">
      <c r="A1971" t="str">
        <f>"E1085-122"</f>
        <v>E1085-122</v>
      </c>
      <c r="B1971" t="str">
        <f t="shared" si="241"/>
        <v>VIA ELIO VITTORINI  7-</v>
      </c>
      <c r="C1971" t="str">
        <f t="shared" si="238"/>
        <v>PRA</v>
      </c>
      <c r="D1971">
        <v>15</v>
      </c>
      <c r="E1971" t="str">
        <f t="shared" si="239"/>
        <v>304</v>
      </c>
      <c r="F1971" t="str">
        <f>"36"</f>
        <v>36</v>
      </c>
    </row>
    <row r="1972" spans="1:6">
      <c r="A1972" t="str">
        <f>"E1085-123"</f>
        <v>E1085-123</v>
      </c>
      <c r="B1972" t="str">
        <f t="shared" si="241"/>
        <v>VIA ELIO VITTORINI  7-</v>
      </c>
      <c r="C1972" t="str">
        <f t="shared" si="238"/>
        <v>PRA</v>
      </c>
      <c r="D1972">
        <v>15</v>
      </c>
      <c r="E1972" t="str">
        <f t="shared" si="239"/>
        <v>304</v>
      </c>
      <c r="F1972" t="str">
        <f>"37"</f>
        <v>37</v>
      </c>
    </row>
    <row r="1973" spans="1:6">
      <c r="A1973" t="str">
        <f>"E1085-124"</f>
        <v>E1085-124</v>
      </c>
      <c r="B1973" t="str">
        <f t="shared" si="241"/>
        <v>VIA ELIO VITTORINI  7-</v>
      </c>
      <c r="C1973" t="str">
        <f t="shared" si="238"/>
        <v>PRA</v>
      </c>
      <c r="D1973">
        <v>15</v>
      </c>
      <c r="E1973" t="str">
        <f t="shared" si="239"/>
        <v>304</v>
      </c>
      <c r="F1973" t="str">
        <f>"38"</f>
        <v>38</v>
      </c>
    </row>
    <row r="1974" spans="1:6">
      <c r="A1974" t="str">
        <f>"E1085-125"</f>
        <v>E1085-125</v>
      </c>
      <c r="B1974" t="str">
        <f t="shared" si="241"/>
        <v>VIA ELIO VITTORINI  7-</v>
      </c>
      <c r="C1974" t="str">
        <f t="shared" si="238"/>
        <v>PRA</v>
      </c>
      <c r="D1974">
        <v>15</v>
      </c>
      <c r="E1974" t="str">
        <f t="shared" si="239"/>
        <v>304</v>
      </c>
      <c r="F1974" t="str">
        <f>"39"</f>
        <v>39</v>
      </c>
    </row>
    <row r="1975" spans="1:6">
      <c r="A1975" t="str">
        <f>"E1085-126"</f>
        <v>E1085-126</v>
      </c>
      <c r="B1975" t="str">
        <f t="shared" si="241"/>
        <v>VIA ELIO VITTORINI  7-</v>
      </c>
      <c r="C1975" t="str">
        <f t="shared" si="238"/>
        <v>PRA</v>
      </c>
      <c r="D1975">
        <v>15</v>
      </c>
      <c r="E1975" t="str">
        <f t="shared" si="239"/>
        <v>304</v>
      </c>
      <c r="F1975" t="str">
        <f>"40"</f>
        <v>40</v>
      </c>
    </row>
    <row r="1976" spans="1:6">
      <c r="A1976" t="str">
        <f>"E1085-127"</f>
        <v>E1085-127</v>
      </c>
      <c r="B1976" t="str">
        <f t="shared" ref="B1976:B1983" si="242">"VIA ELIO VITTORINI  3-"</f>
        <v>VIA ELIO VITTORINI  3-</v>
      </c>
      <c r="C1976" t="str">
        <f t="shared" si="238"/>
        <v>PRA</v>
      </c>
      <c r="D1976">
        <v>15</v>
      </c>
      <c r="E1976" t="str">
        <f t="shared" si="239"/>
        <v>304</v>
      </c>
      <c r="F1976" t="str">
        <f>"12"</f>
        <v>12</v>
      </c>
    </row>
    <row r="1977" spans="1:6">
      <c r="A1977" t="str">
        <f>"E1085-128"</f>
        <v>E1085-128</v>
      </c>
      <c r="B1977" t="str">
        <f t="shared" si="242"/>
        <v>VIA ELIO VITTORINI  3-</v>
      </c>
      <c r="C1977" t="str">
        <f t="shared" si="238"/>
        <v>PRA</v>
      </c>
      <c r="D1977">
        <v>15</v>
      </c>
      <c r="E1977" t="str">
        <f t="shared" si="239"/>
        <v>304</v>
      </c>
      <c r="F1977" t="str">
        <f>"13"</f>
        <v>13</v>
      </c>
    </row>
    <row r="1978" spans="1:6">
      <c r="A1978" t="str">
        <f>"E1085-129"</f>
        <v>E1085-129</v>
      </c>
      <c r="B1978" t="str">
        <f t="shared" si="242"/>
        <v>VIA ELIO VITTORINI  3-</v>
      </c>
      <c r="C1978" t="str">
        <f t="shared" si="238"/>
        <v>PRA</v>
      </c>
      <c r="D1978">
        <v>15</v>
      </c>
      <c r="E1978" t="str">
        <f t="shared" si="239"/>
        <v>304</v>
      </c>
      <c r="F1978" t="str">
        <f>"14"</f>
        <v>14</v>
      </c>
    </row>
    <row r="1979" spans="1:6">
      <c r="A1979" t="str">
        <f>"E1085-130"</f>
        <v>E1085-130</v>
      </c>
      <c r="B1979" t="str">
        <f t="shared" si="242"/>
        <v>VIA ELIO VITTORINI  3-</v>
      </c>
      <c r="C1979" t="str">
        <f t="shared" si="238"/>
        <v>PRA</v>
      </c>
      <c r="D1979">
        <v>15</v>
      </c>
      <c r="E1979" t="str">
        <f t="shared" si="239"/>
        <v>304</v>
      </c>
      <c r="F1979" t="str">
        <f>"15"</f>
        <v>15</v>
      </c>
    </row>
    <row r="1980" spans="1:6">
      <c r="A1980" t="str">
        <f>"E1085-131"</f>
        <v>E1085-131</v>
      </c>
      <c r="B1980" t="str">
        <f t="shared" si="242"/>
        <v>VIA ELIO VITTORINI  3-</v>
      </c>
      <c r="C1980" t="str">
        <f t="shared" si="238"/>
        <v>PRA</v>
      </c>
      <c r="D1980">
        <v>15</v>
      </c>
      <c r="E1980" t="str">
        <f t="shared" si="239"/>
        <v>304</v>
      </c>
      <c r="F1980" t="str">
        <f>"16"</f>
        <v>16</v>
      </c>
    </row>
    <row r="1981" spans="1:6">
      <c r="A1981" t="str">
        <f>"E1085-132"</f>
        <v>E1085-132</v>
      </c>
      <c r="B1981" t="str">
        <f t="shared" si="242"/>
        <v>VIA ELIO VITTORINI  3-</v>
      </c>
      <c r="C1981" t="str">
        <f t="shared" si="238"/>
        <v>PRA</v>
      </c>
      <c r="D1981">
        <v>15</v>
      </c>
      <c r="E1981" t="str">
        <f t="shared" si="239"/>
        <v>304</v>
      </c>
      <c r="F1981" t="str">
        <f>"17"</f>
        <v>17</v>
      </c>
    </row>
    <row r="1982" spans="1:6">
      <c r="A1982" t="str">
        <f>"E1085-133"</f>
        <v>E1085-133</v>
      </c>
      <c r="B1982" t="str">
        <f t="shared" si="242"/>
        <v>VIA ELIO VITTORINI  3-</v>
      </c>
      <c r="C1982" t="str">
        <f t="shared" si="238"/>
        <v>PRA</v>
      </c>
      <c r="D1982">
        <v>15</v>
      </c>
      <c r="E1982" t="str">
        <f t="shared" si="239"/>
        <v>304</v>
      </c>
      <c r="F1982" t="str">
        <f>"18"</f>
        <v>18</v>
      </c>
    </row>
    <row r="1983" spans="1:6">
      <c r="A1983" t="str">
        <f>"E1085-134"</f>
        <v>E1085-134</v>
      </c>
      <c r="B1983" t="str">
        <f t="shared" si="242"/>
        <v>VIA ELIO VITTORINI  3-</v>
      </c>
      <c r="C1983" t="str">
        <f t="shared" si="238"/>
        <v>PRA</v>
      </c>
      <c r="D1983">
        <v>15</v>
      </c>
      <c r="E1983" t="str">
        <f t="shared" si="239"/>
        <v>304</v>
      </c>
      <c r="F1983" t="str">
        <f>"19"</f>
        <v>19</v>
      </c>
    </row>
    <row r="1984" spans="1:6">
      <c r="A1984" t="str">
        <f>"E1086-1"</f>
        <v>E1086-1</v>
      </c>
      <c r="B1984" t="str">
        <f t="shared" ref="B1984:B1992" si="243">"VIA ELIO VITTORINI  66-"</f>
        <v>VIA ELIO VITTORINI  66-</v>
      </c>
      <c r="C1984" t="str">
        <f t="shared" si="238"/>
        <v>PRA</v>
      </c>
      <c r="D1984">
        <v>15</v>
      </c>
      <c r="E1984" t="str">
        <f t="shared" ref="E1984:E2015" si="244">"305"</f>
        <v>305</v>
      </c>
      <c r="F1984" t="str">
        <f>"86"</f>
        <v>86</v>
      </c>
    </row>
    <row r="1985" spans="1:6">
      <c r="A1985" t="str">
        <f>"E1086-2"</f>
        <v>E1086-2</v>
      </c>
      <c r="B1985" t="str">
        <f t="shared" si="243"/>
        <v>VIA ELIO VITTORINI  66-</v>
      </c>
      <c r="C1985" t="str">
        <f t="shared" si="238"/>
        <v>PRA</v>
      </c>
      <c r="D1985">
        <v>15</v>
      </c>
      <c r="E1985" t="str">
        <f t="shared" si="244"/>
        <v>305</v>
      </c>
      <c r="F1985" t="str">
        <f>"87"</f>
        <v>87</v>
      </c>
    </row>
    <row r="1986" spans="1:6">
      <c r="A1986" t="str">
        <f>"E1086-3"</f>
        <v>E1086-3</v>
      </c>
      <c r="B1986" t="str">
        <f t="shared" si="243"/>
        <v>VIA ELIO VITTORINI  66-</v>
      </c>
      <c r="C1986" t="str">
        <f t="shared" ref="C1986:C2017" si="245">"PRA"</f>
        <v>PRA</v>
      </c>
      <c r="D1986">
        <v>15</v>
      </c>
      <c r="E1986" t="str">
        <f t="shared" si="244"/>
        <v>305</v>
      </c>
      <c r="F1986" t="str">
        <f>"89"</f>
        <v>89</v>
      </c>
    </row>
    <row r="1987" spans="1:6">
      <c r="A1987" t="str">
        <f>"E1086-4"</f>
        <v>E1086-4</v>
      </c>
      <c r="B1987" t="str">
        <f t="shared" si="243"/>
        <v>VIA ELIO VITTORINI  66-</v>
      </c>
      <c r="C1987" t="str">
        <f t="shared" si="245"/>
        <v>PRA</v>
      </c>
      <c r="D1987">
        <v>15</v>
      </c>
      <c r="E1987" t="str">
        <f t="shared" si="244"/>
        <v>305</v>
      </c>
      <c r="F1987" t="str">
        <f>"90"</f>
        <v>90</v>
      </c>
    </row>
    <row r="1988" spans="1:6">
      <c r="A1988" t="str">
        <f>"E1086-5"</f>
        <v>E1086-5</v>
      </c>
      <c r="B1988" t="str">
        <f t="shared" si="243"/>
        <v>VIA ELIO VITTORINI  66-</v>
      </c>
      <c r="C1988" t="str">
        <f t="shared" si="245"/>
        <v>PRA</v>
      </c>
      <c r="D1988">
        <v>15</v>
      </c>
      <c r="E1988" t="str">
        <f t="shared" si="244"/>
        <v>305</v>
      </c>
      <c r="F1988" t="str">
        <f>"91"</f>
        <v>91</v>
      </c>
    </row>
    <row r="1989" spans="1:6">
      <c r="A1989" t="str">
        <f>"E1086-6"</f>
        <v>E1086-6</v>
      </c>
      <c r="B1989" t="str">
        <f t="shared" si="243"/>
        <v>VIA ELIO VITTORINI  66-</v>
      </c>
      <c r="C1989" t="str">
        <f t="shared" si="245"/>
        <v>PRA</v>
      </c>
      <c r="D1989">
        <v>15</v>
      </c>
      <c r="E1989" t="str">
        <f t="shared" si="244"/>
        <v>305</v>
      </c>
      <c r="F1989" t="str">
        <f>"96"</f>
        <v>96</v>
      </c>
    </row>
    <row r="1990" spans="1:6">
      <c r="A1990" t="str">
        <f>"E1086-7"</f>
        <v>E1086-7</v>
      </c>
      <c r="B1990" t="str">
        <f t="shared" si="243"/>
        <v>VIA ELIO VITTORINI  66-</v>
      </c>
      <c r="C1990" t="str">
        <f t="shared" si="245"/>
        <v>PRA</v>
      </c>
      <c r="D1990">
        <v>15</v>
      </c>
      <c r="E1990" t="str">
        <f t="shared" si="244"/>
        <v>305</v>
      </c>
      <c r="F1990" t="str">
        <f>"99"</f>
        <v>99</v>
      </c>
    </row>
    <row r="1991" spans="1:6">
      <c r="A1991" t="str">
        <f>"E1086-8"</f>
        <v>E1086-8</v>
      </c>
      <c r="B1991" t="str">
        <f t="shared" si="243"/>
        <v>VIA ELIO VITTORINI  66-</v>
      </c>
      <c r="C1991" t="str">
        <f t="shared" si="245"/>
        <v>PRA</v>
      </c>
      <c r="D1991">
        <v>15</v>
      </c>
      <c r="E1991" t="str">
        <f t="shared" si="244"/>
        <v>305</v>
      </c>
      <c r="F1991" t="str">
        <f>"100"</f>
        <v>100</v>
      </c>
    </row>
    <row r="1992" spans="1:6">
      <c r="A1992" t="str">
        <f>"E1086-9"</f>
        <v>E1086-9</v>
      </c>
      <c r="B1992" t="str">
        <f t="shared" si="243"/>
        <v>VIA ELIO VITTORINI  66-</v>
      </c>
      <c r="C1992" t="str">
        <f t="shared" si="245"/>
        <v>PRA</v>
      </c>
      <c r="D1992">
        <v>15</v>
      </c>
      <c r="E1992" t="str">
        <f t="shared" si="244"/>
        <v>305</v>
      </c>
      <c r="F1992" t="str">
        <f>"103"</f>
        <v>103</v>
      </c>
    </row>
    <row r="1993" spans="1:6">
      <c r="A1993" t="str">
        <f>"E1086-14"</f>
        <v>E1086-14</v>
      </c>
      <c r="B1993" t="str">
        <f>"VIA ELIO VITTORINI  28-"</f>
        <v>VIA ELIO VITTORINI  28-</v>
      </c>
      <c r="C1993" t="str">
        <f t="shared" si="245"/>
        <v>PRA</v>
      </c>
      <c r="D1993">
        <v>15</v>
      </c>
      <c r="E1993" t="str">
        <f t="shared" si="244"/>
        <v>305</v>
      </c>
      <c r="F1993" t="str">
        <f>"254"</f>
        <v>254</v>
      </c>
    </row>
    <row r="1994" spans="1:6">
      <c r="A1994" t="str">
        <f>"E1086-15"</f>
        <v>E1086-15</v>
      </c>
      <c r="B1994" t="str">
        <f>"VIA ELIO VITTORINI  28-"</f>
        <v>VIA ELIO VITTORINI  28-</v>
      </c>
      <c r="C1994" t="str">
        <f t="shared" si="245"/>
        <v>PRA</v>
      </c>
      <c r="D1994">
        <v>15</v>
      </c>
      <c r="E1994" t="str">
        <f t="shared" si="244"/>
        <v>305</v>
      </c>
      <c r="F1994" t="str">
        <f>"255"</f>
        <v>255</v>
      </c>
    </row>
    <row r="1995" spans="1:6">
      <c r="A1995" t="str">
        <f>"E1086-16"</f>
        <v>E1086-16</v>
      </c>
      <c r="B1995" t="str">
        <f t="shared" ref="B1995:B2004" si="246">"VIA ELIO VITTORINI VICINO AL 66-"</f>
        <v>VIA ELIO VITTORINI VICINO AL 66-</v>
      </c>
      <c r="C1995" t="str">
        <f t="shared" si="245"/>
        <v>PRA</v>
      </c>
      <c r="D1995">
        <v>15</v>
      </c>
      <c r="E1995" t="str">
        <f t="shared" si="244"/>
        <v>305</v>
      </c>
      <c r="F1995" t="str">
        <f>"104"</f>
        <v>104</v>
      </c>
    </row>
    <row r="1996" spans="1:6">
      <c r="A1996" t="str">
        <f>"E1086-17"</f>
        <v>E1086-17</v>
      </c>
      <c r="B1996" t="str">
        <f t="shared" si="246"/>
        <v>VIA ELIO VITTORINI VICINO AL 66-</v>
      </c>
      <c r="C1996" t="str">
        <f t="shared" si="245"/>
        <v>PRA</v>
      </c>
      <c r="D1996">
        <v>15</v>
      </c>
      <c r="E1996" t="str">
        <f t="shared" si="244"/>
        <v>305</v>
      </c>
      <c r="F1996" t="str">
        <f>"105"</f>
        <v>105</v>
      </c>
    </row>
    <row r="1997" spans="1:6">
      <c r="A1997" t="str">
        <f>"E1086-18"</f>
        <v>E1086-18</v>
      </c>
      <c r="B1997" t="str">
        <f t="shared" si="246"/>
        <v>VIA ELIO VITTORINI VICINO AL 66-</v>
      </c>
      <c r="C1997" t="str">
        <f t="shared" si="245"/>
        <v>PRA</v>
      </c>
      <c r="D1997">
        <v>15</v>
      </c>
      <c r="E1997" t="str">
        <f t="shared" si="244"/>
        <v>305</v>
      </c>
      <c r="F1997" t="str">
        <f>"106"</f>
        <v>106</v>
      </c>
    </row>
    <row r="1998" spans="1:6">
      <c r="A1998" t="str">
        <f>"E1086-19"</f>
        <v>E1086-19</v>
      </c>
      <c r="B1998" t="str">
        <f t="shared" si="246"/>
        <v>VIA ELIO VITTORINI VICINO AL 66-</v>
      </c>
      <c r="C1998" t="str">
        <f t="shared" si="245"/>
        <v>PRA</v>
      </c>
      <c r="D1998">
        <v>15</v>
      </c>
      <c r="E1998" t="str">
        <f t="shared" si="244"/>
        <v>305</v>
      </c>
      <c r="F1998" t="str">
        <f>"107"</f>
        <v>107</v>
      </c>
    </row>
    <row r="1999" spans="1:6">
      <c r="A1999" t="str">
        <f>"E1086-20"</f>
        <v>E1086-20</v>
      </c>
      <c r="B1999" t="str">
        <f t="shared" si="246"/>
        <v>VIA ELIO VITTORINI VICINO AL 66-</v>
      </c>
      <c r="C1999" t="str">
        <f t="shared" si="245"/>
        <v>PRA</v>
      </c>
      <c r="D1999">
        <v>15</v>
      </c>
      <c r="E1999" t="str">
        <f t="shared" si="244"/>
        <v>305</v>
      </c>
      <c r="F1999" t="str">
        <f>"108"</f>
        <v>108</v>
      </c>
    </row>
    <row r="2000" spans="1:6">
      <c r="A2000" t="str">
        <f>"E1086-21"</f>
        <v>E1086-21</v>
      </c>
      <c r="B2000" t="str">
        <f t="shared" si="246"/>
        <v>VIA ELIO VITTORINI VICINO AL 66-</v>
      </c>
      <c r="C2000" t="str">
        <f t="shared" si="245"/>
        <v>PRA</v>
      </c>
      <c r="D2000">
        <v>15</v>
      </c>
      <c r="E2000" t="str">
        <f t="shared" si="244"/>
        <v>305</v>
      </c>
      <c r="F2000" t="str">
        <f>"109"</f>
        <v>109</v>
      </c>
    </row>
    <row r="2001" spans="1:6">
      <c r="A2001" t="str">
        <f>"E1086-22"</f>
        <v>E1086-22</v>
      </c>
      <c r="B2001" t="str">
        <f t="shared" si="246"/>
        <v>VIA ELIO VITTORINI VICINO AL 66-</v>
      </c>
      <c r="C2001" t="str">
        <f t="shared" si="245"/>
        <v>PRA</v>
      </c>
      <c r="D2001">
        <v>15</v>
      </c>
      <c r="E2001" t="str">
        <f t="shared" si="244"/>
        <v>305</v>
      </c>
      <c r="F2001" t="str">
        <f>"110"</f>
        <v>110</v>
      </c>
    </row>
    <row r="2002" spans="1:6">
      <c r="A2002" t="str">
        <f>"E1086-23"</f>
        <v>E1086-23</v>
      </c>
      <c r="B2002" t="str">
        <f t="shared" si="246"/>
        <v>VIA ELIO VITTORINI VICINO AL 66-</v>
      </c>
      <c r="C2002" t="str">
        <f t="shared" si="245"/>
        <v>PRA</v>
      </c>
      <c r="D2002">
        <v>15</v>
      </c>
      <c r="E2002" t="str">
        <f t="shared" si="244"/>
        <v>305</v>
      </c>
      <c r="F2002" t="str">
        <f>"111"</f>
        <v>111</v>
      </c>
    </row>
    <row r="2003" spans="1:6">
      <c r="A2003" t="str">
        <f>"E1086-24"</f>
        <v>E1086-24</v>
      </c>
      <c r="B2003" t="str">
        <f t="shared" si="246"/>
        <v>VIA ELIO VITTORINI VICINO AL 66-</v>
      </c>
      <c r="C2003" t="str">
        <f t="shared" si="245"/>
        <v>PRA</v>
      </c>
      <c r="D2003">
        <v>15</v>
      </c>
      <c r="E2003" t="str">
        <f t="shared" si="244"/>
        <v>305</v>
      </c>
      <c r="F2003" t="str">
        <f>"112"</f>
        <v>112</v>
      </c>
    </row>
    <row r="2004" spans="1:6">
      <c r="A2004" t="str">
        <f>"E1086-25"</f>
        <v>E1086-25</v>
      </c>
      <c r="B2004" t="str">
        <f t="shared" si="246"/>
        <v>VIA ELIO VITTORINI VICINO AL 66-</v>
      </c>
      <c r="C2004" t="str">
        <f t="shared" si="245"/>
        <v>PRA</v>
      </c>
      <c r="D2004">
        <v>15</v>
      </c>
      <c r="E2004" t="str">
        <f t="shared" si="244"/>
        <v>305</v>
      </c>
      <c r="F2004" t="str">
        <f>"113"</f>
        <v>113</v>
      </c>
    </row>
    <row r="2005" spans="1:6">
      <c r="A2005" t="str">
        <f>"E1086-26"</f>
        <v>E1086-26</v>
      </c>
      <c r="B2005" t="str">
        <f>"VIA ELIO VITTORINI VICINO AL 28-"</f>
        <v>VIA ELIO VITTORINI VICINO AL 28-</v>
      </c>
      <c r="C2005" t="str">
        <f t="shared" si="245"/>
        <v>PRA</v>
      </c>
      <c r="D2005">
        <v>15</v>
      </c>
      <c r="E2005" t="str">
        <f t="shared" si="244"/>
        <v>305</v>
      </c>
      <c r="F2005" t="str">
        <f>"258"</f>
        <v>258</v>
      </c>
    </row>
    <row r="2006" spans="1:6">
      <c r="A2006" t="str">
        <f>"E1086-27"</f>
        <v>E1086-27</v>
      </c>
      <c r="B2006" t="str">
        <f>"VIA ELIO VITTORINI VICINO AL 28-"</f>
        <v>VIA ELIO VITTORINI VICINO AL 28-</v>
      </c>
      <c r="C2006" t="str">
        <f t="shared" si="245"/>
        <v>PRA</v>
      </c>
      <c r="D2006">
        <v>15</v>
      </c>
      <c r="E2006" t="str">
        <f t="shared" si="244"/>
        <v>305</v>
      </c>
      <c r="F2006" t="str">
        <f>"261"</f>
        <v>261</v>
      </c>
    </row>
    <row r="2007" spans="1:6">
      <c r="A2007" t="str">
        <f>"E1086-28"</f>
        <v>E1086-28</v>
      </c>
      <c r="B2007" t="str">
        <f>"VIA ELIO VITTORINI VICINO AL 28-"</f>
        <v>VIA ELIO VITTORINI VICINO AL 28-</v>
      </c>
      <c r="C2007" t="str">
        <f t="shared" si="245"/>
        <v>PRA</v>
      </c>
      <c r="D2007">
        <v>15</v>
      </c>
      <c r="E2007" t="str">
        <f t="shared" si="244"/>
        <v>305</v>
      </c>
      <c r="F2007" t="str">
        <f>"265"</f>
        <v>265</v>
      </c>
    </row>
    <row r="2008" spans="1:6">
      <c r="A2008" t="str">
        <f>"E1086-29"</f>
        <v>E1086-29</v>
      </c>
      <c r="B2008" t="str">
        <f>"VIA ELIO VITTORINI VICINO AL 28-"</f>
        <v>VIA ELIO VITTORINI VICINO AL 28-</v>
      </c>
      <c r="C2008" t="str">
        <f t="shared" si="245"/>
        <v>PRA</v>
      </c>
      <c r="D2008">
        <v>15</v>
      </c>
      <c r="E2008" t="str">
        <f t="shared" si="244"/>
        <v>305</v>
      </c>
      <c r="F2008" t="str">
        <f>"267"</f>
        <v>267</v>
      </c>
    </row>
    <row r="2009" spans="1:6">
      <c r="A2009" t="str">
        <f>"E1086-30"</f>
        <v>E1086-30</v>
      </c>
      <c r="B2009" t="str">
        <f t="shared" ref="B2009:B2014" si="247">"VIA ELIO VITTORINI  52-"</f>
        <v>VIA ELIO VITTORINI  52-</v>
      </c>
      <c r="C2009" t="str">
        <f t="shared" si="245"/>
        <v>PRA</v>
      </c>
      <c r="D2009">
        <v>15</v>
      </c>
      <c r="E2009" t="str">
        <f t="shared" si="244"/>
        <v>305</v>
      </c>
      <c r="F2009" t="str">
        <f>"2"</f>
        <v>2</v>
      </c>
    </row>
    <row r="2010" spans="1:6">
      <c r="A2010" t="str">
        <f>"E1086-31"</f>
        <v>E1086-31</v>
      </c>
      <c r="B2010" t="str">
        <f t="shared" si="247"/>
        <v>VIA ELIO VITTORINI  52-</v>
      </c>
      <c r="C2010" t="str">
        <f t="shared" si="245"/>
        <v>PRA</v>
      </c>
      <c r="D2010">
        <v>15</v>
      </c>
      <c r="E2010" t="str">
        <f t="shared" si="244"/>
        <v>305</v>
      </c>
      <c r="F2010" t="str">
        <f>"3"</f>
        <v>3</v>
      </c>
    </row>
    <row r="2011" spans="1:6">
      <c r="A2011" t="str">
        <f>"E1086-32"</f>
        <v>E1086-32</v>
      </c>
      <c r="B2011" t="str">
        <f t="shared" si="247"/>
        <v>VIA ELIO VITTORINI  52-</v>
      </c>
      <c r="C2011" t="str">
        <f t="shared" si="245"/>
        <v>PRA</v>
      </c>
      <c r="D2011">
        <v>15</v>
      </c>
      <c r="E2011" t="str">
        <f t="shared" si="244"/>
        <v>305</v>
      </c>
      <c r="F2011" t="str">
        <f>"4"</f>
        <v>4</v>
      </c>
    </row>
    <row r="2012" spans="1:6">
      <c r="A2012" t="str">
        <f>"E1086-33"</f>
        <v>E1086-33</v>
      </c>
      <c r="B2012" t="str">
        <f t="shared" si="247"/>
        <v>VIA ELIO VITTORINI  52-</v>
      </c>
      <c r="C2012" t="str">
        <f t="shared" si="245"/>
        <v>PRA</v>
      </c>
      <c r="D2012">
        <v>15</v>
      </c>
      <c r="E2012" t="str">
        <f t="shared" si="244"/>
        <v>305</v>
      </c>
      <c r="F2012" t="str">
        <f>"5"</f>
        <v>5</v>
      </c>
    </row>
    <row r="2013" spans="1:6">
      <c r="A2013" t="str">
        <f>"E1086-34"</f>
        <v>E1086-34</v>
      </c>
      <c r="B2013" t="str">
        <f t="shared" si="247"/>
        <v>VIA ELIO VITTORINI  52-</v>
      </c>
      <c r="C2013" t="str">
        <f t="shared" si="245"/>
        <v>PRA</v>
      </c>
      <c r="D2013">
        <v>15</v>
      </c>
      <c r="E2013" t="str">
        <f t="shared" si="244"/>
        <v>305</v>
      </c>
      <c r="F2013" t="str">
        <f>"6"</f>
        <v>6</v>
      </c>
    </row>
    <row r="2014" spans="1:6">
      <c r="A2014" t="str">
        <f>"E1086-35"</f>
        <v>E1086-35</v>
      </c>
      <c r="B2014" t="str">
        <f t="shared" si="247"/>
        <v>VIA ELIO VITTORINI  52-</v>
      </c>
      <c r="C2014" t="str">
        <f t="shared" si="245"/>
        <v>PRA</v>
      </c>
      <c r="D2014">
        <v>15</v>
      </c>
      <c r="E2014" t="str">
        <f t="shared" si="244"/>
        <v>305</v>
      </c>
      <c r="F2014" t="str">
        <f>"7"</f>
        <v>7</v>
      </c>
    </row>
    <row r="2015" spans="1:6">
      <c r="A2015" t="str">
        <f>"E1086-36"</f>
        <v>E1086-36</v>
      </c>
      <c r="B2015" t="str">
        <f t="shared" ref="B2015:B2020" si="248">"VIA ELIO VITTORINI  54-"</f>
        <v>VIA ELIO VITTORINI  54-</v>
      </c>
      <c r="C2015" t="str">
        <f t="shared" si="245"/>
        <v>PRA</v>
      </c>
      <c r="D2015">
        <v>15</v>
      </c>
      <c r="E2015" t="str">
        <f t="shared" si="244"/>
        <v>305</v>
      </c>
      <c r="F2015" t="str">
        <f>"9"</f>
        <v>9</v>
      </c>
    </row>
    <row r="2016" spans="1:6">
      <c r="A2016" t="str">
        <f>"E1086-37"</f>
        <v>E1086-37</v>
      </c>
      <c r="B2016" t="str">
        <f t="shared" si="248"/>
        <v>VIA ELIO VITTORINI  54-</v>
      </c>
      <c r="C2016" t="str">
        <f t="shared" si="245"/>
        <v>PRA</v>
      </c>
      <c r="D2016">
        <v>15</v>
      </c>
      <c r="E2016" t="str">
        <f t="shared" ref="E2016:E2043" si="249">"305"</f>
        <v>305</v>
      </c>
      <c r="F2016" t="str">
        <f>"10"</f>
        <v>10</v>
      </c>
    </row>
    <row r="2017" spans="1:6">
      <c r="A2017" t="str">
        <f>"E1086-38"</f>
        <v>E1086-38</v>
      </c>
      <c r="B2017" t="str">
        <f t="shared" si="248"/>
        <v>VIA ELIO VITTORINI  54-</v>
      </c>
      <c r="C2017" t="str">
        <f t="shared" si="245"/>
        <v>PRA</v>
      </c>
      <c r="D2017">
        <v>15</v>
      </c>
      <c r="E2017" t="str">
        <f t="shared" si="249"/>
        <v>305</v>
      </c>
      <c r="F2017" t="str">
        <f>"11"</f>
        <v>11</v>
      </c>
    </row>
    <row r="2018" spans="1:6">
      <c r="A2018" t="str">
        <f>"E1086-39"</f>
        <v>E1086-39</v>
      </c>
      <c r="B2018" t="str">
        <f t="shared" si="248"/>
        <v>VIA ELIO VITTORINI  54-</v>
      </c>
      <c r="C2018" t="str">
        <f t="shared" ref="C2018:C2043" si="250">"PRA"</f>
        <v>PRA</v>
      </c>
      <c r="D2018">
        <v>15</v>
      </c>
      <c r="E2018" t="str">
        <f t="shared" si="249"/>
        <v>305</v>
      </c>
      <c r="F2018" t="str">
        <f>"12"</f>
        <v>12</v>
      </c>
    </row>
    <row r="2019" spans="1:6">
      <c r="A2019" t="str">
        <f>"E1086-40"</f>
        <v>E1086-40</v>
      </c>
      <c r="B2019" t="str">
        <f t="shared" si="248"/>
        <v>VIA ELIO VITTORINI  54-</v>
      </c>
      <c r="C2019" t="str">
        <f t="shared" si="250"/>
        <v>PRA</v>
      </c>
      <c r="D2019">
        <v>15</v>
      </c>
      <c r="E2019" t="str">
        <f t="shared" si="249"/>
        <v>305</v>
      </c>
      <c r="F2019" t="str">
        <f>"13"</f>
        <v>13</v>
      </c>
    </row>
    <row r="2020" spans="1:6">
      <c r="A2020" t="str">
        <f>"E1086-41"</f>
        <v>E1086-41</v>
      </c>
      <c r="B2020" t="str">
        <f t="shared" si="248"/>
        <v>VIA ELIO VITTORINI  54-</v>
      </c>
      <c r="C2020" t="str">
        <f t="shared" si="250"/>
        <v>PRA</v>
      </c>
      <c r="D2020">
        <v>15</v>
      </c>
      <c r="E2020" t="str">
        <f t="shared" si="249"/>
        <v>305</v>
      </c>
      <c r="F2020" t="str">
        <f>"14"</f>
        <v>14</v>
      </c>
    </row>
    <row r="2021" spans="1:6">
      <c r="A2021" t="str">
        <f>"E1086-42"</f>
        <v>E1086-42</v>
      </c>
      <c r="B2021" t="str">
        <f t="shared" ref="B2021:B2026" si="251">"VIA ELIO VITTORINI  56-"</f>
        <v>VIA ELIO VITTORINI  56-</v>
      </c>
      <c r="C2021" t="str">
        <f t="shared" si="250"/>
        <v>PRA</v>
      </c>
      <c r="D2021">
        <v>15</v>
      </c>
      <c r="E2021" t="str">
        <f t="shared" si="249"/>
        <v>305</v>
      </c>
      <c r="F2021" t="str">
        <f>"22"</f>
        <v>22</v>
      </c>
    </row>
    <row r="2022" spans="1:6">
      <c r="A2022" t="str">
        <f>"E1086-43"</f>
        <v>E1086-43</v>
      </c>
      <c r="B2022" t="str">
        <f t="shared" si="251"/>
        <v>VIA ELIO VITTORINI  56-</v>
      </c>
      <c r="C2022" t="str">
        <f t="shared" si="250"/>
        <v>PRA</v>
      </c>
      <c r="D2022">
        <v>15</v>
      </c>
      <c r="E2022" t="str">
        <f t="shared" si="249"/>
        <v>305</v>
      </c>
      <c r="F2022" t="str">
        <f>"23"</f>
        <v>23</v>
      </c>
    </row>
    <row r="2023" spans="1:6">
      <c r="A2023" t="str">
        <f>"E1086-44"</f>
        <v>E1086-44</v>
      </c>
      <c r="B2023" t="str">
        <f t="shared" si="251"/>
        <v>VIA ELIO VITTORINI  56-</v>
      </c>
      <c r="C2023" t="str">
        <f t="shared" si="250"/>
        <v>PRA</v>
      </c>
      <c r="D2023">
        <v>15</v>
      </c>
      <c r="E2023" t="str">
        <f t="shared" si="249"/>
        <v>305</v>
      </c>
      <c r="F2023" t="str">
        <f>"24"</f>
        <v>24</v>
      </c>
    </row>
    <row r="2024" spans="1:6">
      <c r="A2024" t="str">
        <f>"E1086-45"</f>
        <v>E1086-45</v>
      </c>
      <c r="B2024" t="str">
        <f t="shared" si="251"/>
        <v>VIA ELIO VITTORINI  56-</v>
      </c>
      <c r="C2024" t="str">
        <f t="shared" si="250"/>
        <v>PRA</v>
      </c>
      <c r="D2024">
        <v>15</v>
      </c>
      <c r="E2024" t="str">
        <f t="shared" si="249"/>
        <v>305</v>
      </c>
      <c r="F2024" t="str">
        <f>"25"</f>
        <v>25</v>
      </c>
    </row>
    <row r="2025" spans="1:6">
      <c r="A2025" t="str">
        <f>"E1086-46"</f>
        <v>E1086-46</v>
      </c>
      <c r="B2025" t="str">
        <f t="shared" si="251"/>
        <v>VIA ELIO VITTORINI  56-</v>
      </c>
      <c r="C2025" t="str">
        <f t="shared" si="250"/>
        <v>PRA</v>
      </c>
      <c r="D2025">
        <v>15</v>
      </c>
      <c r="E2025" t="str">
        <f t="shared" si="249"/>
        <v>305</v>
      </c>
      <c r="F2025" t="str">
        <f>"26"</f>
        <v>26</v>
      </c>
    </row>
    <row r="2026" spans="1:6">
      <c r="A2026" t="str">
        <f>"E1086-47"</f>
        <v>E1086-47</v>
      </c>
      <c r="B2026" t="str">
        <f t="shared" si="251"/>
        <v>VIA ELIO VITTORINI  56-</v>
      </c>
      <c r="C2026" t="str">
        <f t="shared" si="250"/>
        <v>PRA</v>
      </c>
      <c r="D2026">
        <v>15</v>
      </c>
      <c r="E2026" t="str">
        <f t="shared" si="249"/>
        <v>305</v>
      </c>
      <c r="F2026" t="str">
        <f>"27"</f>
        <v>27</v>
      </c>
    </row>
    <row r="2027" spans="1:6">
      <c r="A2027" t="str">
        <f>"E1086-48"</f>
        <v>E1086-48</v>
      </c>
      <c r="B2027" t="str">
        <f>"VIA ELIO VITTORINI  58-"</f>
        <v>VIA ELIO VITTORINI  58-</v>
      </c>
      <c r="C2027" t="str">
        <f t="shared" si="250"/>
        <v>PRA</v>
      </c>
      <c r="D2027">
        <v>15</v>
      </c>
      <c r="E2027" t="str">
        <f t="shared" si="249"/>
        <v>305</v>
      </c>
      <c r="F2027" t="str">
        <f>"49"</f>
        <v>49</v>
      </c>
    </row>
    <row r="2028" spans="1:6">
      <c r="A2028" t="str">
        <f>"E1086-49"</f>
        <v>E1086-49</v>
      </c>
      <c r="B2028" t="str">
        <f>"VIA ELIO VITTORINI  58-"</f>
        <v>VIA ELIO VITTORINI  58-</v>
      </c>
      <c r="C2028" t="str">
        <f t="shared" si="250"/>
        <v>PRA</v>
      </c>
      <c r="D2028">
        <v>15</v>
      </c>
      <c r="E2028" t="str">
        <f t="shared" si="249"/>
        <v>305</v>
      </c>
      <c r="F2028" t="str">
        <f>"50"</f>
        <v>50</v>
      </c>
    </row>
    <row r="2029" spans="1:6">
      <c r="A2029" t="str">
        <f>"E1086-50"</f>
        <v>E1086-50</v>
      </c>
      <c r="B2029" t="str">
        <f>"VIA ELIO VITTORINI  58-"</f>
        <v>VIA ELIO VITTORINI  58-</v>
      </c>
      <c r="C2029" t="str">
        <f t="shared" si="250"/>
        <v>PRA</v>
      </c>
      <c r="D2029">
        <v>15</v>
      </c>
      <c r="E2029" t="str">
        <f t="shared" si="249"/>
        <v>305</v>
      </c>
      <c r="F2029" t="str">
        <f>"51"</f>
        <v>51</v>
      </c>
    </row>
    <row r="2030" spans="1:6">
      <c r="A2030" t="str">
        <f>"E1086-51"</f>
        <v>E1086-51</v>
      </c>
      <c r="B2030" t="str">
        <f>"VIA ELIO VITTORINI  58-"</f>
        <v>VIA ELIO VITTORINI  58-</v>
      </c>
      <c r="C2030" t="str">
        <f t="shared" si="250"/>
        <v>PRA</v>
      </c>
      <c r="D2030">
        <v>15</v>
      </c>
      <c r="E2030" t="str">
        <f t="shared" si="249"/>
        <v>305</v>
      </c>
      <c r="F2030" t="str">
        <f>"52"</f>
        <v>52</v>
      </c>
    </row>
    <row r="2031" spans="1:6">
      <c r="A2031" t="str">
        <f>"E1086-52"</f>
        <v>E1086-52</v>
      </c>
      <c r="B2031" t="str">
        <f>"VIA ELIO VITTORINI  60-"</f>
        <v>VIA ELIO VITTORINI  60-</v>
      </c>
      <c r="C2031" t="str">
        <f t="shared" si="250"/>
        <v>PRA</v>
      </c>
      <c r="D2031">
        <v>15</v>
      </c>
      <c r="E2031" t="str">
        <f t="shared" si="249"/>
        <v>305</v>
      </c>
      <c r="F2031" t="str">
        <f>"63"</f>
        <v>63</v>
      </c>
    </row>
    <row r="2032" spans="1:6">
      <c r="A2032" t="str">
        <f>"E1086-53"</f>
        <v>E1086-53</v>
      </c>
      <c r="B2032" t="str">
        <f>"VIA ELIO VITTORINI  60-"</f>
        <v>VIA ELIO VITTORINI  60-</v>
      </c>
      <c r="C2032" t="str">
        <f t="shared" si="250"/>
        <v>PRA</v>
      </c>
      <c r="D2032">
        <v>15</v>
      </c>
      <c r="E2032" t="str">
        <f t="shared" si="249"/>
        <v>305</v>
      </c>
      <c r="F2032" t="str">
        <f>"64"</f>
        <v>64</v>
      </c>
    </row>
    <row r="2033" spans="1:6">
      <c r="A2033" t="str">
        <f>"E1086-54"</f>
        <v>E1086-54</v>
      </c>
      <c r="B2033" t="str">
        <f>"VIA ELIO VITTORINI  60-"</f>
        <v>VIA ELIO VITTORINI  60-</v>
      </c>
      <c r="C2033" t="str">
        <f t="shared" si="250"/>
        <v>PRA</v>
      </c>
      <c r="D2033">
        <v>15</v>
      </c>
      <c r="E2033" t="str">
        <f t="shared" si="249"/>
        <v>305</v>
      </c>
      <c r="F2033" t="str">
        <f>"65"</f>
        <v>65</v>
      </c>
    </row>
    <row r="2034" spans="1:6">
      <c r="A2034" t="str">
        <f>"E1086-55"</f>
        <v>E1086-55</v>
      </c>
      <c r="B2034" t="str">
        <f>"VIA ELIO VITTORINI  60-"</f>
        <v>VIA ELIO VITTORINI  60-</v>
      </c>
      <c r="C2034" t="str">
        <f t="shared" si="250"/>
        <v>PRA</v>
      </c>
      <c r="D2034">
        <v>15</v>
      </c>
      <c r="E2034" t="str">
        <f t="shared" si="249"/>
        <v>305</v>
      </c>
      <c r="F2034" t="str">
        <f>"67"</f>
        <v>67</v>
      </c>
    </row>
    <row r="2035" spans="1:6">
      <c r="A2035" t="str">
        <f>"E1086-56"</f>
        <v>E1086-56</v>
      </c>
      <c r="B2035" t="str">
        <f>"VIA ELIO VITTORINI  60-"</f>
        <v>VIA ELIO VITTORINI  60-</v>
      </c>
      <c r="C2035" t="str">
        <f t="shared" si="250"/>
        <v>PRA</v>
      </c>
      <c r="D2035">
        <v>15</v>
      </c>
      <c r="E2035" t="str">
        <f t="shared" si="249"/>
        <v>305</v>
      </c>
      <c r="F2035" t="str">
        <f>"68"</f>
        <v>68</v>
      </c>
    </row>
    <row r="2036" spans="1:6">
      <c r="A2036" t="str">
        <f>"E1086-57"</f>
        <v>E1086-57</v>
      </c>
      <c r="B2036" t="str">
        <f>"VIA ELIO VITTORINI  62-"</f>
        <v>VIA ELIO VITTORINI  62-</v>
      </c>
      <c r="C2036" t="str">
        <f t="shared" si="250"/>
        <v>PRA</v>
      </c>
      <c r="D2036">
        <v>15</v>
      </c>
      <c r="E2036" t="str">
        <f t="shared" si="249"/>
        <v>305</v>
      </c>
      <c r="F2036" t="str">
        <f>"72"</f>
        <v>72</v>
      </c>
    </row>
    <row r="2037" spans="1:6">
      <c r="A2037" t="str">
        <f>"E1086-58"</f>
        <v>E1086-58</v>
      </c>
      <c r="B2037" t="str">
        <f>"VIA ELIO VITTORINI  62-"</f>
        <v>VIA ELIO VITTORINI  62-</v>
      </c>
      <c r="C2037" t="str">
        <f t="shared" si="250"/>
        <v>PRA</v>
      </c>
      <c r="D2037">
        <v>15</v>
      </c>
      <c r="E2037" t="str">
        <f t="shared" si="249"/>
        <v>305</v>
      </c>
      <c r="F2037" t="str">
        <f>"73"</f>
        <v>73</v>
      </c>
    </row>
    <row r="2038" spans="1:6">
      <c r="A2038" t="str">
        <f>"E1086-59"</f>
        <v>E1086-59</v>
      </c>
      <c r="B2038" t="str">
        <f>"VIA ELIO VITTORINI  62-"</f>
        <v>VIA ELIO VITTORINI  62-</v>
      </c>
      <c r="C2038" t="str">
        <f t="shared" si="250"/>
        <v>PRA</v>
      </c>
      <c r="D2038">
        <v>15</v>
      </c>
      <c r="E2038" t="str">
        <f t="shared" si="249"/>
        <v>305</v>
      </c>
      <c r="F2038" t="str">
        <f>"74"</f>
        <v>74</v>
      </c>
    </row>
    <row r="2039" spans="1:6">
      <c r="A2039" t="str">
        <f>"E1086-60"</f>
        <v>E1086-60</v>
      </c>
      <c r="B2039" t="str">
        <f>"VIA ELIO VITTORINI  62-"</f>
        <v>VIA ELIO VITTORINI  62-</v>
      </c>
      <c r="C2039" t="str">
        <f t="shared" si="250"/>
        <v>PRA</v>
      </c>
      <c r="D2039">
        <v>15</v>
      </c>
      <c r="E2039" t="str">
        <f t="shared" si="249"/>
        <v>305</v>
      </c>
      <c r="F2039" t="str">
        <f>"75"</f>
        <v>75</v>
      </c>
    </row>
    <row r="2040" spans="1:6">
      <c r="A2040" t="str">
        <f>"E1086-61"</f>
        <v>E1086-61</v>
      </c>
      <c r="B2040" t="str">
        <f>"VIA ELIO VITTORINI  62-"</f>
        <v>VIA ELIO VITTORINI  62-</v>
      </c>
      <c r="C2040" t="str">
        <f t="shared" si="250"/>
        <v>PRA</v>
      </c>
      <c r="D2040">
        <v>15</v>
      </c>
      <c r="E2040" t="str">
        <f t="shared" si="249"/>
        <v>305</v>
      </c>
      <c r="F2040" t="str">
        <f>"77"</f>
        <v>77</v>
      </c>
    </row>
    <row r="2041" spans="1:6">
      <c r="A2041" t="str">
        <f>"E1086-62"</f>
        <v>E1086-62</v>
      </c>
      <c r="B2041" t="str">
        <f>"VIA ELIO VITTORINI  64-"</f>
        <v>VIA ELIO VITTORINI  64-</v>
      </c>
      <c r="C2041" t="str">
        <f t="shared" si="250"/>
        <v>PRA</v>
      </c>
      <c r="D2041">
        <v>15</v>
      </c>
      <c r="E2041" t="str">
        <f t="shared" si="249"/>
        <v>305</v>
      </c>
      <c r="F2041" t="str">
        <f>"79"</f>
        <v>79</v>
      </c>
    </row>
    <row r="2042" spans="1:6">
      <c r="A2042" t="str">
        <f>"E1086-63"</f>
        <v>E1086-63</v>
      </c>
      <c r="B2042" t="str">
        <f>"VIA ELIO VITTORINI  66-"</f>
        <v>VIA ELIO VITTORINI  66-</v>
      </c>
      <c r="C2042" t="str">
        <f t="shared" si="250"/>
        <v>PRA</v>
      </c>
      <c r="D2042">
        <v>15</v>
      </c>
      <c r="E2042" t="str">
        <f t="shared" si="249"/>
        <v>305</v>
      </c>
      <c r="F2042" t="str">
        <f>"80"</f>
        <v>80</v>
      </c>
    </row>
    <row r="2043" spans="1:6">
      <c r="A2043" t="str">
        <f>"E1086-64"</f>
        <v>E1086-64</v>
      </c>
      <c r="B2043" t="str">
        <f>"VIA ELIO VITTORINI  66-"</f>
        <v>VIA ELIO VITTORINI  66-</v>
      </c>
      <c r="C2043" t="str">
        <f t="shared" si="250"/>
        <v>PRA</v>
      </c>
      <c r="D2043">
        <v>15</v>
      </c>
      <c r="E2043" t="str">
        <f t="shared" si="249"/>
        <v>305</v>
      </c>
      <c r="F2043" t="str">
        <f>"81"</f>
        <v>81</v>
      </c>
    </row>
    <row r="2044" spans="1:6">
      <c r="A2044" t="str">
        <f>"E1086-65"</f>
        <v>E1086-65</v>
      </c>
      <c r="B2044" t="str">
        <f t="shared" ref="B2044:B2049" si="252">"VIA ELIO VITTORINI  52-"</f>
        <v>VIA ELIO VITTORINI  52-</v>
      </c>
      <c r="C2044" t="str">
        <f t="shared" ref="C2044:C2078" si="253">"3"</f>
        <v>3</v>
      </c>
      <c r="D2044">
        <v>15</v>
      </c>
      <c r="E2044" t="str">
        <f t="shared" ref="E2044:E2078" si="254">"107"</f>
        <v>107</v>
      </c>
      <c r="F2044" t="str">
        <f t="shared" ref="F2044:F2078" si="255">"0000"</f>
        <v>0000</v>
      </c>
    </row>
    <row r="2045" spans="1:6">
      <c r="A2045" t="str">
        <f>"E1086-66"</f>
        <v>E1086-66</v>
      </c>
      <c r="B2045" t="str">
        <f t="shared" si="252"/>
        <v>VIA ELIO VITTORINI  52-</v>
      </c>
      <c r="C2045" t="str">
        <f t="shared" si="253"/>
        <v>3</v>
      </c>
      <c r="D2045">
        <v>15</v>
      </c>
      <c r="E2045" t="str">
        <f t="shared" si="254"/>
        <v>107</v>
      </c>
      <c r="F2045" t="str">
        <f t="shared" si="255"/>
        <v>0000</v>
      </c>
    </row>
    <row r="2046" spans="1:6">
      <c r="A2046" t="str">
        <f>"E1086-67"</f>
        <v>E1086-67</v>
      </c>
      <c r="B2046" t="str">
        <f t="shared" si="252"/>
        <v>VIA ELIO VITTORINI  52-</v>
      </c>
      <c r="C2046" t="str">
        <f t="shared" si="253"/>
        <v>3</v>
      </c>
      <c r="D2046">
        <v>15</v>
      </c>
      <c r="E2046" t="str">
        <f t="shared" si="254"/>
        <v>107</v>
      </c>
      <c r="F2046" t="str">
        <f t="shared" si="255"/>
        <v>0000</v>
      </c>
    </row>
    <row r="2047" spans="1:6">
      <c r="A2047" t="str">
        <f>"E1086-68"</f>
        <v>E1086-68</v>
      </c>
      <c r="B2047" t="str">
        <f t="shared" si="252"/>
        <v>VIA ELIO VITTORINI  52-</v>
      </c>
      <c r="C2047" t="str">
        <f t="shared" si="253"/>
        <v>3</v>
      </c>
      <c r="D2047">
        <v>15</v>
      </c>
      <c r="E2047" t="str">
        <f t="shared" si="254"/>
        <v>107</v>
      </c>
      <c r="F2047" t="str">
        <f t="shared" si="255"/>
        <v>0000</v>
      </c>
    </row>
    <row r="2048" spans="1:6">
      <c r="A2048" t="str">
        <f>"E1086-69"</f>
        <v>E1086-69</v>
      </c>
      <c r="B2048" t="str">
        <f t="shared" si="252"/>
        <v>VIA ELIO VITTORINI  52-</v>
      </c>
      <c r="C2048" t="str">
        <f t="shared" si="253"/>
        <v>3</v>
      </c>
      <c r="D2048">
        <v>15</v>
      </c>
      <c r="E2048" t="str">
        <f t="shared" si="254"/>
        <v>107</v>
      </c>
      <c r="F2048" t="str">
        <f t="shared" si="255"/>
        <v>0000</v>
      </c>
    </row>
    <row r="2049" spans="1:6">
      <c r="A2049" t="str">
        <f>"E1086-70"</f>
        <v>E1086-70</v>
      </c>
      <c r="B2049" t="str">
        <f t="shared" si="252"/>
        <v>VIA ELIO VITTORINI  52-</v>
      </c>
      <c r="C2049" t="str">
        <f t="shared" si="253"/>
        <v>3</v>
      </c>
      <c r="D2049">
        <v>15</v>
      </c>
      <c r="E2049" t="str">
        <f t="shared" si="254"/>
        <v>107</v>
      </c>
      <c r="F2049" t="str">
        <f t="shared" si="255"/>
        <v>0000</v>
      </c>
    </row>
    <row r="2050" spans="1:6">
      <c r="A2050" t="str">
        <f>"E1086-71"</f>
        <v>E1086-71</v>
      </c>
      <c r="B2050" t="str">
        <f t="shared" ref="B2050:B2055" si="256">"VIA ELIO VITTORINI  54-"</f>
        <v>VIA ELIO VITTORINI  54-</v>
      </c>
      <c r="C2050" t="str">
        <f t="shared" si="253"/>
        <v>3</v>
      </c>
      <c r="D2050">
        <v>15</v>
      </c>
      <c r="E2050" t="str">
        <f t="shared" si="254"/>
        <v>107</v>
      </c>
      <c r="F2050" t="str">
        <f t="shared" si="255"/>
        <v>0000</v>
      </c>
    </row>
    <row r="2051" spans="1:6">
      <c r="A2051" t="str">
        <f>"E1086-72"</f>
        <v>E1086-72</v>
      </c>
      <c r="B2051" t="str">
        <f t="shared" si="256"/>
        <v>VIA ELIO VITTORINI  54-</v>
      </c>
      <c r="C2051" t="str">
        <f t="shared" si="253"/>
        <v>3</v>
      </c>
      <c r="D2051">
        <v>15</v>
      </c>
      <c r="E2051" t="str">
        <f t="shared" si="254"/>
        <v>107</v>
      </c>
      <c r="F2051" t="str">
        <f t="shared" si="255"/>
        <v>0000</v>
      </c>
    </row>
    <row r="2052" spans="1:6">
      <c r="A2052" t="str">
        <f>"E1086-73"</f>
        <v>E1086-73</v>
      </c>
      <c r="B2052" t="str">
        <f t="shared" si="256"/>
        <v>VIA ELIO VITTORINI  54-</v>
      </c>
      <c r="C2052" t="str">
        <f t="shared" si="253"/>
        <v>3</v>
      </c>
      <c r="D2052">
        <v>15</v>
      </c>
      <c r="E2052" t="str">
        <f t="shared" si="254"/>
        <v>107</v>
      </c>
      <c r="F2052" t="str">
        <f t="shared" si="255"/>
        <v>0000</v>
      </c>
    </row>
    <row r="2053" spans="1:6">
      <c r="A2053" t="str">
        <f>"E1086-74"</f>
        <v>E1086-74</v>
      </c>
      <c r="B2053" t="str">
        <f t="shared" si="256"/>
        <v>VIA ELIO VITTORINI  54-</v>
      </c>
      <c r="C2053" t="str">
        <f t="shared" si="253"/>
        <v>3</v>
      </c>
      <c r="D2053">
        <v>15</v>
      </c>
      <c r="E2053" t="str">
        <f t="shared" si="254"/>
        <v>107</v>
      </c>
      <c r="F2053" t="str">
        <f t="shared" si="255"/>
        <v>0000</v>
      </c>
    </row>
    <row r="2054" spans="1:6">
      <c r="A2054" t="str">
        <f>"E1086-75"</f>
        <v>E1086-75</v>
      </c>
      <c r="B2054" t="str">
        <f t="shared" si="256"/>
        <v>VIA ELIO VITTORINI  54-</v>
      </c>
      <c r="C2054" t="str">
        <f t="shared" si="253"/>
        <v>3</v>
      </c>
      <c r="D2054">
        <v>15</v>
      </c>
      <c r="E2054" t="str">
        <f t="shared" si="254"/>
        <v>107</v>
      </c>
      <c r="F2054" t="str">
        <f t="shared" si="255"/>
        <v>0000</v>
      </c>
    </row>
    <row r="2055" spans="1:6">
      <c r="A2055" t="str">
        <f>"E1086-76"</f>
        <v>E1086-76</v>
      </c>
      <c r="B2055" t="str">
        <f t="shared" si="256"/>
        <v>VIA ELIO VITTORINI  54-</v>
      </c>
      <c r="C2055" t="str">
        <f t="shared" si="253"/>
        <v>3</v>
      </c>
      <c r="D2055">
        <v>15</v>
      </c>
      <c r="E2055" t="str">
        <f t="shared" si="254"/>
        <v>107</v>
      </c>
      <c r="F2055" t="str">
        <f t="shared" si="255"/>
        <v>0000</v>
      </c>
    </row>
    <row r="2056" spans="1:6">
      <c r="A2056" t="str">
        <f>"E1086-77"</f>
        <v>E1086-77</v>
      </c>
      <c r="B2056" t="str">
        <f t="shared" ref="B2056:B2061" si="257">"VIA ELIO VITTORINI  56-"</f>
        <v>VIA ELIO VITTORINI  56-</v>
      </c>
      <c r="C2056" t="str">
        <f t="shared" si="253"/>
        <v>3</v>
      </c>
      <c r="D2056">
        <v>15</v>
      </c>
      <c r="E2056" t="str">
        <f t="shared" si="254"/>
        <v>107</v>
      </c>
      <c r="F2056" t="str">
        <f t="shared" si="255"/>
        <v>0000</v>
      </c>
    </row>
    <row r="2057" spans="1:6">
      <c r="A2057" t="str">
        <f>"E1086-78"</f>
        <v>E1086-78</v>
      </c>
      <c r="B2057" t="str">
        <f t="shared" si="257"/>
        <v>VIA ELIO VITTORINI  56-</v>
      </c>
      <c r="C2057" t="str">
        <f t="shared" si="253"/>
        <v>3</v>
      </c>
      <c r="D2057">
        <v>15</v>
      </c>
      <c r="E2057" t="str">
        <f t="shared" si="254"/>
        <v>107</v>
      </c>
      <c r="F2057" t="str">
        <f t="shared" si="255"/>
        <v>0000</v>
      </c>
    </row>
    <row r="2058" spans="1:6">
      <c r="A2058" t="str">
        <f>"E1086-79"</f>
        <v>E1086-79</v>
      </c>
      <c r="B2058" t="str">
        <f t="shared" si="257"/>
        <v>VIA ELIO VITTORINI  56-</v>
      </c>
      <c r="C2058" t="str">
        <f t="shared" si="253"/>
        <v>3</v>
      </c>
      <c r="D2058">
        <v>15</v>
      </c>
      <c r="E2058" t="str">
        <f t="shared" si="254"/>
        <v>107</v>
      </c>
      <c r="F2058" t="str">
        <f t="shared" si="255"/>
        <v>0000</v>
      </c>
    </row>
    <row r="2059" spans="1:6">
      <c r="A2059" t="str">
        <f>"E1086-80"</f>
        <v>E1086-80</v>
      </c>
      <c r="B2059" t="str">
        <f t="shared" si="257"/>
        <v>VIA ELIO VITTORINI  56-</v>
      </c>
      <c r="C2059" t="str">
        <f t="shared" si="253"/>
        <v>3</v>
      </c>
      <c r="D2059">
        <v>15</v>
      </c>
      <c r="E2059" t="str">
        <f t="shared" si="254"/>
        <v>107</v>
      </c>
      <c r="F2059" t="str">
        <f t="shared" si="255"/>
        <v>0000</v>
      </c>
    </row>
    <row r="2060" spans="1:6">
      <c r="A2060" t="str">
        <f>"E1086-81"</f>
        <v>E1086-81</v>
      </c>
      <c r="B2060" t="str">
        <f t="shared" si="257"/>
        <v>VIA ELIO VITTORINI  56-</v>
      </c>
      <c r="C2060" t="str">
        <f t="shared" si="253"/>
        <v>3</v>
      </c>
      <c r="D2060">
        <v>15</v>
      </c>
      <c r="E2060" t="str">
        <f t="shared" si="254"/>
        <v>107</v>
      </c>
      <c r="F2060" t="str">
        <f t="shared" si="255"/>
        <v>0000</v>
      </c>
    </row>
    <row r="2061" spans="1:6">
      <c r="A2061" t="str">
        <f>"E1086-82"</f>
        <v>E1086-82</v>
      </c>
      <c r="B2061" t="str">
        <f t="shared" si="257"/>
        <v>VIA ELIO VITTORINI  56-</v>
      </c>
      <c r="C2061" t="str">
        <f t="shared" si="253"/>
        <v>3</v>
      </c>
      <c r="D2061">
        <v>15</v>
      </c>
      <c r="E2061" t="str">
        <f t="shared" si="254"/>
        <v>107</v>
      </c>
      <c r="F2061" t="str">
        <f t="shared" si="255"/>
        <v>0000</v>
      </c>
    </row>
    <row r="2062" spans="1:6">
      <c r="A2062" t="str">
        <f>"E1086-83"</f>
        <v>E1086-83</v>
      </c>
      <c r="B2062" t="str">
        <f>"VIA ELIO VITTORINI  58-"</f>
        <v>VIA ELIO VITTORINI  58-</v>
      </c>
      <c r="C2062" t="str">
        <f t="shared" si="253"/>
        <v>3</v>
      </c>
      <c r="D2062">
        <v>15</v>
      </c>
      <c r="E2062" t="str">
        <f t="shared" si="254"/>
        <v>107</v>
      </c>
      <c r="F2062" t="str">
        <f t="shared" si="255"/>
        <v>0000</v>
      </c>
    </row>
    <row r="2063" spans="1:6">
      <c r="A2063" t="str">
        <f>"E1086-84"</f>
        <v>E1086-84</v>
      </c>
      <c r="B2063" t="str">
        <f>"VIA ELIO VITTORINI  58-"</f>
        <v>VIA ELIO VITTORINI  58-</v>
      </c>
      <c r="C2063" t="str">
        <f t="shared" si="253"/>
        <v>3</v>
      </c>
      <c r="D2063">
        <v>15</v>
      </c>
      <c r="E2063" t="str">
        <f t="shared" si="254"/>
        <v>107</v>
      </c>
      <c r="F2063" t="str">
        <f t="shared" si="255"/>
        <v>0000</v>
      </c>
    </row>
    <row r="2064" spans="1:6">
      <c r="A2064" t="str">
        <f>"E1086-85"</f>
        <v>E1086-85</v>
      </c>
      <c r="B2064" t="str">
        <f>"VIA ELIO VITTORINI  58-"</f>
        <v>VIA ELIO VITTORINI  58-</v>
      </c>
      <c r="C2064" t="str">
        <f t="shared" si="253"/>
        <v>3</v>
      </c>
      <c r="D2064">
        <v>15</v>
      </c>
      <c r="E2064" t="str">
        <f t="shared" si="254"/>
        <v>107</v>
      </c>
      <c r="F2064" t="str">
        <f t="shared" si="255"/>
        <v>0000</v>
      </c>
    </row>
    <row r="2065" spans="1:6">
      <c r="A2065" t="str">
        <f>"E1086-86"</f>
        <v>E1086-86</v>
      </c>
      <c r="B2065" t="str">
        <f>"VIA ELIO VITTORINI  58-"</f>
        <v>VIA ELIO VITTORINI  58-</v>
      </c>
      <c r="C2065" t="str">
        <f t="shared" si="253"/>
        <v>3</v>
      </c>
      <c r="D2065">
        <v>15</v>
      </c>
      <c r="E2065" t="str">
        <f t="shared" si="254"/>
        <v>107</v>
      </c>
      <c r="F2065" t="str">
        <f t="shared" si="255"/>
        <v>0000</v>
      </c>
    </row>
    <row r="2066" spans="1:6">
      <c r="A2066" t="str">
        <f>"E1086-87"</f>
        <v>E1086-87</v>
      </c>
      <c r="B2066" t="str">
        <f t="shared" ref="B2066:B2078" si="258">"VIA ELIO VITTORINI  60-"</f>
        <v>VIA ELIO VITTORINI  60-</v>
      </c>
      <c r="C2066" t="str">
        <f t="shared" si="253"/>
        <v>3</v>
      </c>
      <c r="D2066">
        <v>15</v>
      </c>
      <c r="E2066" t="str">
        <f t="shared" si="254"/>
        <v>107</v>
      </c>
      <c r="F2066" t="str">
        <f t="shared" si="255"/>
        <v>0000</v>
      </c>
    </row>
    <row r="2067" spans="1:6">
      <c r="A2067" t="str">
        <f>"E1086-88"</f>
        <v>E1086-88</v>
      </c>
      <c r="B2067" t="str">
        <f t="shared" si="258"/>
        <v>VIA ELIO VITTORINI  60-</v>
      </c>
      <c r="C2067" t="str">
        <f t="shared" si="253"/>
        <v>3</v>
      </c>
      <c r="D2067">
        <v>15</v>
      </c>
      <c r="E2067" t="str">
        <f t="shared" si="254"/>
        <v>107</v>
      </c>
      <c r="F2067" t="str">
        <f t="shared" si="255"/>
        <v>0000</v>
      </c>
    </row>
    <row r="2068" spans="1:6">
      <c r="A2068" t="str">
        <f>"E1086-89"</f>
        <v>E1086-89</v>
      </c>
      <c r="B2068" t="str">
        <f t="shared" si="258"/>
        <v>VIA ELIO VITTORINI  60-</v>
      </c>
      <c r="C2068" t="str">
        <f t="shared" si="253"/>
        <v>3</v>
      </c>
      <c r="D2068">
        <v>15</v>
      </c>
      <c r="E2068" t="str">
        <f t="shared" si="254"/>
        <v>107</v>
      </c>
      <c r="F2068" t="str">
        <f t="shared" si="255"/>
        <v>0000</v>
      </c>
    </row>
    <row r="2069" spans="1:6">
      <c r="A2069" t="str">
        <f>"E1086-90"</f>
        <v>E1086-90</v>
      </c>
      <c r="B2069" t="str">
        <f t="shared" si="258"/>
        <v>VIA ELIO VITTORINI  60-</v>
      </c>
      <c r="C2069" t="str">
        <f t="shared" si="253"/>
        <v>3</v>
      </c>
      <c r="D2069">
        <v>15</v>
      </c>
      <c r="E2069" t="str">
        <f t="shared" si="254"/>
        <v>107</v>
      </c>
      <c r="F2069" t="str">
        <f t="shared" si="255"/>
        <v>0000</v>
      </c>
    </row>
    <row r="2070" spans="1:6">
      <c r="A2070" t="str">
        <f>"E1086-91"</f>
        <v>E1086-91</v>
      </c>
      <c r="B2070" t="str">
        <f t="shared" si="258"/>
        <v>VIA ELIO VITTORINI  60-</v>
      </c>
      <c r="C2070" t="str">
        <f t="shared" si="253"/>
        <v>3</v>
      </c>
      <c r="D2070">
        <v>15</v>
      </c>
      <c r="E2070" t="str">
        <f t="shared" si="254"/>
        <v>107</v>
      </c>
      <c r="F2070" t="str">
        <f t="shared" si="255"/>
        <v>0000</v>
      </c>
    </row>
    <row r="2071" spans="1:6">
      <c r="A2071" t="str">
        <f>"E1086-92"</f>
        <v>E1086-92</v>
      </c>
      <c r="B2071" t="str">
        <f t="shared" si="258"/>
        <v>VIA ELIO VITTORINI  60-</v>
      </c>
      <c r="C2071" t="str">
        <f t="shared" si="253"/>
        <v>3</v>
      </c>
      <c r="D2071">
        <v>15</v>
      </c>
      <c r="E2071" t="str">
        <f t="shared" si="254"/>
        <v>107</v>
      </c>
      <c r="F2071" t="str">
        <f t="shared" si="255"/>
        <v>0000</v>
      </c>
    </row>
    <row r="2072" spans="1:6">
      <c r="A2072" t="str">
        <f>"E1086-93"</f>
        <v>E1086-93</v>
      </c>
      <c r="B2072" t="str">
        <f t="shared" si="258"/>
        <v>VIA ELIO VITTORINI  60-</v>
      </c>
      <c r="C2072" t="str">
        <f t="shared" si="253"/>
        <v>3</v>
      </c>
      <c r="D2072">
        <v>15</v>
      </c>
      <c r="E2072" t="str">
        <f t="shared" si="254"/>
        <v>107</v>
      </c>
      <c r="F2072" t="str">
        <f t="shared" si="255"/>
        <v>0000</v>
      </c>
    </row>
    <row r="2073" spans="1:6">
      <c r="A2073" t="str">
        <f>"E1086-94"</f>
        <v>E1086-94</v>
      </c>
      <c r="B2073" t="str">
        <f t="shared" si="258"/>
        <v>VIA ELIO VITTORINI  60-</v>
      </c>
      <c r="C2073" t="str">
        <f t="shared" si="253"/>
        <v>3</v>
      </c>
      <c r="D2073">
        <v>15</v>
      </c>
      <c r="E2073" t="str">
        <f t="shared" si="254"/>
        <v>107</v>
      </c>
      <c r="F2073" t="str">
        <f t="shared" si="255"/>
        <v>0000</v>
      </c>
    </row>
    <row r="2074" spans="1:6">
      <c r="A2074" t="str">
        <f>"E1086-95"</f>
        <v>E1086-95</v>
      </c>
      <c r="B2074" t="str">
        <f t="shared" si="258"/>
        <v>VIA ELIO VITTORINI  60-</v>
      </c>
      <c r="C2074" t="str">
        <f t="shared" si="253"/>
        <v>3</v>
      </c>
      <c r="D2074">
        <v>15</v>
      </c>
      <c r="E2074" t="str">
        <f t="shared" si="254"/>
        <v>107</v>
      </c>
      <c r="F2074" t="str">
        <f t="shared" si="255"/>
        <v>0000</v>
      </c>
    </row>
    <row r="2075" spans="1:6">
      <c r="A2075" t="str">
        <f>"E1086-96"</f>
        <v>E1086-96</v>
      </c>
      <c r="B2075" t="str">
        <f t="shared" si="258"/>
        <v>VIA ELIO VITTORINI  60-</v>
      </c>
      <c r="C2075" t="str">
        <f t="shared" si="253"/>
        <v>3</v>
      </c>
      <c r="D2075">
        <v>15</v>
      </c>
      <c r="E2075" t="str">
        <f t="shared" si="254"/>
        <v>107</v>
      </c>
      <c r="F2075" t="str">
        <f t="shared" si="255"/>
        <v>0000</v>
      </c>
    </row>
    <row r="2076" spans="1:6">
      <c r="A2076" t="str">
        <f>"E1086-97"</f>
        <v>E1086-97</v>
      </c>
      <c r="B2076" t="str">
        <f t="shared" si="258"/>
        <v>VIA ELIO VITTORINI  60-</v>
      </c>
      <c r="C2076" t="str">
        <f t="shared" si="253"/>
        <v>3</v>
      </c>
      <c r="D2076">
        <v>15</v>
      </c>
      <c r="E2076" t="str">
        <f t="shared" si="254"/>
        <v>107</v>
      </c>
      <c r="F2076" t="str">
        <f t="shared" si="255"/>
        <v>0000</v>
      </c>
    </row>
    <row r="2077" spans="1:6">
      <c r="A2077" t="str">
        <f>"E1086-98"</f>
        <v>E1086-98</v>
      </c>
      <c r="B2077" t="str">
        <f t="shared" si="258"/>
        <v>VIA ELIO VITTORINI  60-</v>
      </c>
      <c r="C2077" t="str">
        <f t="shared" si="253"/>
        <v>3</v>
      </c>
      <c r="D2077">
        <v>15</v>
      </c>
      <c r="E2077" t="str">
        <f t="shared" si="254"/>
        <v>107</v>
      </c>
      <c r="F2077" t="str">
        <f t="shared" si="255"/>
        <v>0000</v>
      </c>
    </row>
    <row r="2078" spans="1:6">
      <c r="A2078" t="str">
        <f>"E1086-99"</f>
        <v>E1086-99</v>
      </c>
      <c r="B2078" t="str">
        <f t="shared" si="258"/>
        <v>VIA ELIO VITTORINI  60-</v>
      </c>
      <c r="C2078" t="str">
        <f t="shared" si="253"/>
        <v>3</v>
      </c>
      <c r="D2078">
        <v>15</v>
      </c>
      <c r="E2078" t="str">
        <f t="shared" si="254"/>
        <v>107</v>
      </c>
      <c r="F2078" t="str">
        <f t="shared" si="255"/>
        <v>0000</v>
      </c>
    </row>
    <row r="2079" spans="1:6">
      <c r="A2079" t="str">
        <f>"E1086-100"</f>
        <v>E1086-100</v>
      </c>
      <c r="B2079" t="str">
        <f t="shared" ref="B2079:B2110" si="259">"VIA ELIO VITTORINI  90-"</f>
        <v>VIA ELIO VITTORINI  90-</v>
      </c>
      <c r="C2079" t="str">
        <f t="shared" ref="C2079:C2110" si="260">"PRA"</f>
        <v>PRA</v>
      </c>
      <c r="D2079">
        <v>15</v>
      </c>
      <c r="E2079" t="str">
        <f t="shared" ref="E2079:E2110" si="261">"305"</f>
        <v>305</v>
      </c>
      <c r="F2079" t="str">
        <f>"115"</f>
        <v>115</v>
      </c>
    </row>
    <row r="2080" spans="1:6">
      <c r="A2080" t="str">
        <f>"E1086-101"</f>
        <v>E1086-101</v>
      </c>
      <c r="B2080" t="str">
        <f t="shared" si="259"/>
        <v>VIA ELIO VITTORINI  90-</v>
      </c>
      <c r="C2080" t="str">
        <f t="shared" si="260"/>
        <v>PRA</v>
      </c>
      <c r="D2080">
        <v>15</v>
      </c>
      <c r="E2080" t="str">
        <f t="shared" si="261"/>
        <v>305</v>
      </c>
      <c r="F2080" t="str">
        <f>"116"</f>
        <v>116</v>
      </c>
    </row>
    <row r="2081" spans="1:6">
      <c r="A2081" t="str">
        <f>"E1086-102"</f>
        <v>E1086-102</v>
      </c>
      <c r="B2081" t="str">
        <f t="shared" si="259"/>
        <v>VIA ELIO VITTORINI  90-</v>
      </c>
      <c r="C2081" t="str">
        <f t="shared" si="260"/>
        <v>PRA</v>
      </c>
      <c r="D2081">
        <v>15</v>
      </c>
      <c r="E2081" t="str">
        <f t="shared" si="261"/>
        <v>305</v>
      </c>
      <c r="F2081" t="str">
        <f>"117"</f>
        <v>117</v>
      </c>
    </row>
    <row r="2082" spans="1:6">
      <c r="A2082" t="str">
        <f>"E1086-103"</f>
        <v>E1086-103</v>
      </c>
      <c r="B2082" t="str">
        <f t="shared" si="259"/>
        <v>VIA ELIO VITTORINI  90-</v>
      </c>
      <c r="C2082" t="str">
        <f t="shared" si="260"/>
        <v>PRA</v>
      </c>
      <c r="D2082">
        <v>15</v>
      </c>
      <c r="E2082" t="str">
        <f t="shared" si="261"/>
        <v>305</v>
      </c>
      <c r="F2082" t="str">
        <f>"118"</f>
        <v>118</v>
      </c>
    </row>
    <row r="2083" spans="1:6">
      <c r="A2083" t="str">
        <f>"E1086-104"</f>
        <v>E1086-104</v>
      </c>
      <c r="B2083" t="str">
        <f t="shared" si="259"/>
        <v>VIA ELIO VITTORINI  90-</v>
      </c>
      <c r="C2083" t="str">
        <f t="shared" si="260"/>
        <v>PRA</v>
      </c>
      <c r="D2083">
        <v>15</v>
      </c>
      <c r="E2083" t="str">
        <f t="shared" si="261"/>
        <v>305</v>
      </c>
      <c r="F2083" t="str">
        <f>"119"</f>
        <v>119</v>
      </c>
    </row>
    <row r="2084" spans="1:6">
      <c r="A2084" t="str">
        <f>"E1086-105"</f>
        <v>E1086-105</v>
      </c>
      <c r="B2084" t="str">
        <f t="shared" si="259"/>
        <v>VIA ELIO VITTORINI  90-</v>
      </c>
      <c r="C2084" t="str">
        <f t="shared" si="260"/>
        <v>PRA</v>
      </c>
      <c r="D2084">
        <v>15</v>
      </c>
      <c r="E2084" t="str">
        <f t="shared" si="261"/>
        <v>305</v>
      </c>
      <c r="F2084" t="str">
        <f>"120"</f>
        <v>120</v>
      </c>
    </row>
    <row r="2085" spans="1:6">
      <c r="A2085" t="str">
        <f>"E1086-106"</f>
        <v>E1086-106</v>
      </c>
      <c r="B2085" t="str">
        <f t="shared" si="259"/>
        <v>VIA ELIO VITTORINI  90-</v>
      </c>
      <c r="C2085" t="str">
        <f t="shared" si="260"/>
        <v>PRA</v>
      </c>
      <c r="D2085">
        <v>15</v>
      </c>
      <c r="E2085" t="str">
        <f t="shared" si="261"/>
        <v>305</v>
      </c>
      <c r="F2085" t="str">
        <f>"121"</f>
        <v>121</v>
      </c>
    </row>
    <row r="2086" spans="1:6">
      <c r="A2086" t="str">
        <f>"E1086-107"</f>
        <v>E1086-107</v>
      </c>
      <c r="B2086" t="str">
        <f t="shared" si="259"/>
        <v>VIA ELIO VITTORINI  90-</v>
      </c>
      <c r="C2086" t="str">
        <f t="shared" si="260"/>
        <v>PRA</v>
      </c>
      <c r="D2086">
        <v>15</v>
      </c>
      <c r="E2086" t="str">
        <f t="shared" si="261"/>
        <v>305</v>
      </c>
      <c r="F2086" t="str">
        <f>"122"</f>
        <v>122</v>
      </c>
    </row>
    <row r="2087" spans="1:6">
      <c r="A2087" t="str">
        <f>"E1086-108"</f>
        <v>E1086-108</v>
      </c>
      <c r="B2087" t="str">
        <f t="shared" si="259"/>
        <v>VIA ELIO VITTORINI  90-</v>
      </c>
      <c r="C2087" t="str">
        <f t="shared" si="260"/>
        <v>PRA</v>
      </c>
      <c r="D2087">
        <v>15</v>
      </c>
      <c r="E2087" t="str">
        <f t="shared" si="261"/>
        <v>305</v>
      </c>
      <c r="F2087" t="str">
        <f>"123"</f>
        <v>123</v>
      </c>
    </row>
    <row r="2088" spans="1:6">
      <c r="A2088" t="str">
        <f>"E1086-109"</f>
        <v>E1086-109</v>
      </c>
      <c r="B2088" t="str">
        <f t="shared" si="259"/>
        <v>VIA ELIO VITTORINI  90-</v>
      </c>
      <c r="C2088" t="str">
        <f t="shared" si="260"/>
        <v>PRA</v>
      </c>
      <c r="D2088">
        <v>15</v>
      </c>
      <c r="E2088" t="str">
        <f t="shared" si="261"/>
        <v>305</v>
      </c>
      <c r="F2088" t="str">
        <f>"124"</f>
        <v>124</v>
      </c>
    </row>
    <row r="2089" spans="1:6">
      <c r="A2089" t="str">
        <f>"E1086-110"</f>
        <v>E1086-110</v>
      </c>
      <c r="B2089" t="str">
        <f t="shared" si="259"/>
        <v>VIA ELIO VITTORINI  90-</v>
      </c>
      <c r="C2089" t="str">
        <f t="shared" si="260"/>
        <v>PRA</v>
      </c>
      <c r="D2089">
        <v>15</v>
      </c>
      <c r="E2089" t="str">
        <f t="shared" si="261"/>
        <v>305</v>
      </c>
      <c r="F2089" t="str">
        <f>"125"</f>
        <v>125</v>
      </c>
    </row>
    <row r="2090" spans="1:6">
      <c r="A2090" t="str">
        <f>"E1086-111"</f>
        <v>E1086-111</v>
      </c>
      <c r="B2090" t="str">
        <f t="shared" si="259"/>
        <v>VIA ELIO VITTORINI  90-</v>
      </c>
      <c r="C2090" t="str">
        <f t="shared" si="260"/>
        <v>PRA</v>
      </c>
      <c r="D2090">
        <v>15</v>
      </c>
      <c r="E2090" t="str">
        <f t="shared" si="261"/>
        <v>305</v>
      </c>
      <c r="F2090" t="str">
        <f>"126"</f>
        <v>126</v>
      </c>
    </row>
    <row r="2091" spans="1:6">
      <c r="A2091" t="str">
        <f>"E1086-112"</f>
        <v>E1086-112</v>
      </c>
      <c r="B2091" t="str">
        <f t="shared" si="259"/>
        <v>VIA ELIO VITTORINI  90-</v>
      </c>
      <c r="C2091" t="str">
        <f t="shared" si="260"/>
        <v>PRA</v>
      </c>
      <c r="D2091">
        <v>15</v>
      </c>
      <c r="E2091" t="str">
        <f t="shared" si="261"/>
        <v>305</v>
      </c>
      <c r="F2091" t="str">
        <f>"139"</f>
        <v>139</v>
      </c>
    </row>
    <row r="2092" spans="1:6">
      <c r="A2092" t="str">
        <f>"E1086-113"</f>
        <v>E1086-113</v>
      </c>
      <c r="B2092" t="str">
        <f t="shared" si="259"/>
        <v>VIA ELIO VITTORINI  90-</v>
      </c>
      <c r="C2092" t="str">
        <f t="shared" si="260"/>
        <v>PRA</v>
      </c>
      <c r="D2092">
        <v>15</v>
      </c>
      <c r="E2092" t="str">
        <f t="shared" si="261"/>
        <v>305</v>
      </c>
      <c r="F2092" t="str">
        <f>"138"</f>
        <v>138</v>
      </c>
    </row>
    <row r="2093" spans="1:6">
      <c r="A2093" t="str">
        <f>"E1086-114"</f>
        <v>E1086-114</v>
      </c>
      <c r="B2093" t="str">
        <f t="shared" si="259"/>
        <v>VIA ELIO VITTORINI  90-</v>
      </c>
      <c r="C2093" t="str">
        <f t="shared" si="260"/>
        <v>PRA</v>
      </c>
      <c r="D2093">
        <v>15</v>
      </c>
      <c r="E2093" t="str">
        <f t="shared" si="261"/>
        <v>305</v>
      </c>
      <c r="F2093" t="str">
        <f>"137"</f>
        <v>137</v>
      </c>
    </row>
    <row r="2094" spans="1:6">
      <c r="A2094" t="str">
        <f>"E1086-115"</f>
        <v>E1086-115</v>
      </c>
      <c r="B2094" t="str">
        <f t="shared" si="259"/>
        <v>VIA ELIO VITTORINI  90-</v>
      </c>
      <c r="C2094" t="str">
        <f t="shared" si="260"/>
        <v>PRA</v>
      </c>
      <c r="D2094">
        <v>15</v>
      </c>
      <c r="E2094" t="str">
        <f t="shared" si="261"/>
        <v>305</v>
      </c>
      <c r="F2094" t="str">
        <f>"136"</f>
        <v>136</v>
      </c>
    </row>
    <row r="2095" spans="1:6">
      <c r="A2095" t="str">
        <f>"E1086-116"</f>
        <v>E1086-116</v>
      </c>
      <c r="B2095" t="str">
        <f t="shared" si="259"/>
        <v>VIA ELIO VITTORINI  90-</v>
      </c>
      <c r="C2095" t="str">
        <f t="shared" si="260"/>
        <v>PRA</v>
      </c>
      <c r="D2095">
        <v>15</v>
      </c>
      <c r="E2095" t="str">
        <f t="shared" si="261"/>
        <v>305</v>
      </c>
      <c r="F2095" t="str">
        <f>"135"</f>
        <v>135</v>
      </c>
    </row>
    <row r="2096" spans="1:6">
      <c r="A2096" t="str">
        <f>"E1086-117"</f>
        <v>E1086-117</v>
      </c>
      <c r="B2096" t="str">
        <f t="shared" si="259"/>
        <v>VIA ELIO VITTORINI  90-</v>
      </c>
      <c r="C2096" t="str">
        <f t="shared" si="260"/>
        <v>PRA</v>
      </c>
      <c r="D2096">
        <v>15</v>
      </c>
      <c r="E2096" t="str">
        <f t="shared" si="261"/>
        <v>305</v>
      </c>
      <c r="F2096" t="str">
        <f>"134"</f>
        <v>134</v>
      </c>
    </row>
    <row r="2097" spans="1:6">
      <c r="A2097" t="str">
        <f>"E1086-118"</f>
        <v>E1086-118</v>
      </c>
      <c r="B2097" t="str">
        <f t="shared" si="259"/>
        <v>VIA ELIO VITTORINI  90-</v>
      </c>
      <c r="C2097" t="str">
        <f t="shared" si="260"/>
        <v>PRA</v>
      </c>
      <c r="D2097">
        <v>15</v>
      </c>
      <c r="E2097" t="str">
        <f t="shared" si="261"/>
        <v>305</v>
      </c>
      <c r="F2097" t="str">
        <f>"133"</f>
        <v>133</v>
      </c>
    </row>
    <row r="2098" spans="1:6">
      <c r="A2098" t="str">
        <f>"E1086-119"</f>
        <v>E1086-119</v>
      </c>
      <c r="B2098" t="str">
        <f t="shared" si="259"/>
        <v>VIA ELIO VITTORINI  90-</v>
      </c>
      <c r="C2098" t="str">
        <f t="shared" si="260"/>
        <v>PRA</v>
      </c>
      <c r="D2098">
        <v>15</v>
      </c>
      <c r="E2098" t="str">
        <f t="shared" si="261"/>
        <v>305</v>
      </c>
      <c r="F2098" t="str">
        <f>"132"</f>
        <v>132</v>
      </c>
    </row>
    <row r="2099" spans="1:6">
      <c r="A2099" t="str">
        <f>"E1086-120"</f>
        <v>E1086-120</v>
      </c>
      <c r="B2099" t="str">
        <f t="shared" si="259"/>
        <v>VIA ELIO VITTORINI  90-</v>
      </c>
      <c r="C2099" t="str">
        <f t="shared" si="260"/>
        <v>PRA</v>
      </c>
      <c r="D2099">
        <v>15</v>
      </c>
      <c r="E2099" t="str">
        <f t="shared" si="261"/>
        <v>305</v>
      </c>
      <c r="F2099" t="str">
        <f>"131"</f>
        <v>131</v>
      </c>
    </row>
    <row r="2100" spans="1:6">
      <c r="A2100" t="str">
        <f>"E1086-121"</f>
        <v>E1086-121</v>
      </c>
      <c r="B2100" t="str">
        <f t="shared" si="259"/>
        <v>VIA ELIO VITTORINI  90-</v>
      </c>
      <c r="C2100" t="str">
        <f t="shared" si="260"/>
        <v>PRA</v>
      </c>
      <c r="D2100">
        <v>15</v>
      </c>
      <c r="E2100" t="str">
        <f t="shared" si="261"/>
        <v>305</v>
      </c>
      <c r="F2100" t="str">
        <f>"130"</f>
        <v>130</v>
      </c>
    </row>
    <row r="2101" spans="1:6">
      <c r="A2101" t="str">
        <f>"E1086-122"</f>
        <v>E1086-122</v>
      </c>
      <c r="B2101" t="str">
        <f t="shared" si="259"/>
        <v>VIA ELIO VITTORINI  90-</v>
      </c>
      <c r="C2101" t="str">
        <f t="shared" si="260"/>
        <v>PRA</v>
      </c>
      <c r="D2101">
        <v>15</v>
      </c>
      <c r="E2101" t="str">
        <f t="shared" si="261"/>
        <v>305</v>
      </c>
      <c r="F2101" t="str">
        <f>"129"</f>
        <v>129</v>
      </c>
    </row>
    <row r="2102" spans="1:6">
      <c r="A2102" t="str">
        <f>"E1086-123"</f>
        <v>E1086-123</v>
      </c>
      <c r="B2102" t="str">
        <f t="shared" si="259"/>
        <v>VIA ELIO VITTORINI  90-</v>
      </c>
      <c r="C2102" t="str">
        <f t="shared" si="260"/>
        <v>PRA</v>
      </c>
      <c r="D2102">
        <v>15</v>
      </c>
      <c r="E2102" t="str">
        <f t="shared" si="261"/>
        <v>305</v>
      </c>
      <c r="F2102" t="str">
        <f>"128"</f>
        <v>128</v>
      </c>
    </row>
    <row r="2103" spans="1:6">
      <c r="A2103" t="str">
        <f>"E1086-124"</f>
        <v>E1086-124</v>
      </c>
      <c r="B2103" t="str">
        <f t="shared" si="259"/>
        <v>VIA ELIO VITTORINI  90-</v>
      </c>
      <c r="C2103" t="str">
        <f t="shared" si="260"/>
        <v>PRA</v>
      </c>
      <c r="D2103">
        <v>15</v>
      </c>
      <c r="E2103" t="str">
        <f t="shared" si="261"/>
        <v>305</v>
      </c>
      <c r="F2103" t="str">
        <f>"127"</f>
        <v>127</v>
      </c>
    </row>
    <row r="2104" spans="1:6">
      <c r="A2104" t="str">
        <f>"E1086-125"</f>
        <v>E1086-125</v>
      </c>
      <c r="B2104" t="str">
        <f t="shared" si="259"/>
        <v>VIA ELIO VITTORINI  90-</v>
      </c>
      <c r="C2104" t="str">
        <f t="shared" si="260"/>
        <v>PRA</v>
      </c>
      <c r="D2104">
        <v>15</v>
      </c>
      <c r="E2104" t="str">
        <f t="shared" si="261"/>
        <v>305</v>
      </c>
      <c r="F2104" t="str">
        <f>"141"</f>
        <v>141</v>
      </c>
    </row>
    <row r="2105" spans="1:6">
      <c r="A2105" t="str">
        <f>"E1086-126"</f>
        <v>E1086-126</v>
      </c>
      <c r="B2105" t="str">
        <f t="shared" si="259"/>
        <v>VIA ELIO VITTORINI  90-</v>
      </c>
      <c r="C2105" t="str">
        <f t="shared" si="260"/>
        <v>PRA</v>
      </c>
      <c r="D2105">
        <v>15</v>
      </c>
      <c r="E2105" t="str">
        <f t="shared" si="261"/>
        <v>305</v>
      </c>
      <c r="F2105" t="str">
        <f>"142"</f>
        <v>142</v>
      </c>
    </row>
    <row r="2106" spans="1:6">
      <c r="A2106" t="str">
        <f>"E1086-127"</f>
        <v>E1086-127</v>
      </c>
      <c r="B2106" t="str">
        <f t="shared" si="259"/>
        <v>VIA ELIO VITTORINI  90-</v>
      </c>
      <c r="C2106" t="str">
        <f t="shared" si="260"/>
        <v>PRA</v>
      </c>
      <c r="D2106">
        <v>15</v>
      </c>
      <c r="E2106" t="str">
        <f t="shared" si="261"/>
        <v>305</v>
      </c>
      <c r="F2106" t="str">
        <f>"143"</f>
        <v>143</v>
      </c>
    </row>
    <row r="2107" spans="1:6">
      <c r="A2107" t="str">
        <f>"E1086-128"</f>
        <v>E1086-128</v>
      </c>
      <c r="B2107" t="str">
        <f t="shared" si="259"/>
        <v>VIA ELIO VITTORINI  90-</v>
      </c>
      <c r="C2107" t="str">
        <f t="shared" si="260"/>
        <v>PRA</v>
      </c>
      <c r="D2107">
        <v>15</v>
      </c>
      <c r="E2107" t="str">
        <f t="shared" si="261"/>
        <v>305</v>
      </c>
      <c r="F2107" t="str">
        <f>"144"</f>
        <v>144</v>
      </c>
    </row>
    <row r="2108" spans="1:6">
      <c r="A2108" t="str">
        <f>"E1086-129"</f>
        <v>E1086-129</v>
      </c>
      <c r="B2108" t="str">
        <f t="shared" si="259"/>
        <v>VIA ELIO VITTORINI  90-</v>
      </c>
      <c r="C2108" t="str">
        <f t="shared" si="260"/>
        <v>PRA</v>
      </c>
      <c r="D2108">
        <v>15</v>
      </c>
      <c r="E2108" t="str">
        <f t="shared" si="261"/>
        <v>305</v>
      </c>
      <c r="F2108" t="str">
        <f>"145"</f>
        <v>145</v>
      </c>
    </row>
    <row r="2109" spans="1:6">
      <c r="A2109" t="str">
        <f>"E1086-130"</f>
        <v>E1086-130</v>
      </c>
      <c r="B2109" t="str">
        <f t="shared" si="259"/>
        <v>VIA ELIO VITTORINI  90-</v>
      </c>
      <c r="C2109" t="str">
        <f t="shared" si="260"/>
        <v>PRA</v>
      </c>
      <c r="D2109">
        <v>15</v>
      </c>
      <c r="E2109" t="str">
        <f t="shared" si="261"/>
        <v>305</v>
      </c>
      <c r="F2109" t="str">
        <f>"146"</f>
        <v>146</v>
      </c>
    </row>
    <row r="2110" spans="1:6">
      <c r="A2110" t="str">
        <f>"E1086-131"</f>
        <v>E1086-131</v>
      </c>
      <c r="B2110" t="str">
        <f t="shared" si="259"/>
        <v>VIA ELIO VITTORINI  90-</v>
      </c>
      <c r="C2110" t="str">
        <f t="shared" si="260"/>
        <v>PRA</v>
      </c>
      <c r="D2110">
        <v>15</v>
      </c>
      <c r="E2110" t="str">
        <f t="shared" si="261"/>
        <v>305</v>
      </c>
      <c r="F2110" t="str">
        <f>"147"</f>
        <v>147</v>
      </c>
    </row>
    <row r="2111" spans="1:6">
      <c r="A2111" t="str">
        <f>"E1086-132"</f>
        <v>E1086-132</v>
      </c>
      <c r="B2111" t="str">
        <f t="shared" ref="B2111:B2128" si="262">"VIA ELIO VITTORINI  90-"</f>
        <v>VIA ELIO VITTORINI  90-</v>
      </c>
      <c r="C2111" t="str">
        <f t="shared" ref="C2111:C2128" si="263">"PRA"</f>
        <v>PRA</v>
      </c>
      <c r="D2111">
        <v>15</v>
      </c>
      <c r="E2111" t="str">
        <f t="shared" ref="E2111:E2128" si="264">"305"</f>
        <v>305</v>
      </c>
      <c r="F2111" t="str">
        <f>"148"</f>
        <v>148</v>
      </c>
    </row>
    <row r="2112" spans="1:6">
      <c r="A2112" t="str">
        <f>"E1086-133"</f>
        <v>E1086-133</v>
      </c>
      <c r="B2112" t="str">
        <f t="shared" si="262"/>
        <v>VIA ELIO VITTORINI  90-</v>
      </c>
      <c r="C2112" t="str">
        <f t="shared" si="263"/>
        <v>PRA</v>
      </c>
      <c r="D2112">
        <v>15</v>
      </c>
      <c r="E2112" t="str">
        <f t="shared" si="264"/>
        <v>305</v>
      </c>
      <c r="F2112" t="str">
        <f>"149"</f>
        <v>149</v>
      </c>
    </row>
    <row r="2113" spans="1:6">
      <c r="A2113" t="str">
        <f>"E1086-134"</f>
        <v>E1086-134</v>
      </c>
      <c r="B2113" t="str">
        <f t="shared" si="262"/>
        <v>VIA ELIO VITTORINI  90-</v>
      </c>
      <c r="C2113" t="str">
        <f t="shared" si="263"/>
        <v>PRA</v>
      </c>
      <c r="D2113">
        <v>15</v>
      </c>
      <c r="E2113" t="str">
        <f t="shared" si="264"/>
        <v>305</v>
      </c>
      <c r="F2113" t="str">
        <f>"150"</f>
        <v>150</v>
      </c>
    </row>
    <row r="2114" spans="1:6">
      <c r="A2114" t="str">
        <f>"E1086-135"</f>
        <v>E1086-135</v>
      </c>
      <c r="B2114" t="str">
        <f t="shared" si="262"/>
        <v>VIA ELIO VITTORINI  90-</v>
      </c>
      <c r="C2114" t="str">
        <f t="shared" si="263"/>
        <v>PRA</v>
      </c>
      <c r="D2114">
        <v>15</v>
      </c>
      <c r="E2114" t="str">
        <f t="shared" si="264"/>
        <v>305</v>
      </c>
      <c r="F2114" t="str">
        <f>"151"</f>
        <v>151</v>
      </c>
    </row>
    <row r="2115" spans="1:6">
      <c r="A2115" t="str">
        <f>"E1086-136"</f>
        <v>E1086-136</v>
      </c>
      <c r="B2115" t="str">
        <f t="shared" si="262"/>
        <v>VIA ELIO VITTORINI  90-</v>
      </c>
      <c r="C2115" t="str">
        <f t="shared" si="263"/>
        <v>PRA</v>
      </c>
      <c r="D2115">
        <v>15</v>
      </c>
      <c r="E2115" t="str">
        <f t="shared" si="264"/>
        <v>305</v>
      </c>
      <c r="F2115" t="str">
        <f>"152"</f>
        <v>152</v>
      </c>
    </row>
    <row r="2116" spans="1:6">
      <c r="A2116" t="str">
        <f>"E1086-137"</f>
        <v>E1086-137</v>
      </c>
      <c r="B2116" t="str">
        <f t="shared" si="262"/>
        <v>VIA ELIO VITTORINI  90-</v>
      </c>
      <c r="C2116" t="str">
        <f t="shared" si="263"/>
        <v>PRA</v>
      </c>
      <c r="D2116">
        <v>15</v>
      </c>
      <c r="E2116" t="str">
        <f t="shared" si="264"/>
        <v>305</v>
      </c>
      <c r="F2116" t="str">
        <f>"165"</f>
        <v>165</v>
      </c>
    </row>
    <row r="2117" spans="1:6">
      <c r="A2117" t="str">
        <f>"E1086-138"</f>
        <v>E1086-138</v>
      </c>
      <c r="B2117" t="str">
        <f t="shared" si="262"/>
        <v>VIA ELIO VITTORINI  90-</v>
      </c>
      <c r="C2117" t="str">
        <f t="shared" si="263"/>
        <v>PRA</v>
      </c>
      <c r="D2117">
        <v>15</v>
      </c>
      <c r="E2117" t="str">
        <f t="shared" si="264"/>
        <v>305</v>
      </c>
      <c r="F2117" t="str">
        <f>"164"</f>
        <v>164</v>
      </c>
    </row>
    <row r="2118" spans="1:6">
      <c r="A2118" t="str">
        <f>"E1086-139"</f>
        <v>E1086-139</v>
      </c>
      <c r="B2118" t="str">
        <f t="shared" si="262"/>
        <v>VIA ELIO VITTORINI  90-</v>
      </c>
      <c r="C2118" t="str">
        <f t="shared" si="263"/>
        <v>PRA</v>
      </c>
      <c r="D2118">
        <v>15</v>
      </c>
      <c r="E2118" t="str">
        <f t="shared" si="264"/>
        <v>305</v>
      </c>
      <c r="F2118" t="str">
        <f>"163"</f>
        <v>163</v>
      </c>
    </row>
    <row r="2119" spans="1:6">
      <c r="A2119" t="str">
        <f>"E1086-140"</f>
        <v>E1086-140</v>
      </c>
      <c r="B2119" t="str">
        <f t="shared" si="262"/>
        <v>VIA ELIO VITTORINI  90-</v>
      </c>
      <c r="C2119" t="str">
        <f t="shared" si="263"/>
        <v>PRA</v>
      </c>
      <c r="D2119">
        <v>15</v>
      </c>
      <c r="E2119" t="str">
        <f t="shared" si="264"/>
        <v>305</v>
      </c>
      <c r="F2119" t="str">
        <f>"162"</f>
        <v>162</v>
      </c>
    </row>
    <row r="2120" spans="1:6">
      <c r="A2120" t="str">
        <f>"E1086-141"</f>
        <v>E1086-141</v>
      </c>
      <c r="B2120" t="str">
        <f t="shared" si="262"/>
        <v>VIA ELIO VITTORINI  90-</v>
      </c>
      <c r="C2120" t="str">
        <f t="shared" si="263"/>
        <v>PRA</v>
      </c>
      <c r="D2120">
        <v>15</v>
      </c>
      <c r="E2120" t="str">
        <f t="shared" si="264"/>
        <v>305</v>
      </c>
      <c r="F2120" t="str">
        <f>"161"</f>
        <v>161</v>
      </c>
    </row>
    <row r="2121" spans="1:6">
      <c r="A2121" t="str">
        <f>"E1086-142"</f>
        <v>E1086-142</v>
      </c>
      <c r="B2121" t="str">
        <f t="shared" si="262"/>
        <v>VIA ELIO VITTORINI  90-</v>
      </c>
      <c r="C2121" t="str">
        <f t="shared" si="263"/>
        <v>PRA</v>
      </c>
      <c r="D2121">
        <v>15</v>
      </c>
      <c r="E2121" t="str">
        <f t="shared" si="264"/>
        <v>305</v>
      </c>
      <c r="F2121" t="str">
        <f>"160"</f>
        <v>160</v>
      </c>
    </row>
    <row r="2122" spans="1:6">
      <c r="A2122" t="str">
        <f>"E1086-143"</f>
        <v>E1086-143</v>
      </c>
      <c r="B2122" t="str">
        <f t="shared" si="262"/>
        <v>VIA ELIO VITTORINI  90-</v>
      </c>
      <c r="C2122" t="str">
        <f t="shared" si="263"/>
        <v>PRA</v>
      </c>
      <c r="D2122">
        <v>15</v>
      </c>
      <c r="E2122" t="str">
        <f t="shared" si="264"/>
        <v>305</v>
      </c>
      <c r="F2122" t="str">
        <f>"159"</f>
        <v>159</v>
      </c>
    </row>
    <row r="2123" spans="1:6">
      <c r="A2123" t="str">
        <f>"E1086-144"</f>
        <v>E1086-144</v>
      </c>
      <c r="B2123" t="str">
        <f t="shared" si="262"/>
        <v>VIA ELIO VITTORINI  90-</v>
      </c>
      <c r="C2123" t="str">
        <f t="shared" si="263"/>
        <v>PRA</v>
      </c>
      <c r="D2123">
        <v>15</v>
      </c>
      <c r="E2123" t="str">
        <f t="shared" si="264"/>
        <v>305</v>
      </c>
      <c r="F2123" t="str">
        <f>"158"</f>
        <v>158</v>
      </c>
    </row>
    <row r="2124" spans="1:6">
      <c r="A2124" t="str">
        <f>"E1086-145"</f>
        <v>E1086-145</v>
      </c>
      <c r="B2124" t="str">
        <f t="shared" si="262"/>
        <v>VIA ELIO VITTORINI  90-</v>
      </c>
      <c r="C2124" t="str">
        <f t="shared" si="263"/>
        <v>PRA</v>
      </c>
      <c r="D2124">
        <v>15</v>
      </c>
      <c r="E2124" t="str">
        <f t="shared" si="264"/>
        <v>305</v>
      </c>
      <c r="F2124" t="str">
        <f>"157"</f>
        <v>157</v>
      </c>
    </row>
    <row r="2125" spans="1:6">
      <c r="A2125" t="str">
        <f>"E1086-146"</f>
        <v>E1086-146</v>
      </c>
      <c r="B2125" t="str">
        <f t="shared" si="262"/>
        <v>VIA ELIO VITTORINI  90-</v>
      </c>
      <c r="C2125" t="str">
        <f t="shared" si="263"/>
        <v>PRA</v>
      </c>
      <c r="D2125">
        <v>15</v>
      </c>
      <c r="E2125" t="str">
        <f t="shared" si="264"/>
        <v>305</v>
      </c>
      <c r="F2125" t="str">
        <f>"156"</f>
        <v>156</v>
      </c>
    </row>
    <row r="2126" spans="1:6">
      <c r="A2126" t="str">
        <f>"E1086-147"</f>
        <v>E1086-147</v>
      </c>
      <c r="B2126" t="str">
        <f t="shared" si="262"/>
        <v>VIA ELIO VITTORINI  90-</v>
      </c>
      <c r="C2126" t="str">
        <f t="shared" si="263"/>
        <v>PRA</v>
      </c>
      <c r="D2126">
        <v>15</v>
      </c>
      <c r="E2126" t="str">
        <f t="shared" si="264"/>
        <v>305</v>
      </c>
      <c r="F2126" t="str">
        <f>"155"</f>
        <v>155</v>
      </c>
    </row>
    <row r="2127" spans="1:6">
      <c r="A2127" t="str">
        <f>"E1086-148"</f>
        <v>E1086-148</v>
      </c>
      <c r="B2127" t="str">
        <f t="shared" si="262"/>
        <v>VIA ELIO VITTORINI  90-</v>
      </c>
      <c r="C2127" t="str">
        <f t="shared" si="263"/>
        <v>PRA</v>
      </c>
      <c r="D2127">
        <v>15</v>
      </c>
      <c r="E2127" t="str">
        <f t="shared" si="264"/>
        <v>305</v>
      </c>
      <c r="F2127" t="str">
        <f>"154"</f>
        <v>154</v>
      </c>
    </row>
    <row r="2128" spans="1:6">
      <c r="A2128" t="str">
        <f>"E1086-149"</f>
        <v>E1086-149</v>
      </c>
      <c r="B2128" t="str">
        <f t="shared" si="262"/>
        <v>VIA ELIO VITTORINI  90-</v>
      </c>
      <c r="C2128" t="str">
        <f t="shared" si="263"/>
        <v>PRA</v>
      </c>
      <c r="D2128">
        <v>15</v>
      </c>
      <c r="E2128" t="str">
        <f t="shared" si="264"/>
        <v>305</v>
      </c>
      <c r="F2128" t="str">
        <f>"153"</f>
        <v>153</v>
      </c>
    </row>
    <row r="2129" spans="1:6">
      <c r="A2129" t="str">
        <f>"E1086-150"</f>
        <v>E1086-150</v>
      </c>
      <c r="B2129" t="str">
        <f t="shared" ref="B2129:B2137" si="265">"VIA ELIO VITTORINI  60-"</f>
        <v>VIA ELIO VITTORINI  60-</v>
      </c>
      <c r="C2129" t="str">
        <f t="shared" ref="C2129:C2137" si="266">"3"</f>
        <v>3</v>
      </c>
      <c r="D2129">
        <v>15</v>
      </c>
      <c r="E2129" t="str">
        <f t="shared" ref="E2129:E2137" si="267">"107"</f>
        <v>107</v>
      </c>
      <c r="F2129" t="str">
        <f t="shared" ref="F2129:F2137" si="268">"0000"</f>
        <v>0000</v>
      </c>
    </row>
    <row r="2130" spans="1:6">
      <c r="A2130" t="str">
        <f>"E1086-151"</f>
        <v>E1086-151</v>
      </c>
      <c r="B2130" t="str">
        <f t="shared" si="265"/>
        <v>VIA ELIO VITTORINI  60-</v>
      </c>
      <c r="C2130" t="str">
        <f t="shared" si="266"/>
        <v>3</v>
      </c>
      <c r="D2130">
        <v>15</v>
      </c>
      <c r="E2130" t="str">
        <f t="shared" si="267"/>
        <v>107</v>
      </c>
      <c r="F2130" t="str">
        <f t="shared" si="268"/>
        <v>0000</v>
      </c>
    </row>
    <row r="2131" spans="1:6">
      <c r="A2131" t="str">
        <f>"E1086-152"</f>
        <v>E1086-152</v>
      </c>
      <c r="B2131" t="str">
        <f t="shared" si="265"/>
        <v>VIA ELIO VITTORINI  60-</v>
      </c>
      <c r="C2131" t="str">
        <f t="shared" si="266"/>
        <v>3</v>
      </c>
      <c r="D2131">
        <v>15</v>
      </c>
      <c r="E2131" t="str">
        <f t="shared" si="267"/>
        <v>107</v>
      </c>
      <c r="F2131" t="str">
        <f t="shared" si="268"/>
        <v>0000</v>
      </c>
    </row>
    <row r="2132" spans="1:6">
      <c r="A2132" t="str">
        <f>"E1086-153"</f>
        <v>E1086-153</v>
      </c>
      <c r="B2132" t="str">
        <f t="shared" si="265"/>
        <v>VIA ELIO VITTORINI  60-</v>
      </c>
      <c r="C2132" t="str">
        <f t="shared" si="266"/>
        <v>3</v>
      </c>
      <c r="D2132">
        <v>15</v>
      </c>
      <c r="E2132" t="str">
        <f t="shared" si="267"/>
        <v>107</v>
      </c>
      <c r="F2132" t="str">
        <f t="shared" si="268"/>
        <v>0000</v>
      </c>
    </row>
    <row r="2133" spans="1:6">
      <c r="A2133" t="str">
        <f>"E1086-154"</f>
        <v>E1086-154</v>
      </c>
      <c r="B2133" t="str">
        <f t="shared" si="265"/>
        <v>VIA ELIO VITTORINI  60-</v>
      </c>
      <c r="C2133" t="str">
        <f t="shared" si="266"/>
        <v>3</v>
      </c>
      <c r="D2133">
        <v>15</v>
      </c>
      <c r="E2133" t="str">
        <f t="shared" si="267"/>
        <v>107</v>
      </c>
      <c r="F2133" t="str">
        <f t="shared" si="268"/>
        <v>0000</v>
      </c>
    </row>
    <row r="2134" spans="1:6">
      <c r="A2134" t="str">
        <f>"E1086-155"</f>
        <v>E1086-155</v>
      </c>
      <c r="B2134" t="str">
        <f t="shared" si="265"/>
        <v>VIA ELIO VITTORINI  60-</v>
      </c>
      <c r="C2134" t="str">
        <f t="shared" si="266"/>
        <v>3</v>
      </c>
      <c r="D2134">
        <v>15</v>
      </c>
      <c r="E2134" t="str">
        <f t="shared" si="267"/>
        <v>107</v>
      </c>
      <c r="F2134" t="str">
        <f t="shared" si="268"/>
        <v>0000</v>
      </c>
    </row>
    <row r="2135" spans="1:6">
      <c r="A2135" t="str">
        <f>"E1086-156"</f>
        <v>E1086-156</v>
      </c>
      <c r="B2135" t="str">
        <f t="shared" si="265"/>
        <v>VIA ELIO VITTORINI  60-</v>
      </c>
      <c r="C2135" t="str">
        <f t="shared" si="266"/>
        <v>3</v>
      </c>
      <c r="D2135">
        <v>15</v>
      </c>
      <c r="E2135" t="str">
        <f t="shared" si="267"/>
        <v>107</v>
      </c>
      <c r="F2135" t="str">
        <f t="shared" si="268"/>
        <v>0000</v>
      </c>
    </row>
    <row r="2136" spans="1:6">
      <c r="A2136" t="str">
        <f>"E1086-157"</f>
        <v>E1086-157</v>
      </c>
      <c r="B2136" t="str">
        <f t="shared" si="265"/>
        <v>VIA ELIO VITTORINI  60-</v>
      </c>
      <c r="C2136" t="str">
        <f t="shared" si="266"/>
        <v>3</v>
      </c>
      <c r="D2136">
        <v>15</v>
      </c>
      <c r="E2136" t="str">
        <f t="shared" si="267"/>
        <v>107</v>
      </c>
      <c r="F2136" t="str">
        <f t="shared" si="268"/>
        <v>0000</v>
      </c>
    </row>
    <row r="2137" spans="1:6">
      <c r="A2137" t="str">
        <f>"E1086-158"</f>
        <v>E1086-158</v>
      </c>
      <c r="B2137" t="str">
        <f t="shared" si="265"/>
        <v>VIA ELIO VITTORINI  60-</v>
      </c>
      <c r="C2137" t="str">
        <f t="shared" si="266"/>
        <v>3</v>
      </c>
      <c r="D2137">
        <v>15</v>
      </c>
      <c r="E2137" t="str">
        <f t="shared" si="267"/>
        <v>107</v>
      </c>
      <c r="F2137" t="str">
        <f t="shared" si="268"/>
        <v>0000</v>
      </c>
    </row>
    <row r="2138" spans="1:6">
      <c r="A2138" t="str">
        <f>"E1086-177"</f>
        <v>E1086-177</v>
      </c>
      <c r="B2138" t="str">
        <f t="shared" ref="B2138:B2143" si="269">"VIA ELIO VITTORINI  36-"</f>
        <v>VIA ELIO VITTORINI  36-</v>
      </c>
      <c r="C2138" t="str">
        <f>"PRA"</f>
        <v>PRA</v>
      </c>
      <c r="D2138">
        <v>15</v>
      </c>
      <c r="E2138" t="str">
        <f>"305"</f>
        <v>305</v>
      </c>
      <c r="F2138" t="str">
        <f>"209"</f>
        <v>209</v>
      </c>
    </row>
    <row r="2139" spans="1:6">
      <c r="A2139" t="str">
        <f>"E1086-178"</f>
        <v>E1086-178</v>
      </c>
      <c r="B2139" t="str">
        <f t="shared" si="269"/>
        <v>VIA ELIO VITTORINI  36-</v>
      </c>
      <c r="C2139" t="str">
        <f>"PRA"</f>
        <v>PRA</v>
      </c>
      <c r="D2139">
        <v>15</v>
      </c>
      <c r="E2139" t="str">
        <f>"305"</f>
        <v>305</v>
      </c>
      <c r="F2139" t="str">
        <f>"211"</f>
        <v>211</v>
      </c>
    </row>
    <row r="2140" spans="1:6">
      <c r="A2140" t="str">
        <f>"E1086-201"</f>
        <v>E1086-201</v>
      </c>
      <c r="B2140" t="str">
        <f t="shared" si="269"/>
        <v>VIA ELIO VITTORINI  36-</v>
      </c>
      <c r="C2140" t="str">
        <f>"3"</f>
        <v>3</v>
      </c>
      <c r="D2140">
        <v>15</v>
      </c>
      <c r="E2140" t="str">
        <f>"107"</f>
        <v>107</v>
      </c>
      <c r="F2140" t="str">
        <f>"0000"</f>
        <v>0000</v>
      </c>
    </row>
    <row r="2141" spans="1:6">
      <c r="A2141" t="str">
        <f>"E1086-204"</f>
        <v>E1086-204</v>
      </c>
      <c r="B2141" t="str">
        <f t="shared" si="269"/>
        <v>VIA ELIO VITTORINI  36-</v>
      </c>
      <c r="C2141" t="str">
        <f>"3"</f>
        <v>3</v>
      </c>
      <c r="D2141">
        <v>15</v>
      </c>
      <c r="E2141" t="str">
        <f>"107"</f>
        <v>107</v>
      </c>
      <c r="F2141" t="str">
        <f>"0000"</f>
        <v>0000</v>
      </c>
    </row>
    <row r="2142" spans="1:6">
      <c r="A2142" t="str">
        <f>"E1086-205"</f>
        <v>E1086-205</v>
      </c>
      <c r="B2142" t="str">
        <f t="shared" si="269"/>
        <v>VIA ELIO VITTORINI  36-</v>
      </c>
      <c r="C2142" t="str">
        <f>"3"</f>
        <v>3</v>
      </c>
      <c r="D2142">
        <v>15</v>
      </c>
      <c r="E2142" t="str">
        <f>"107"</f>
        <v>107</v>
      </c>
      <c r="F2142" t="str">
        <f>"0000"</f>
        <v>0000</v>
      </c>
    </row>
    <row r="2143" spans="1:6">
      <c r="A2143" t="str">
        <f>"E1086-206"</f>
        <v>E1086-206</v>
      </c>
      <c r="B2143" t="str">
        <f t="shared" si="269"/>
        <v>VIA ELIO VITTORINI  36-</v>
      </c>
      <c r="C2143" t="str">
        <f>"3"</f>
        <v>3</v>
      </c>
      <c r="D2143">
        <v>15</v>
      </c>
      <c r="E2143" t="str">
        <f>"107"</f>
        <v>107</v>
      </c>
      <c r="F2143" t="str">
        <f>"0000"</f>
        <v>0000</v>
      </c>
    </row>
    <row r="2144" spans="1:6">
      <c r="A2144" t="str">
        <f>"E1086-211"</f>
        <v>E1086-211</v>
      </c>
      <c r="B2144" t="str">
        <f t="shared" ref="B2144:B2168" si="270">"VIA ELIO VITTORINI  90-"</f>
        <v>VIA ELIO VITTORINI  90-</v>
      </c>
      <c r="C2144" t="str">
        <f t="shared" ref="C2144:C2175" si="271">"PRA"</f>
        <v>PRA</v>
      </c>
      <c r="D2144">
        <v>15</v>
      </c>
      <c r="E2144" t="str">
        <f t="shared" ref="E2144:E2175" si="272">"305"</f>
        <v>305</v>
      </c>
      <c r="F2144" t="str">
        <f>"295"</f>
        <v>295</v>
      </c>
    </row>
    <row r="2145" spans="1:6">
      <c r="A2145" t="str">
        <f>"E1086-212"</f>
        <v>E1086-212</v>
      </c>
      <c r="B2145" t="str">
        <f t="shared" si="270"/>
        <v>VIA ELIO VITTORINI  90-</v>
      </c>
      <c r="C2145" t="str">
        <f t="shared" si="271"/>
        <v>PRA</v>
      </c>
      <c r="D2145">
        <v>15</v>
      </c>
      <c r="E2145" t="str">
        <f t="shared" si="272"/>
        <v>305</v>
      </c>
      <c r="F2145" t="str">
        <f>"296"</f>
        <v>296</v>
      </c>
    </row>
    <row r="2146" spans="1:6">
      <c r="A2146" t="str">
        <f>"E1086-213"</f>
        <v>E1086-213</v>
      </c>
      <c r="B2146" t="str">
        <f t="shared" si="270"/>
        <v>VIA ELIO VITTORINI  90-</v>
      </c>
      <c r="C2146" t="str">
        <f t="shared" si="271"/>
        <v>PRA</v>
      </c>
      <c r="D2146">
        <v>15</v>
      </c>
      <c r="E2146" t="str">
        <f t="shared" si="272"/>
        <v>305</v>
      </c>
      <c r="F2146" t="str">
        <f>"297"</f>
        <v>297</v>
      </c>
    </row>
    <row r="2147" spans="1:6">
      <c r="A2147" t="str">
        <f>"E1086-214"</f>
        <v>E1086-214</v>
      </c>
      <c r="B2147" t="str">
        <f t="shared" si="270"/>
        <v>VIA ELIO VITTORINI  90-</v>
      </c>
      <c r="C2147" t="str">
        <f t="shared" si="271"/>
        <v>PRA</v>
      </c>
      <c r="D2147">
        <v>15</v>
      </c>
      <c r="E2147" t="str">
        <f t="shared" si="272"/>
        <v>305</v>
      </c>
      <c r="F2147" t="str">
        <f>"298"</f>
        <v>298</v>
      </c>
    </row>
    <row r="2148" spans="1:6">
      <c r="A2148" t="str">
        <f>"E1086-215"</f>
        <v>E1086-215</v>
      </c>
      <c r="B2148" t="str">
        <f t="shared" si="270"/>
        <v>VIA ELIO VITTORINI  90-</v>
      </c>
      <c r="C2148" t="str">
        <f t="shared" si="271"/>
        <v>PRA</v>
      </c>
      <c r="D2148">
        <v>15</v>
      </c>
      <c r="E2148" t="str">
        <f t="shared" si="272"/>
        <v>305</v>
      </c>
      <c r="F2148" t="str">
        <f>"299"</f>
        <v>299</v>
      </c>
    </row>
    <row r="2149" spans="1:6">
      <c r="A2149" t="str">
        <f>"E1086-216"</f>
        <v>E1086-216</v>
      </c>
      <c r="B2149" t="str">
        <f t="shared" si="270"/>
        <v>VIA ELIO VITTORINI  90-</v>
      </c>
      <c r="C2149" t="str">
        <f t="shared" si="271"/>
        <v>PRA</v>
      </c>
      <c r="D2149">
        <v>15</v>
      </c>
      <c r="E2149" t="str">
        <f t="shared" si="272"/>
        <v>305</v>
      </c>
      <c r="F2149" t="str">
        <f>"300"</f>
        <v>300</v>
      </c>
    </row>
    <row r="2150" spans="1:6">
      <c r="A2150" t="str">
        <f>"E1086-217"</f>
        <v>E1086-217</v>
      </c>
      <c r="B2150" t="str">
        <f t="shared" si="270"/>
        <v>VIA ELIO VITTORINI  90-</v>
      </c>
      <c r="C2150" t="str">
        <f t="shared" si="271"/>
        <v>PRA</v>
      </c>
      <c r="D2150">
        <v>15</v>
      </c>
      <c r="E2150" t="str">
        <f t="shared" si="272"/>
        <v>305</v>
      </c>
      <c r="F2150" t="str">
        <f>"301"</f>
        <v>301</v>
      </c>
    </row>
    <row r="2151" spans="1:6">
      <c r="A2151" t="str">
        <f>"E1086-218"</f>
        <v>E1086-218</v>
      </c>
      <c r="B2151" t="str">
        <f t="shared" si="270"/>
        <v>VIA ELIO VITTORINI  90-</v>
      </c>
      <c r="C2151" t="str">
        <f t="shared" si="271"/>
        <v>PRA</v>
      </c>
      <c r="D2151">
        <v>15</v>
      </c>
      <c r="E2151" t="str">
        <f t="shared" si="272"/>
        <v>305</v>
      </c>
      <c r="F2151" t="str">
        <f>"302"</f>
        <v>302</v>
      </c>
    </row>
    <row r="2152" spans="1:6">
      <c r="A2152" t="str">
        <f>"E1086-219"</f>
        <v>E1086-219</v>
      </c>
      <c r="B2152" t="str">
        <f t="shared" si="270"/>
        <v>VIA ELIO VITTORINI  90-</v>
      </c>
      <c r="C2152" t="str">
        <f t="shared" si="271"/>
        <v>PRA</v>
      </c>
      <c r="D2152">
        <v>15</v>
      </c>
      <c r="E2152" t="str">
        <f t="shared" si="272"/>
        <v>305</v>
      </c>
      <c r="F2152" t="str">
        <f>"303"</f>
        <v>303</v>
      </c>
    </row>
    <row r="2153" spans="1:6">
      <c r="A2153" t="str">
        <f>"E1086-220"</f>
        <v>E1086-220</v>
      </c>
      <c r="B2153" t="str">
        <f t="shared" si="270"/>
        <v>VIA ELIO VITTORINI  90-</v>
      </c>
      <c r="C2153" t="str">
        <f t="shared" si="271"/>
        <v>PRA</v>
      </c>
      <c r="D2153">
        <v>15</v>
      </c>
      <c r="E2153" t="str">
        <f t="shared" si="272"/>
        <v>305</v>
      </c>
      <c r="F2153" t="str">
        <f>"304"</f>
        <v>304</v>
      </c>
    </row>
    <row r="2154" spans="1:6">
      <c r="A2154" t="str">
        <f>"E1086-221"</f>
        <v>E1086-221</v>
      </c>
      <c r="B2154" t="str">
        <f t="shared" si="270"/>
        <v>VIA ELIO VITTORINI  90-</v>
      </c>
      <c r="C2154" t="str">
        <f t="shared" si="271"/>
        <v>PRA</v>
      </c>
      <c r="D2154">
        <v>15</v>
      </c>
      <c r="E2154" t="str">
        <f t="shared" si="272"/>
        <v>305</v>
      </c>
      <c r="F2154" t="str">
        <f>"305"</f>
        <v>305</v>
      </c>
    </row>
    <row r="2155" spans="1:6">
      <c r="A2155" t="str">
        <f>"E1086-222"</f>
        <v>E1086-222</v>
      </c>
      <c r="B2155" t="str">
        <f t="shared" si="270"/>
        <v>VIA ELIO VITTORINI  90-</v>
      </c>
      <c r="C2155" t="str">
        <f t="shared" si="271"/>
        <v>PRA</v>
      </c>
      <c r="D2155">
        <v>15</v>
      </c>
      <c r="E2155" t="str">
        <f t="shared" si="272"/>
        <v>305</v>
      </c>
      <c r="F2155" t="str">
        <f>"306"</f>
        <v>306</v>
      </c>
    </row>
    <row r="2156" spans="1:6">
      <c r="A2156" t="str">
        <f>"E1086-223"</f>
        <v>E1086-223</v>
      </c>
      <c r="B2156" t="str">
        <f t="shared" si="270"/>
        <v>VIA ELIO VITTORINI  90-</v>
      </c>
      <c r="C2156" t="str">
        <f t="shared" si="271"/>
        <v>PRA</v>
      </c>
      <c r="D2156">
        <v>15</v>
      </c>
      <c r="E2156" t="str">
        <f t="shared" si="272"/>
        <v>305</v>
      </c>
      <c r="F2156" t="str">
        <f>"307"</f>
        <v>307</v>
      </c>
    </row>
    <row r="2157" spans="1:6">
      <c r="A2157" t="str">
        <f>"E1086-224"</f>
        <v>E1086-224</v>
      </c>
      <c r="B2157" t="str">
        <f t="shared" si="270"/>
        <v>VIA ELIO VITTORINI  90-</v>
      </c>
      <c r="C2157" t="str">
        <f t="shared" si="271"/>
        <v>PRA</v>
      </c>
      <c r="D2157">
        <v>15</v>
      </c>
      <c r="E2157" t="str">
        <f t="shared" si="272"/>
        <v>305</v>
      </c>
      <c r="F2157" t="str">
        <f>"308"</f>
        <v>308</v>
      </c>
    </row>
    <row r="2158" spans="1:6">
      <c r="A2158" t="str">
        <f>"E1086-225"</f>
        <v>E1086-225</v>
      </c>
      <c r="B2158" t="str">
        <f t="shared" si="270"/>
        <v>VIA ELIO VITTORINI  90-</v>
      </c>
      <c r="C2158" t="str">
        <f t="shared" si="271"/>
        <v>PRA</v>
      </c>
      <c r="D2158">
        <v>15</v>
      </c>
      <c r="E2158" t="str">
        <f t="shared" si="272"/>
        <v>305</v>
      </c>
      <c r="F2158" t="str">
        <f>"309"</f>
        <v>309</v>
      </c>
    </row>
    <row r="2159" spans="1:6">
      <c r="A2159" t="str">
        <f>"E1086-226"</f>
        <v>E1086-226</v>
      </c>
      <c r="B2159" t="str">
        <f t="shared" si="270"/>
        <v>VIA ELIO VITTORINI  90-</v>
      </c>
      <c r="C2159" t="str">
        <f t="shared" si="271"/>
        <v>PRA</v>
      </c>
      <c r="D2159">
        <v>15</v>
      </c>
      <c r="E2159" t="str">
        <f t="shared" si="272"/>
        <v>305</v>
      </c>
      <c r="F2159" t="str">
        <f>"310"</f>
        <v>310</v>
      </c>
    </row>
    <row r="2160" spans="1:6">
      <c r="A2160" t="str">
        <f>"E1086-227"</f>
        <v>E1086-227</v>
      </c>
      <c r="B2160" t="str">
        <f t="shared" si="270"/>
        <v>VIA ELIO VITTORINI  90-</v>
      </c>
      <c r="C2160" t="str">
        <f t="shared" si="271"/>
        <v>PRA</v>
      </c>
      <c r="D2160">
        <v>15</v>
      </c>
      <c r="E2160" t="str">
        <f t="shared" si="272"/>
        <v>305</v>
      </c>
      <c r="F2160" t="str">
        <f>"311"</f>
        <v>311</v>
      </c>
    </row>
    <row r="2161" spans="1:6">
      <c r="A2161" t="str">
        <f>"E1086-228"</f>
        <v>E1086-228</v>
      </c>
      <c r="B2161" t="str">
        <f t="shared" si="270"/>
        <v>VIA ELIO VITTORINI  90-</v>
      </c>
      <c r="C2161" t="str">
        <f t="shared" si="271"/>
        <v>PRA</v>
      </c>
      <c r="D2161">
        <v>15</v>
      </c>
      <c r="E2161" t="str">
        <f t="shared" si="272"/>
        <v>305</v>
      </c>
      <c r="F2161" t="str">
        <f>"312"</f>
        <v>312</v>
      </c>
    </row>
    <row r="2162" spans="1:6">
      <c r="A2162" t="str">
        <f>"E1086-229"</f>
        <v>E1086-229</v>
      </c>
      <c r="B2162" t="str">
        <f t="shared" si="270"/>
        <v>VIA ELIO VITTORINI  90-</v>
      </c>
      <c r="C2162" t="str">
        <f t="shared" si="271"/>
        <v>PRA</v>
      </c>
      <c r="D2162">
        <v>15</v>
      </c>
      <c r="E2162" t="str">
        <f t="shared" si="272"/>
        <v>305</v>
      </c>
      <c r="F2162" t="str">
        <f>"313"</f>
        <v>313</v>
      </c>
    </row>
    <row r="2163" spans="1:6">
      <c r="A2163" t="str">
        <f>"E1086-230"</f>
        <v>E1086-230</v>
      </c>
      <c r="B2163" t="str">
        <f t="shared" si="270"/>
        <v>VIA ELIO VITTORINI  90-</v>
      </c>
      <c r="C2163" t="str">
        <f t="shared" si="271"/>
        <v>PRA</v>
      </c>
      <c r="D2163">
        <v>15</v>
      </c>
      <c r="E2163" t="str">
        <f t="shared" si="272"/>
        <v>305</v>
      </c>
      <c r="F2163" t="str">
        <f>"314"</f>
        <v>314</v>
      </c>
    </row>
    <row r="2164" spans="1:6">
      <c r="A2164" t="str">
        <f>"E1086-231"</f>
        <v>E1086-231</v>
      </c>
      <c r="B2164" t="str">
        <f t="shared" si="270"/>
        <v>VIA ELIO VITTORINI  90-</v>
      </c>
      <c r="C2164" t="str">
        <f t="shared" si="271"/>
        <v>PRA</v>
      </c>
      <c r="D2164">
        <v>15</v>
      </c>
      <c r="E2164" t="str">
        <f t="shared" si="272"/>
        <v>305</v>
      </c>
      <c r="F2164" t="str">
        <f>"315"</f>
        <v>315</v>
      </c>
    </row>
    <row r="2165" spans="1:6">
      <c r="A2165" t="str">
        <f>"E1086-232"</f>
        <v>E1086-232</v>
      </c>
      <c r="B2165" t="str">
        <f t="shared" si="270"/>
        <v>VIA ELIO VITTORINI  90-</v>
      </c>
      <c r="C2165" t="str">
        <f t="shared" si="271"/>
        <v>PRA</v>
      </c>
      <c r="D2165">
        <v>15</v>
      </c>
      <c r="E2165" t="str">
        <f t="shared" si="272"/>
        <v>305</v>
      </c>
      <c r="F2165" t="str">
        <f>"316"</f>
        <v>316</v>
      </c>
    </row>
    <row r="2166" spans="1:6">
      <c r="A2166" t="str">
        <f>"E1086-233"</f>
        <v>E1086-233</v>
      </c>
      <c r="B2166" t="str">
        <f t="shared" si="270"/>
        <v>VIA ELIO VITTORINI  90-</v>
      </c>
      <c r="C2166" t="str">
        <f t="shared" si="271"/>
        <v>PRA</v>
      </c>
      <c r="D2166">
        <v>15</v>
      </c>
      <c r="E2166" t="str">
        <f t="shared" si="272"/>
        <v>305</v>
      </c>
      <c r="F2166" t="str">
        <f>"317"</f>
        <v>317</v>
      </c>
    </row>
    <row r="2167" spans="1:6">
      <c r="A2167" t="str">
        <f>"E1086-234"</f>
        <v>E1086-234</v>
      </c>
      <c r="B2167" t="str">
        <f t="shared" si="270"/>
        <v>VIA ELIO VITTORINI  90-</v>
      </c>
      <c r="C2167" t="str">
        <f t="shared" si="271"/>
        <v>PRA</v>
      </c>
      <c r="D2167">
        <v>15</v>
      </c>
      <c r="E2167" t="str">
        <f t="shared" si="272"/>
        <v>305</v>
      </c>
      <c r="F2167" t="str">
        <f>"318"</f>
        <v>318</v>
      </c>
    </row>
    <row r="2168" spans="1:6">
      <c r="A2168" t="str">
        <f>"E1086-235"</f>
        <v>E1086-235</v>
      </c>
      <c r="B2168" t="str">
        <f t="shared" si="270"/>
        <v>VIA ELIO VITTORINI  90-</v>
      </c>
      <c r="C2168" t="str">
        <f t="shared" si="271"/>
        <v>PRA</v>
      </c>
      <c r="D2168">
        <v>15</v>
      </c>
      <c r="E2168" t="str">
        <f t="shared" si="272"/>
        <v>305</v>
      </c>
      <c r="F2168" t="str">
        <f>"319"</f>
        <v>319</v>
      </c>
    </row>
    <row r="2169" spans="1:6">
      <c r="A2169" t="str">
        <f>"E1086-236"</f>
        <v>E1086-236</v>
      </c>
      <c r="B2169" t="str">
        <f>"VIA ELIO VITTORINI  28-"</f>
        <v>VIA ELIO VITTORINI  28-</v>
      </c>
      <c r="C2169" t="str">
        <f t="shared" si="271"/>
        <v>PRA</v>
      </c>
      <c r="D2169">
        <v>15</v>
      </c>
      <c r="E2169" t="str">
        <f t="shared" si="272"/>
        <v>305</v>
      </c>
      <c r="F2169" t="str">
        <f>"242"</f>
        <v>242</v>
      </c>
    </row>
    <row r="2170" spans="1:6">
      <c r="A2170" t="str">
        <f>"E1086-237"</f>
        <v>E1086-237</v>
      </c>
      <c r="B2170" t="str">
        <f>"VIA ELIO VITTORINI  28-"</f>
        <v>VIA ELIO VITTORINI  28-</v>
      </c>
      <c r="C2170" t="str">
        <f t="shared" si="271"/>
        <v>PRA</v>
      </c>
      <c r="D2170">
        <v>15</v>
      </c>
      <c r="E2170" t="str">
        <f t="shared" si="272"/>
        <v>305</v>
      </c>
      <c r="F2170" t="str">
        <f>"247"</f>
        <v>247</v>
      </c>
    </row>
    <row r="2171" spans="1:6">
      <c r="A2171" t="str">
        <f>"E1086-238"</f>
        <v>E1086-238</v>
      </c>
      <c r="B2171" t="str">
        <f>"VIA ELIO VITTORINI  28-"</f>
        <v>VIA ELIO VITTORINI  28-</v>
      </c>
      <c r="C2171" t="str">
        <f t="shared" si="271"/>
        <v>PRA</v>
      </c>
      <c r="D2171">
        <v>15</v>
      </c>
      <c r="E2171" t="str">
        <f t="shared" si="272"/>
        <v>305</v>
      </c>
      <c r="F2171" t="str">
        <f>"250"</f>
        <v>250</v>
      </c>
    </row>
    <row r="2172" spans="1:6">
      <c r="A2172" t="str">
        <f>"E1086-239"</f>
        <v>E1086-239</v>
      </c>
      <c r="B2172" t="str">
        <f>"VIA ELIO VITTORINI  28-"</f>
        <v>VIA ELIO VITTORINI  28-</v>
      </c>
      <c r="C2172" t="str">
        <f t="shared" si="271"/>
        <v>PRA</v>
      </c>
      <c r="D2172">
        <v>15</v>
      </c>
      <c r="E2172" t="str">
        <f t="shared" si="272"/>
        <v>305</v>
      </c>
      <c r="F2172" t="str">
        <f>"252"</f>
        <v>252</v>
      </c>
    </row>
    <row r="2173" spans="1:6">
      <c r="A2173" t="str">
        <f>"E1086-240"</f>
        <v>E1086-240</v>
      </c>
      <c r="B2173" t="str">
        <f>"VIA ELIO VITTORINI  30-"</f>
        <v>VIA ELIO VITTORINI  30-</v>
      </c>
      <c r="C2173" t="str">
        <f t="shared" si="271"/>
        <v>PRA</v>
      </c>
      <c r="D2173">
        <v>15</v>
      </c>
      <c r="E2173" t="str">
        <f t="shared" si="272"/>
        <v>305</v>
      </c>
      <c r="F2173" t="str">
        <f>"230"</f>
        <v>230</v>
      </c>
    </row>
    <row r="2174" spans="1:6">
      <c r="A2174" t="str">
        <f>"E1086-241"</f>
        <v>E1086-241</v>
      </c>
      <c r="B2174" t="str">
        <f>"VIA ELIO VITTORINI  32-"</f>
        <v>VIA ELIO VITTORINI  32-</v>
      </c>
      <c r="C2174" t="str">
        <f t="shared" si="271"/>
        <v>PRA</v>
      </c>
      <c r="D2174">
        <v>15</v>
      </c>
      <c r="E2174" t="str">
        <f t="shared" si="272"/>
        <v>305</v>
      </c>
      <c r="F2174" t="str">
        <f>"224"</f>
        <v>224</v>
      </c>
    </row>
    <row r="2175" spans="1:6">
      <c r="A2175" t="str">
        <f>"E1086-242"</f>
        <v>E1086-242</v>
      </c>
      <c r="B2175" t="str">
        <f>"VIA ELIO VITTORINI  32-"</f>
        <v>VIA ELIO VITTORINI  32-</v>
      </c>
      <c r="C2175" t="str">
        <f t="shared" si="271"/>
        <v>PRA</v>
      </c>
      <c r="D2175">
        <v>15</v>
      </c>
      <c r="E2175" t="str">
        <f t="shared" si="272"/>
        <v>305</v>
      </c>
      <c r="F2175" t="str">
        <f>"227"</f>
        <v>227</v>
      </c>
    </row>
    <row r="2176" spans="1:6">
      <c r="A2176" t="str">
        <f>"E1086-243"</f>
        <v>E1086-243</v>
      </c>
      <c r="B2176" t="str">
        <f t="shared" ref="B2176:B2181" si="273">"VIA ELIO VITTORINI  38-"</f>
        <v>VIA ELIO VITTORINI  38-</v>
      </c>
      <c r="C2176" t="str">
        <f t="shared" ref="C2176:C2207" si="274">"PRA"</f>
        <v>PRA</v>
      </c>
      <c r="D2176">
        <v>15</v>
      </c>
      <c r="E2176" t="str">
        <f t="shared" ref="E2176:E2212" si="275">"305"</f>
        <v>305</v>
      </c>
      <c r="F2176" t="str">
        <f>"195"</f>
        <v>195</v>
      </c>
    </row>
    <row r="2177" spans="1:6">
      <c r="A2177" t="str">
        <f>"E1086-244"</f>
        <v>E1086-244</v>
      </c>
      <c r="B2177" t="str">
        <f t="shared" si="273"/>
        <v>VIA ELIO VITTORINI  38-</v>
      </c>
      <c r="C2177" t="str">
        <f t="shared" si="274"/>
        <v>PRA</v>
      </c>
      <c r="D2177">
        <v>15</v>
      </c>
      <c r="E2177" t="str">
        <f t="shared" si="275"/>
        <v>305</v>
      </c>
      <c r="F2177" t="str">
        <f>"196"</f>
        <v>196</v>
      </c>
    </row>
    <row r="2178" spans="1:6">
      <c r="A2178" t="str">
        <f>"E1086-245"</f>
        <v>E1086-245</v>
      </c>
      <c r="B2178" t="str">
        <f t="shared" si="273"/>
        <v>VIA ELIO VITTORINI  38-</v>
      </c>
      <c r="C2178" t="str">
        <f t="shared" si="274"/>
        <v>PRA</v>
      </c>
      <c r="D2178">
        <v>15</v>
      </c>
      <c r="E2178" t="str">
        <f t="shared" si="275"/>
        <v>305</v>
      </c>
      <c r="F2178" t="str">
        <f>"197"</f>
        <v>197</v>
      </c>
    </row>
    <row r="2179" spans="1:6">
      <c r="A2179" t="str">
        <f>"E1086-246"</f>
        <v>E1086-246</v>
      </c>
      <c r="B2179" t="str">
        <f t="shared" si="273"/>
        <v>VIA ELIO VITTORINI  38-</v>
      </c>
      <c r="C2179" t="str">
        <f t="shared" si="274"/>
        <v>PRA</v>
      </c>
      <c r="D2179">
        <v>15</v>
      </c>
      <c r="E2179" t="str">
        <f t="shared" si="275"/>
        <v>305</v>
      </c>
      <c r="F2179" t="str">
        <f>"198"</f>
        <v>198</v>
      </c>
    </row>
    <row r="2180" spans="1:6">
      <c r="A2180" t="str">
        <f>"E1086-247"</f>
        <v>E1086-247</v>
      </c>
      <c r="B2180" t="str">
        <f t="shared" si="273"/>
        <v>VIA ELIO VITTORINI  38-</v>
      </c>
      <c r="C2180" t="str">
        <f t="shared" si="274"/>
        <v>PRA</v>
      </c>
      <c r="D2180">
        <v>15</v>
      </c>
      <c r="E2180" t="str">
        <f t="shared" si="275"/>
        <v>305</v>
      </c>
      <c r="F2180" t="str">
        <f>"199"</f>
        <v>199</v>
      </c>
    </row>
    <row r="2181" spans="1:6">
      <c r="A2181" t="str">
        <f>"E1086-248"</f>
        <v>E1086-248</v>
      </c>
      <c r="B2181" t="str">
        <f t="shared" si="273"/>
        <v>VIA ELIO VITTORINI  38-</v>
      </c>
      <c r="C2181" t="str">
        <f t="shared" si="274"/>
        <v>PRA</v>
      </c>
      <c r="D2181">
        <v>15</v>
      </c>
      <c r="E2181" t="str">
        <f t="shared" si="275"/>
        <v>305</v>
      </c>
      <c r="F2181" t="str">
        <f>"200"</f>
        <v>200</v>
      </c>
    </row>
    <row r="2182" spans="1:6">
      <c r="A2182" t="str">
        <f>"E1086-249"</f>
        <v>E1086-249</v>
      </c>
      <c r="B2182" t="str">
        <f t="shared" ref="B2182:B2187" si="276">"VIA ELIO VITTORINI  40-"</f>
        <v>VIA ELIO VITTORINI  40-</v>
      </c>
      <c r="C2182" t="str">
        <f t="shared" si="274"/>
        <v>PRA</v>
      </c>
      <c r="D2182">
        <v>15</v>
      </c>
      <c r="E2182" t="str">
        <f t="shared" si="275"/>
        <v>305</v>
      </c>
      <c r="F2182" t="str">
        <f>"182"</f>
        <v>182</v>
      </c>
    </row>
    <row r="2183" spans="1:6">
      <c r="A2183" t="str">
        <f>"E1086-250"</f>
        <v>E1086-250</v>
      </c>
      <c r="B2183" t="str">
        <f t="shared" si="276"/>
        <v>VIA ELIO VITTORINI  40-</v>
      </c>
      <c r="C2183" t="str">
        <f t="shared" si="274"/>
        <v>PRA</v>
      </c>
      <c r="D2183">
        <v>15</v>
      </c>
      <c r="E2183" t="str">
        <f t="shared" si="275"/>
        <v>305</v>
      </c>
      <c r="F2183" t="str">
        <f>"183"</f>
        <v>183</v>
      </c>
    </row>
    <row r="2184" spans="1:6">
      <c r="A2184" t="str">
        <f>"E1086-251"</f>
        <v>E1086-251</v>
      </c>
      <c r="B2184" t="str">
        <f t="shared" si="276"/>
        <v>VIA ELIO VITTORINI  40-</v>
      </c>
      <c r="C2184" t="str">
        <f t="shared" si="274"/>
        <v>PRA</v>
      </c>
      <c r="D2184">
        <v>15</v>
      </c>
      <c r="E2184" t="str">
        <f t="shared" si="275"/>
        <v>305</v>
      </c>
      <c r="F2184" t="str">
        <f>"184"</f>
        <v>184</v>
      </c>
    </row>
    <row r="2185" spans="1:6">
      <c r="A2185" t="str">
        <f>"E1086-252"</f>
        <v>E1086-252</v>
      </c>
      <c r="B2185" t="str">
        <f t="shared" si="276"/>
        <v>VIA ELIO VITTORINI  40-</v>
      </c>
      <c r="C2185" t="str">
        <f t="shared" si="274"/>
        <v>PRA</v>
      </c>
      <c r="D2185">
        <v>15</v>
      </c>
      <c r="E2185" t="str">
        <f t="shared" si="275"/>
        <v>305</v>
      </c>
      <c r="F2185" t="str">
        <f>"185"</f>
        <v>185</v>
      </c>
    </row>
    <row r="2186" spans="1:6">
      <c r="A2186" t="str">
        <f>"E1086-253"</f>
        <v>E1086-253</v>
      </c>
      <c r="B2186" t="str">
        <f t="shared" si="276"/>
        <v>VIA ELIO VITTORINI  40-</v>
      </c>
      <c r="C2186" t="str">
        <f t="shared" si="274"/>
        <v>PRA</v>
      </c>
      <c r="D2186">
        <v>15</v>
      </c>
      <c r="E2186" t="str">
        <f t="shared" si="275"/>
        <v>305</v>
      </c>
      <c r="F2186" t="str">
        <f>"186"</f>
        <v>186</v>
      </c>
    </row>
    <row r="2187" spans="1:6">
      <c r="A2187" t="str">
        <f>"E1086-254"</f>
        <v>E1086-254</v>
      </c>
      <c r="B2187" t="str">
        <f t="shared" si="276"/>
        <v>VIA ELIO VITTORINI  40-</v>
      </c>
      <c r="C2187" t="str">
        <f t="shared" si="274"/>
        <v>PRA</v>
      </c>
      <c r="D2187">
        <v>15</v>
      </c>
      <c r="E2187" t="str">
        <f t="shared" si="275"/>
        <v>305</v>
      </c>
      <c r="F2187" t="str">
        <f>"187"</f>
        <v>187</v>
      </c>
    </row>
    <row r="2188" spans="1:6">
      <c r="A2188" t="str">
        <f>"E1086-255"</f>
        <v>E1086-255</v>
      </c>
      <c r="B2188" t="str">
        <f t="shared" ref="B2188:B2193" si="277">"VIA ELIO VITTORINI  42-"</f>
        <v>VIA ELIO VITTORINI  42-</v>
      </c>
      <c r="C2188" t="str">
        <f t="shared" si="274"/>
        <v>PRA</v>
      </c>
      <c r="D2188">
        <v>15</v>
      </c>
      <c r="E2188" t="str">
        <f t="shared" si="275"/>
        <v>305</v>
      </c>
      <c r="F2188" t="str">
        <f>"169"</f>
        <v>169</v>
      </c>
    </row>
    <row r="2189" spans="1:6">
      <c r="A2189" t="str">
        <f>"E1086-256"</f>
        <v>E1086-256</v>
      </c>
      <c r="B2189" t="str">
        <f t="shared" si="277"/>
        <v>VIA ELIO VITTORINI  42-</v>
      </c>
      <c r="C2189" t="str">
        <f t="shared" si="274"/>
        <v>PRA</v>
      </c>
      <c r="D2189">
        <v>15</v>
      </c>
      <c r="E2189" t="str">
        <f t="shared" si="275"/>
        <v>305</v>
      </c>
      <c r="F2189" t="str">
        <f>"170"</f>
        <v>170</v>
      </c>
    </row>
    <row r="2190" spans="1:6">
      <c r="A2190" t="str">
        <f>"E1086-257"</f>
        <v>E1086-257</v>
      </c>
      <c r="B2190" t="str">
        <f t="shared" si="277"/>
        <v>VIA ELIO VITTORINI  42-</v>
      </c>
      <c r="C2190" t="str">
        <f t="shared" si="274"/>
        <v>PRA</v>
      </c>
      <c r="D2190">
        <v>15</v>
      </c>
      <c r="E2190" t="str">
        <f t="shared" si="275"/>
        <v>305</v>
      </c>
      <c r="F2190" t="str">
        <f>"171"</f>
        <v>171</v>
      </c>
    </row>
    <row r="2191" spans="1:6">
      <c r="A2191" t="str">
        <f>"E1086-258"</f>
        <v>E1086-258</v>
      </c>
      <c r="B2191" t="str">
        <f t="shared" si="277"/>
        <v>VIA ELIO VITTORINI  42-</v>
      </c>
      <c r="C2191" t="str">
        <f t="shared" si="274"/>
        <v>PRA</v>
      </c>
      <c r="D2191">
        <v>15</v>
      </c>
      <c r="E2191" t="str">
        <f t="shared" si="275"/>
        <v>305</v>
      </c>
      <c r="F2191" t="str">
        <f>"172"</f>
        <v>172</v>
      </c>
    </row>
    <row r="2192" spans="1:6">
      <c r="A2192" t="str">
        <f>"E1086-259"</f>
        <v>E1086-259</v>
      </c>
      <c r="B2192" t="str">
        <f t="shared" si="277"/>
        <v>VIA ELIO VITTORINI  42-</v>
      </c>
      <c r="C2192" t="str">
        <f t="shared" si="274"/>
        <v>PRA</v>
      </c>
      <c r="D2192">
        <v>15</v>
      </c>
      <c r="E2192" t="str">
        <f t="shared" si="275"/>
        <v>305</v>
      </c>
      <c r="F2192" t="str">
        <f>"173"</f>
        <v>173</v>
      </c>
    </row>
    <row r="2193" spans="1:6">
      <c r="A2193" t="str">
        <f>"E1086-260"</f>
        <v>E1086-260</v>
      </c>
      <c r="B2193" t="str">
        <f t="shared" si="277"/>
        <v>VIA ELIO VITTORINI  42-</v>
      </c>
      <c r="C2193" t="str">
        <f t="shared" si="274"/>
        <v>PRA</v>
      </c>
      <c r="D2193">
        <v>15</v>
      </c>
      <c r="E2193" t="str">
        <f t="shared" si="275"/>
        <v>305</v>
      </c>
      <c r="F2193" t="str">
        <f>"174"</f>
        <v>174</v>
      </c>
    </row>
    <row r="2194" spans="1:6">
      <c r="A2194" t="str">
        <f>"E1086-261"</f>
        <v>E1086-261</v>
      </c>
      <c r="B2194" t="str">
        <f t="shared" ref="B2194:B2199" si="278">"VIA ELIO VITTORINI  38-"</f>
        <v>VIA ELIO VITTORINI  38-</v>
      </c>
      <c r="C2194" t="str">
        <f t="shared" si="274"/>
        <v>PRA</v>
      </c>
      <c r="D2194">
        <v>15</v>
      </c>
      <c r="E2194" t="str">
        <f t="shared" si="275"/>
        <v>305</v>
      </c>
      <c r="F2194" t="str">
        <f>"202"</f>
        <v>202</v>
      </c>
    </row>
    <row r="2195" spans="1:6">
      <c r="A2195" t="str">
        <f>"E1086-262"</f>
        <v>E1086-262</v>
      </c>
      <c r="B2195" t="str">
        <f t="shared" si="278"/>
        <v>VIA ELIO VITTORINI  38-</v>
      </c>
      <c r="C2195" t="str">
        <f t="shared" si="274"/>
        <v>PRA</v>
      </c>
      <c r="D2195">
        <v>15</v>
      </c>
      <c r="E2195" t="str">
        <f t="shared" si="275"/>
        <v>305</v>
      </c>
      <c r="F2195" t="str">
        <f>"203"</f>
        <v>203</v>
      </c>
    </row>
    <row r="2196" spans="1:6">
      <c r="A2196" t="str">
        <f>"E1086-263"</f>
        <v>E1086-263</v>
      </c>
      <c r="B2196" t="str">
        <f t="shared" si="278"/>
        <v>VIA ELIO VITTORINI  38-</v>
      </c>
      <c r="C2196" t="str">
        <f t="shared" si="274"/>
        <v>PRA</v>
      </c>
      <c r="D2196">
        <v>15</v>
      </c>
      <c r="E2196" t="str">
        <f t="shared" si="275"/>
        <v>305</v>
      </c>
      <c r="F2196" t="str">
        <f>"204"</f>
        <v>204</v>
      </c>
    </row>
    <row r="2197" spans="1:6">
      <c r="A2197" t="str">
        <f>"E1086-264"</f>
        <v>E1086-264</v>
      </c>
      <c r="B2197" t="str">
        <f t="shared" si="278"/>
        <v>VIA ELIO VITTORINI  38-</v>
      </c>
      <c r="C2197" t="str">
        <f t="shared" si="274"/>
        <v>PRA</v>
      </c>
      <c r="D2197">
        <v>15</v>
      </c>
      <c r="E2197" t="str">
        <f t="shared" si="275"/>
        <v>305</v>
      </c>
      <c r="F2197" t="str">
        <f>"205"</f>
        <v>205</v>
      </c>
    </row>
    <row r="2198" spans="1:6">
      <c r="A2198" t="str">
        <f>"E1086-265"</f>
        <v>E1086-265</v>
      </c>
      <c r="B2198" t="str">
        <f t="shared" si="278"/>
        <v>VIA ELIO VITTORINI  38-</v>
      </c>
      <c r="C2198" t="str">
        <f t="shared" si="274"/>
        <v>PRA</v>
      </c>
      <c r="D2198">
        <v>15</v>
      </c>
      <c r="E2198" t="str">
        <f t="shared" si="275"/>
        <v>305</v>
      </c>
      <c r="F2198" t="str">
        <f>"206"</f>
        <v>206</v>
      </c>
    </row>
    <row r="2199" spans="1:6">
      <c r="A2199" t="str">
        <f>"E1086-266"</f>
        <v>E1086-266</v>
      </c>
      <c r="B2199" t="str">
        <f t="shared" si="278"/>
        <v>VIA ELIO VITTORINI  38-</v>
      </c>
      <c r="C2199" t="str">
        <f t="shared" si="274"/>
        <v>PRA</v>
      </c>
      <c r="D2199">
        <v>15</v>
      </c>
      <c r="E2199" t="str">
        <f t="shared" si="275"/>
        <v>305</v>
      </c>
      <c r="F2199" t="str">
        <f>"207"</f>
        <v>207</v>
      </c>
    </row>
    <row r="2200" spans="1:6">
      <c r="A2200" t="str">
        <f>"E1086-267"</f>
        <v>E1086-267</v>
      </c>
      <c r="B2200" t="str">
        <f t="shared" ref="B2200:B2205" si="279">"VIA ELIO VITTORINI  40-"</f>
        <v>VIA ELIO VITTORINI  40-</v>
      </c>
      <c r="C2200" t="str">
        <f t="shared" si="274"/>
        <v>PRA</v>
      </c>
      <c r="D2200">
        <v>15</v>
      </c>
      <c r="E2200" t="str">
        <f t="shared" si="275"/>
        <v>305</v>
      </c>
      <c r="F2200" t="str">
        <f>"188"</f>
        <v>188</v>
      </c>
    </row>
    <row r="2201" spans="1:6">
      <c r="A2201" t="str">
        <f>"E1086-268"</f>
        <v>E1086-268</v>
      </c>
      <c r="B2201" t="str">
        <f t="shared" si="279"/>
        <v>VIA ELIO VITTORINI  40-</v>
      </c>
      <c r="C2201" t="str">
        <f t="shared" si="274"/>
        <v>PRA</v>
      </c>
      <c r="D2201">
        <v>15</v>
      </c>
      <c r="E2201" t="str">
        <f t="shared" si="275"/>
        <v>305</v>
      </c>
      <c r="F2201" t="str">
        <f>"189"</f>
        <v>189</v>
      </c>
    </row>
    <row r="2202" spans="1:6">
      <c r="A2202" t="str">
        <f>"E1086-269"</f>
        <v>E1086-269</v>
      </c>
      <c r="B2202" t="str">
        <f t="shared" si="279"/>
        <v>VIA ELIO VITTORINI  40-</v>
      </c>
      <c r="C2202" t="str">
        <f t="shared" si="274"/>
        <v>PRA</v>
      </c>
      <c r="D2202">
        <v>15</v>
      </c>
      <c r="E2202" t="str">
        <f t="shared" si="275"/>
        <v>305</v>
      </c>
      <c r="F2202" t="str">
        <f>"190"</f>
        <v>190</v>
      </c>
    </row>
    <row r="2203" spans="1:6">
      <c r="A2203" t="str">
        <f>"E1086-270"</f>
        <v>E1086-270</v>
      </c>
      <c r="B2203" t="str">
        <f t="shared" si="279"/>
        <v>VIA ELIO VITTORINI  40-</v>
      </c>
      <c r="C2203" t="str">
        <f t="shared" si="274"/>
        <v>PRA</v>
      </c>
      <c r="D2203">
        <v>15</v>
      </c>
      <c r="E2203" t="str">
        <f t="shared" si="275"/>
        <v>305</v>
      </c>
      <c r="F2203" t="str">
        <f>"191"</f>
        <v>191</v>
      </c>
    </row>
    <row r="2204" spans="1:6">
      <c r="A2204" t="str">
        <f>"E1086-271"</f>
        <v>E1086-271</v>
      </c>
      <c r="B2204" t="str">
        <f t="shared" si="279"/>
        <v>VIA ELIO VITTORINI  40-</v>
      </c>
      <c r="C2204" t="str">
        <f t="shared" si="274"/>
        <v>PRA</v>
      </c>
      <c r="D2204">
        <v>15</v>
      </c>
      <c r="E2204" t="str">
        <f t="shared" si="275"/>
        <v>305</v>
      </c>
      <c r="F2204" t="str">
        <f>"192"</f>
        <v>192</v>
      </c>
    </row>
    <row r="2205" spans="1:6">
      <c r="A2205" t="str">
        <f>"E1086-272"</f>
        <v>E1086-272</v>
      </c>
      <c r="B2205" t="str">
        <f t="shared" si="279"/>
        <v>VIA ELIO VITTORINI  40-</v>
      </c>
      <c r="C2205" t="str">
        <f t="shared" si="274"/>
        <v>PRA</v>
      </c>
      <c r="D2205">
        <v>15</v>
      </c>
      <c r="E2205" t="str">
        <f t="shared" si="275"/>
        <v>305</v>
      </c>
      <c r="F2205" t="str">
        <f>"193"</f>
        <v>193</v>
      </c>
    </row>
    <row r="2206" spans="1:6">
      <c r="A2206" t="str">
        <f>"E1086-273"</f>
        <v>E1086-273</v>
      </c>
      <c r="B2206" t="str">
        <f t="shared" ref="B2206:B2211" si="280">"VIA ELIO VITTORINI  42-"</f>
        <v>VIA ELIO VITTORINI  42-</v>
      </c>
      <c r="C2206" t="str">
        <f t="shared" si="274"/>
        <v>PRA</v>
      </c>
      <c r="D2206">
        <v>15</v>
      </c>
      <c r="E2206" t="str">
        <f t="shared" si="275"/>
        <v>305</v>
      </c>
      <c r="F2206" t="str">
        <f>"175"</f>
        <v>175</v>
      </c>
    </row>
    <row r="2207" spans="1:6">
      <c r="A2207" t="str">
        <f>"E1086-274"</f>
        <v>E1086-274</v>
      </c>
      <c r="B2207" t="str">
        <f t="shared" si="280"/>
        <v>VIA ELIO VITTORINI  42-</v>
      </c>
      <c r="C2207" t="str">
        <f t="shared" si="274"/>
        <v>PRA</v>
      </c>
      <c r="D2207">
        <v>15</v>
      </c>
      <c r="E2207" t="str">
        <f t="shared" si="275"/>
        <v>305</v>
      </c>
      <c r="F2207" t="str">
        <f>"176"</f>
        <v>176</v>
      </c>
    </row>
    <row r="2208" spans="1:6">
      <c r="A2208" t="str">
        <f>"E1086-275"</f>
        <v>E1086-275</v>
      </c>
      <c r="B2208" t="str">
        <f t="shared" si="280"/>
        <v>VIA ELIO VITTORINI  42-</v>
      </c>
      <c r="C2208" t="str">
        <f t="shared" ref="C2208:C2216" si="281">"PRA"</f>
        <v>PRA</v>
      </c>
      <c r="D2208">
        <v>15</v>
      </c>
      <c r="E2208" t="str">
        <f t="shared" si="275"/>
        <v>305</v>
      </c>
      <c r="F2208" t="str">
        <f>"177"</f>
        <v>177</v>
      </c>
    </row>
    <row r="2209" spans="1:6">
      <c r="A2209" t="str">
        <f>"E1086-276"</f>
        <v>E1086-276</v>
      </c>
      <c r="B2209" t="str">
        <f t="shared" si="280"/>
        <v>VIA ELIO VITTORINI  42-</v>
      </c>
      <c r="C2209" t="str">
        <f t="shared" si="281"/>
        <v>PRA</v>
      </c>
      <c r="D2209">
        <v>15</v>
      </c>
      <c r="E2209" t="str">
        <f t="shared" si="275"/>
        <v>305</v>
      </c>
      <c r="F2209" t="str">
        <f>"178"</f>
        <v>178</v>
      </c>
    </row>
    <row r="2210" spans="1:6">
      <c r="A2210" t="str">
        <f>"E1086-277"</f>
        <v>E1086-277</v>
      </c>
      <c r="B2210" t="str">
        <f t="shared" si="280"/>
        <v>VIA ELIO VITTORINI  42-</v>
      </c>
      <c r="C2210" t="str">
        <f t="shared" si="281"/>
        <v>PRA</v>
      </c>
      <c r="D2210">
        <v>15</v>
      </c>
      <c r="E2210" t="str">
        <f t="shared" si="275"/>
        <v>305</v>
      </c>
      <c r="F2210" t="str">
        <f>"179"</f>
        <v>179</v>
      </c>
    </row>
    <row r="2211" spans="1:6">
      <c r="A2211" t="str">
        <f>"E1086-278"</f>
        <v>E1086-278</v>
      </c>
      <c r="B2211" t="str">
        <f t="shared" si="280"/>
        <v>VIA ELIO VITTORINI  42-</v>
      </c>
      <c r="C2211" t="str">
        <f t="shared" si="281"/>
        <v>PRA</v>
      </c>
      <c r="D2211">
        <v>15</v>
      </c>
      <c r="E2211" t="str">
        <f t="shared" si="275"/>
        <v>305</v>
      </c>
      <c r="F2211" t="str">
        <f>"180"</f>
        <v>180</v>
      </c>
    </row>
    <row r="2212" spans="1:6">
      <c r="A2212" t="str">
        <f>"E1086-279"</f>
        <v>E1086-279</v>
      </c>
      <c r="B2212" t="str">
        <f>"VIA ELIO VITTORINI  34-"</f>
        <v>VIA ELIO VITTORINI  34-</v>
      </c>
      <c r="C2212" t="str">
        <f t="shared" si="281"/>
        <v>PRA</v>
      </c>
      <c r="D2212">
        <v>15</v>
      </c>
      <c r="E2212" t="str">
        <f t="shared" si="275"/>
        <v>305</v>
      </c>
      <c r="F2212" t="str">
        <f>"222"</f>
        <v>222</v>
      </c>
    </row>
    <row r="2213" spans="1:6">
      <c r="A2213" t="str">
        <f>"E1087-1"</f>
        <v>E1087-1</v>
      </c>
      <c r="B2213" t="str">
        <f>"VIA CESARE PAVESE  12-"</f>
        <v>VIA CESARE PAVESE  12-</v>
      </c>
      <c r="C2213" t="str">
        <f t="shared" si="281"/>
        <v>PRA</v>
      </c>
      <c r="D2213">
        <v>8</v>
      </c>
      <c r="E2213" t="str">
        <f>"1110"</f>
        <v>1110</v>
      </c>
      <c r="F2213" t="str">
        <f>"1"</f>
        <v>1</v>
      </c>
    </row>
    <row r="2214" spans="1:6">
      <c r="A2214" t="str">
        <f>"E1087-2"</f>
        <v>E1087-2</v>
      </c>
      <c r="B2214" t="str">
        <f>"VIA CESARE PAVESE  12G-"</f>
        <v>VIA CESARE PAVESE  12G-</v>
      </c>
      <c r="C2214" t="str">
        <f t="shared" si="281"/>
        <v>PRA</v>
      </c>
      <c r="D2214">
        <v>8</v>
      </c>
      <c r="E2214" t="str">
        <f>"1110"</f>
        <v>1110</v>
      </c>
      <c r="F2214" t="str">
        <f>"2"</f>
        <v>2</v>
      </c>
    </row>
    <row r="2215" spans="1:6">
      <c r="A2215" t="str">
        <f>"E1087-3"</f>
        <v>E1087-3</v>
      </c>
      <c r="B2215" t="str">
        <f>"VIA CESARE PAVESE VICINO AL 12D-"</f>
        <v>VIA CESARE PAVESE VICINO AL 12D-</v>
      </c>
      <c r="C2215" t="str">
        <f t="shared" si="281"/>
        <v>PRA</v>
      </c>
      <c r="D2215">
        <v>8</v>
      </c>
      <c r="E2215" t="str">
        <f>"1110"</f>
        <v>1110</v>
      </c>
      <c r="F2215" t="str">
        <f>"3"</f>
        <v>3</v>
      </c>
    </row>
    <row r="2216" spans="1:6">
      <c r="A2216" t="str">
        <f>"E1087-4"</f>
        <v>E1087-4</v>
      </c>
      <c r="B2216" t="str">
        <f>"VIA CESARE PAVESE  12D-"</f>
        <v>VIA CESARE PAVESE  12D-</v>
      </c>
      <c r="C2216" t="str">
        <f t="shared" si="281"/>
        <v>PRA</v>
      </c>
      <c r="D2216">
        <v>8</v>
      </c>
      <c r="E2216" t="str">
        <f>"1110"</f>
        <v>1110</v>
      </c>
      <c r="F2216" t="str">
        <f>"4"</f>
        <v>4</v>
      </c>
    </row>
    <row r="2217" spans="1:6">
      <c r="A2217" t="str">
        <f>"E1088-1"</f>
        <v>E1088-1</v>
      </c>
      <c r="B2217" t="str">
        <f>"VIA GIUSEPPE UNGARETTI  24-"</f>
        <v>VIA GIUSEPPE UNGARETTI  24-</v>
      </c>
      <c r="C2217" t="str">
        <f t="shared" ref="C2217:C2242" si="282">"3"</f>
        <v>3</v>
      </c>
      <c r="D2217">
        <v>15</v>
      </c>
      <c r="E2217" t="str">
        <f>"106"</f>
        <v>106</v>
      </c>
      <c r="F2217" t="str">
        <f t="shared" ref="F2217:F2242" si="283">"0000"</f>
        <v>0000</v>
      </c>
    </row>
    <row r="2218" spans="1:6">
      <c r="C2218" t="str">
        <f t="shared" si="282"/>
        <v>3</v>
      </c>
      <c r="D2218">
        <v>15</v>
      </c>
      <c r="E2218" t="str">
        <f>"108"</f>
        <v>108</v>
      </c>
      <c r="F2218" t="str">
        <f t="shared" si="283"/>
        <v>0000</v>
      </c>
    </row>
    <row r="2219" spans="1:6">
      <c r="C2219" t="str">
        <f t="shared" si="282"/>
        <v>3</v>
      </c>
      <c r="D2219">
        <v>15</v>
      </c>
      <c r="E2219" t="str">
        <f>"154"</f>
        <v>154</v>
      </c>
      <c r="F2219" t="str">
        <f t="shared" si="283"/>
        <v>0000</v>
      </c>
    </row>
    <row r="2220" spans="1:6">
      <c r="C2220" t="str">
        <f t="shared" si="282"/>
        <v>3</v>
      </c>
      <c r="D2220">
        <v>15</v>
      </c>
      <c r="E2220" t="str">
        <f>"153"</f>
        <v>153</v>
      </c>
      <c r="F2220" t="str">
        <f t="shared" si="283"/>
        <v>0000</v>
      </c>
    </row>
    <row r="2221" spans="1:6">
      <c r="C2221" t="str">
        <f t="shared" si="282"/>
        <v>3</v>
      </c>
      <c r="D2221">
        <v>15</v>
      </c>
      <c r="E2221" t="str">
        <f>"151"</f>
        <v>151</v>
      </c>
      <c r="F2221" t="str">
        <f t="shared" si="283"/>
        <v>0000</v>
      </c>
    </row>
    <row r="2222" spans="1:6">
      <c r="C2222" t="str">
        <f t="shared" si="282"/>
        <v>3</v>
      </c>
      <c r="D2222">
        <v>15</v>
      </c>
      <c r="E2222" t="str">
        <f>"150"</f>
        <v>150</v>
      </c>
      <c r="F2222" t="str">
        <f t="shared" si="283"/>
        <v>0000</v>
      </c>
    </row>
    <row r="2223" spans="1:6">
      <c r="C2223" t="str">
        <f t="shared" si="282"/>
        <v>3</v>
      </c>
      <c r="D2223">
        <v>15</v>
      </c>
      <c r="E2223" t="str">
        <f>"149"</f>
        <v>149</v>
      </c>
      <c r="F2223" t="str">
        <f t="shared" si="283"/>
        <v>0000</v>
      </c>
    </row>
    <row r="2224" spans="1:6">
      <c r="C2224" t="str">
        <f t="shared" si="282"/>
        <v>3</v>
      </c>
      <c r="D2224">
        <v>15</v>
      </c>
      <c r="E2224" t="str">
        <f>"142"</f>
        <v>142</v>
      </c>
      <c r="F2224" t="str">
        <f t="shared" si="283"/>
        <v>0000</v>
      </c>
    </row>
    <row r="2225" spans="1:6">
      <c r="C2225" t="str">
        <f t="shared" si="282"/>
        <v>3</v>
      </c>
      <c r="D2225">
        <v>15</v>
      </c>
      <c r="E2225" t="str">
        <f>"141"</f>
        <v>141</v>
      </c>
      <c r="F2225" t="str">
        <f t="shared" si="283"/>
        <v>0000</v>
      </c>
    </row>
    <row r="2226" spans="1:6">
      <c r="C2226" t="str">
        <f t="shared" si="282"/>
        <v>3</v>
      </c>
      <c r="D2226">
        <v>15</v>
      </c>
      <c r="E2226" t="str">
        <f>"140"</f>
        <v>140</v>
      </c>
      <c r="F2226" t="str">
        <f t="shared" si="283"/>
        <v>0000</v>
      </c>
    </row>
    <row r="2227" spans="1:6">
      <c r="C2227" t="str">
        <f t="shared" si="282"/>
        <v>3</v>
      </c>
      <c r="D2227">
        <v>15</v>
      </c>
      <c r="E2227" t="str">
        <f>"109"</f>
        <v>109</v>
      </c>
      <c r="F2227" t="str">
        <f t="shared" si="283"/>
        <v>0000</v>
      </c>
    </row>
    <row r="2228" spans="1:6">
      <c r="C2228" t="str">
        <f t="shared" si="282"/>
        <v>3</v>
      </c>
      <c r="D2228">
        <v>15</v>
      </c>
      <c r="E2228" t="str">
        <f>"161"</f>
        <v>161</v>
      </c>
      <c r="F2228" t="str">
        <f t="shared" si="283"/>
        <v>0000</v>
      </c>
    </row>
    <row r="2229" spans="1:6">
      <c r="C2229" t="str">
        <f t="shared" si="282"/>
        <v>3</v>
      </c>
      <c r="D2229">
        <v>15</v>
      </c>
      <c r="E2229" t="str">
        <f>"160"</f>
        <v>160</v>
      </c>
      <c r="F2229" t="str">
        <f t="shared" si="283"/>
        <v>0000</v>
      </c>
    </row>
    <row r="2230" spans="1:6">
      <c r="C2230" t="str">
        <f t="shared" si="282"/>
        <v>3</v>
      </c>
      <c r="D2230">
        <v>15</v>
      </c>
      <c r="E2230" t="str">
        <f>"159"</f>
        <v>159</v>
      </c>
      <c r="F2230" t="str">
        <f t="shared" si="283"/>
        <v>0000</v>
      </c>
    </row>
    <row r="2231" spans="1:6">
      <c r="C2231" t="str">
        <f t="shared" si="282"/>
        <v>3</v>
      </c>
      <c r="D2231">
        <v>15</v>
      </c>
      <c r="E2231" t="str">
        <f>"155"</f>
        <v>155</v>
      </c>
      <c r="F2231" t="str">
        <f t="shared" si="283"/>
        <v>0000</v>
      </c>
    </row>
    <row r="2232" spans="1:6">
      <c r="A2232" t="str">
        <f>"E1089-1"</f>
        <v>E1089-1</v>
      </c>
      <c r="B2232" t="str">
        <f>"VIA GIUSEPPE UNGARETTI  108-"</f>
        <v>VIA GIUSEPPE UNGARETTI  108-</v>
      </c>
      <c r="C2232" t="str">
        <f t="shared" si="282"/>
        <v>3</v>
      </c>
      <c r="D2232">
        <v>15</v>
      </c>
      <c r="E2232" t="str">
        <f>"133"</f>
        <v>133</v>
      </c>
      <c r="F2232" t="str">
        <f t="shared" si="283"/>
        <v>0000</v>
      </c>
    </row>
    <row r="2233" spans="1:6">
      <c r="C2233" t="str">
        <f t="shared" si="282"/>
        <v>3</v>
      </c>
      <c r="D2233">
        <v>15</v>
      </c>
      <c r="E2233" t="str">
        <f>"174"</f>
        <v>174</v>
      </c>
      <c r="F2233" t="str">
        <f t="shared" si="283"/>
        <v>0000</v>
      </c>
    </row>
    <row r="2234" spans="1:6">
      <c r="C2234" t="str">
        <f t="shared" si="282"/>
        <v>3</v>
      </c>
      <c r="D2234">
        <v>15</v>
      </c>
      <c r="E2234" t="str">
        <f>"139"</f>
        <v>139</v>
      </c>
      <c r="F2234" t="str">
        <f t="shared" si="283"/>
        <v>0000</v>
      </c>
    </row>
    <row r="2235" spans="1:6">
      <c r="C2235" t="str">
        <f t="shared" si="282"/>
        <v>3</v>
      </c>
      <c r="D2235">
        <v>15</v>
      </c>
      <c r="E2235" t="str">
        <f>"175"</f>
        <v>175</v>
      </c>
      <c r="F2235" t="str">
        <f t="shared" si="283"/>
        <v>0000</v>
      </c>
    </row>
    <row r="2236" spans="1:6">
      <c r="C2236" t="str">
        <f t="shared" si="282"/>
        <v>3</v>
      </c>
      <c r="D2236">
        <v>41</v>
      </c>
      <c r="E2236" t="str">
        <f>"164"</f>
        <v>164</v>
      </c>
      <c r="F2236" t="str">
        <f t="shared" si="283"/>
        <v>0000</v>
      </c>
    </row>
    <row r="2237" spans="1:6">
      <c r="C2237" t="str">
        <f t="shared" si="282"/>
        <v>3</v>
      </c>
      <c r="D2237">
        <v>41</v>
      </c>
      <c r="E2237" t="str">
        <f>"108"</f>
        <v>108</v>
      </c>
      <c r="F2237" t="str">
        <f t="shared" si="283"/>
        <v>0000</v>
      </c>
    </row>
    <row r="2238" spans="1:6">
      <c r="C2238" t="str">
        <f t="shared" si="282"/>
        <v>3</v>
      </c>
      <c r="D2238">
        <v>15</v>
      </c>
      <c r="E2238" t="str">
        <f>"187"</f>
        <v>187</v>
      </c>
      <c r="F2238" t="str">
        <f t="shared" si="283"/>
        <v>0000</v>
      </c>
    </row>
    <row r="2239" spans="1:6">
      <c r="C2239" t="str">
        <f t="shared" si="282"/>
        <v>3</v>
      </c>
      <c r="D2239">
        <v>15</v>
      </c>
      <c r="E2239" t="str">
        <f>"177"</f>
        <v>177</v>
      </c>
      <c r="F2239" t="str">
        <f t="shared" si="283"/>
        <v>0000</v>
      </c>
    </row>
    <row r="2240" spans="1:6">
      <c r="C2240" t="str">
        <f t="shared" si="282"/>
        <v>3</v>
      </c>
      <c r="D2240">
        <v>15</v>
      </c>
      <c r="E2240" t="str">
        <f>"176"</f>
        <v>176</v>
      </c>
      <c r="F2240" t="str">
        <f t="shared" si="283"/>
        <v>0000</v>
      </c>
    </row>
    <row r="2241" spans="1:6">
      <c r="A2241" t="str">
        <f>"E1090-1"</f>
        <v>E1090-1</v>
      </c>
      <c r="B2241" t="str">
        <f>"LUNGOMARE DI PEGLI VICINO AL 1-"</f>
        <v>LUNGOMARE DI PEGLI VICINO AL 1-</v>
      </c>
      <c r="C2241" t="str">
        <f t="shared" si="282"/>
        <v>3</v>
      </c>
      <c r="D2241">
        <v>45</v>
      </c>
      <c r="E2241" t="str">
        <f>"519"</f>
        <v>519</v>
      </c>
      <c r="F2241" t="str">
        <f t="shared" si="283"/>
        <v>0000</v>
      </c>
    </row>
    <row r="2242" spans="1:6">
      <c r="C2242" t="str">
        <f t="shared" si="282"/>
        <v>3</v>
      </c>
      <c r="D2242">
        <v>45</v>
      </c>
      <c r="E2242" t="str">
        <f>"99999"</f>
        <v>99999</v>
      </c>
      <c r="F2242" t="str">
        <f t="shared" si="283"/>
        <v>0000</v>
      </c>
    </row>
    <row r="2243" spans="1:6">
      <c r="A2243" t="str">
        <f>"E1091-1"</f>
        <v>E1091-1</v>
      </c>
      <c r="B2243" t="str">
        <f t="shared" ref="B2243:B2253" si="284">"VIA GIULIO PASTORE  4-"</f>
        <v>VIA GIULIO PASTORE  4-</v>
      </c>
      <c r="C2243" t="str">
        <f t="shared" ref="C2243:C2259" si="285">"VOL"</f>
        <v>VOL</v>
      </c>
      <c r="D2243">
        <v>30</v>
      </c>
      <c r="E2243" t="str">
        <f t="shared" ref="E2243:E2259" si="286">"513"</f>
        <v>513</v>
      </c>
      <c r="F2243" t="str">
        <f>"3"</f>
        <v>3</v>
      </c>
    </row>
    <row r="2244" spans="1:6">
      <c r="A2244" t="str">
        <f>"E1091-2"</f>
        <v>E1091-2</v>
      </c>
      <c r="B2244" t="str">
        <f t="shared" si="284"/>
        <v>VIA GIULIO PASTORE  4-</v>
      </c>
      <c r="C2244" t="str">
        <f t="shared" si="285"/>
        <v>VOL</v>
      </c>
      <c r="D2244">
        <v>30</v>
      </c>
      <c r="E2244" t="str">
        <f t="shared" si="286"/>
        <v>513</v>
      </c>
      <c r="F2244" t="str">
        <f>"4"</f>
        <v>4</v>
      </c>
    </row>
    <row r="2245" spans="1:6">
      <c r="A2245" t="str">
        <f>"E1091-3"</f>
        <v>E1091-3</v>
      </c>
      <c r="B2245" t="str">
        <f t="shared" si="284"/>
        <v>VIA GIULIO PASTORE  4-</v>
      </c>
      <c r="C2245" t="str">
        <f t="shared" si="285"/>
        <v>VOL</v>
      </c>
      <c r="D2245">
        <v>30</v>
      </c>
      <c r="E2245" t="str">
        <f t="shared" si="286"/>
        <v>513</v>
      </c>
      <c r="F2245" t="str">
        <f>"5"</f>
        <v>5</v>
      </c>
    </row>
    <row r="2246" spans="1:6">
      <c r="A2246" t="str">
        <f>"E1091-4"</f>
        <v>E1091-4</v>
      </c>
      <c r="B2246" t="str">
        <f t="shared" si="284"/>
        <v>VIA GIULIO PASTORE  4-</v>
      </c>
      <c r="C2246" t="str">
        <f t="shared" si="285"/>
        <v>VOL</v>
      </c>
      <c r="D2246">
        <v>30</v>
      </c>
      <c r="E2246" t="str">
        <f t="shared" si="286"/>
        <v>513</v>
      </c>
      <c r="F2246" t="str">
        <f>"6"</f>
        <v>6</v>
      </c>
    </row>
    <row r="2247" spans="1:6">
      <c r="A2247" t="str">
        <f>"E1091-5"</f>
        <v>E1091-5</v>
      </c>
      <c r="B2247" t="str">
        <f t="shared" si="284"/>
        <v>VIA GIULIO PASTORE  4-</v>
      </c>
      <c r="C2247" t="str">
        <f t="shared" si="285"/>
        <v>VOL</v>
      </c>
      <c r="D2247">
        <v>30</v>
      </c>
      <c r="E2247" t="str">
        <f t="shared" si="286"/>
        <v>513</v>
      </c>
      <c r="F2247" t="str">
        <f>"7"</f>
        <v>7</v>
      </c>
    </row>
    <row r="2248" spans="1:6">
      <c r="A2248" t="str">
        <f>"E1091-6"</f>
        <v>E1091-6</v>
      </c>
      <c r="B2248" t="str">
        <f t="shared" si="284"/>
        <v>VIA GIULIO PASTORE  4-</v>
      </c>
      <c r="C2248" t="str">
        <f t="shared" si="285"/>
        <v>VOL</v>
      </c>
      <c r="D2248">
        <v>30</v>
      </c>
      <c r="E2248" t="str">
        <f t="shared" si="286"/>
        <v>513</v>
      </c>
      <c r="F2248" t="str">
        <f>"8"</f>
        <v>8</v>
      </c>
    </row>
    <row r="2249" spans="1:6">
      <c r="A2249" t="str">
        <f>"E1091-8"</f>
        <v>E1091-8</v>
      </c>
      <c r="B2249" t="str">
        <f t="shared" si="284"/>
        <v>VIA GIULIO PASTORE  4-</v>
      </c>
      <c r="C2249" t="str">
        <f t="shared" si="285"/>
        <v>VOL</v>
      </c>
      <c r="D2249">
        <v>30</v>
      </c>
      <c r="E2249" t="str">
        <f t="shared" si="286"/>
        <v>513</v>
      </c>
      <c r="F2249" t="str">
        <f>"10"</f>
        <v>10</v>
      </c>
    </row>
    <row r="2250" spans="1:6">
      <c r="A2250" t="str">
        <f>"E1091-9"</f>
        <v>E1091-9</v>
      </c>
      <c r="B2250" t="str">
        <f t="shared" si="284"/>
        <v>VIA GIULIO PASTORE  4-</v>
      </c>
      <c r="C2250" t="str">
        <f t="shared" si="285"/>
        <v>VOL</v>
      </c>
      <c r="D2250">
        <v>30</v>
      </c>
      <c r="E2250" t="str">
        <f t="shared" si="286"/>
        <v>513</v>
      </c>
      <c r="F2250" t="str">
        <f>"11"</f>
        <v>11</v>
      </c>
    </row>
    <row r="2251" spans="1:6">
      <c r="A2251" t="str">
        <f>"E1091-10"</f>
        <v>E1091-10</v>
      </c>
      <c r="B2251" t="str">
        <f t="shared" si="284"/>
        <v>VIA GIULIO PASTORE  4-</v>
      </c>
      <c r="C2251" t="str">
        <f t="shared" si="285"/>
        <v>VOL</v>
      </c>
      <c r="D2251">
        <v>30</v>
      </c>
      <c r="E2251" t="str">
        <f t="shared" si="286"/>
        <v>513</v>
      </c>
      <c r="F2251" t="str">
        <f>"12"</f>
        <v>12</v>
      </c>
    </row>
    <row r="2252" spans="1:6">
      <c r="A2252" t="str">
        <f>"E1091-13"</f>
        <v>E1091-13</v>
      </c>
      <c r="B2252" t="str">
        <f t="shared" si="284"/>
        <v>VIA GIULIO PASTORE  4-</v>
      </c>
      <c r="C2252" t="str">
        <f t="shared" si="285"/>
        <v>VOL</v>
      </c>
      <c r="D2252">
        <v>30</v>
      </c>
      <c r="E2252" t="str">
        <f t="shared" si="286"/>
        <v>513</v>
      </c>
      <c r="F2252" t="str">
        <f>"15"</f>
        <v>15</v>
      </c>
    </row>
    <row r="2253" spans="1:6">
      <c r="A2253" t="str">
        <f>"E1091-14"</f>
        <v>E1091-14</v>
      </c>
      <c r="B2253" t="str">
        <f t="shared" si="284"/>
        <v>VIA GIULIO PASTORE  4-</v>
      </c>
      <c r="C2253" t="str">
        <f t="shared" si="285"/>
        <v>VOL</v>
      </c>
      <c r="D2253">
        <v>30</v>
      </c>
      <c r="E2253" t="str">
        <f t="shared" si="286"/>
        <v>513</v>
      </c>
      <c r="F2253" t="str">
        <f>"16"</f>
        <v>16</v>
      </c>
    </row>
    <row r="2254" spans="1:6">
      <c r="A2254" t="str">
        <f>"E1091-15"</f>
        <v>E1091-15</v>
      </c>
      <c r="B2254" t="str">
        <f t="shared" ref="B2254:B2278" si="287">"VIA GIULIO PASTORE  12-"</f>
        <v>VIA GIULIO PASTORE  12-</v>
      </c>
      <c r="C2254" t="str">
        <f t="shared" si="285"/>
        <v>VOL</v>
      </c>
      <c r="D2254">
        <v>30</v>
      </c>
      <c r="E2254" t="str">
        <f t="shared" si="286"/>
        <v>513</v>
      </c>
      <c r="F2254" t="str">
        <f>"18"</f>
        <v>18</v>
      </c>
    </row>
    <row r="2255" spans="1:6">
      <c r="A2255" t="str">
        <f>"E1091-17"</f>
        <v>E1091-17</v>
      </c>
      <c r="B2255" t="str">
        <f t="shared" si="287"/>
        <v>VIA GIULIO PASTORE  12-</v>
      </c>
      <c r="C2255" t="str">
        <f t="shared" si="285"/>
        <v>VOL</v>
      </c>
      <c r="D2255">
        <v>30</v>
      </c>
      <c r="E2255" t="str">
        <f t="shared" si="286"/>
        <v>513</v>
      </c>
      <c r="F2255" t="str">
        <f>"20"</f>
        <v>20</v>
      </c>
    </row>
    <row r="2256" spans="1:6">
      <c r="A2256" t="str">
        <f>"E1091-18"</f>
        <v>E1091-18</v>
      </c>
      <c r="B2256" t="str">
        <f t="shared" si="287"/>
        <v>VIA GIULIO PASTORE  12-</v>
      </c>
      <c r="C2256" t="str">
        <f t="shared" si="285"/>
        <v>VOL</v>
      </c>
      <c r="D2256">
        <v>30</v>
      </c>
      <c r="E2256" t="str">
        <f t="shared" si="286"/>
        <v>513</v>
      </c>
      <c r="F2256" t="str">
        <f>"21"</f>
        <v>21</v>
      </c>
    </row>
    <row r="2257" spans="1:6">
      <c r="A2257" t="str">
        <f>"E1091-19"</f>
        <v>E1091-19</v>
      </c>
      <c r="B2257" t="str">
        <f t="shared" si="287"/>
        <v>VIA GIULIO PASTORE  12-</v>
      </c>
      <c r="C2257" t="str">
        <f t="shared" si="285"/>
        <v>VOL</v>
      </c>
      <c r="D2257">
        <v>30</v>
      </c>
      <c r="E2257" t="str">
        <f t="shared" si="286"/>
        <v>513</v>
      </c>
      <c r="F2257" t="str">
        <f>"22"</f>
        <v>22</v>
      </c>
    </row>
    <row r="2258" spans="1:6">
      <c r="A2258" t="str">
        <f>"E1091-20"</f>
        <v>E1091-20</v>
      </c>
      <c r="B2258" t="str">
        <f t="shared" si="287"/>
        <v>VIA GIULIO PASTORE  12-</v>
      </c>
      <c r="C2258" t="str">
        <f t="shared" si="285"/>
        <v>VOL</v>
      </c>
      <c r="D2258">
        <v>30</v>
      </c>
      <c r="E2258" t="str">
        <f t="shared" si="286"/>
        <v>513</v>
      </c>
      <c r="F2258" t="str">
        <f>"23"</f>
        <v>23</v>
      </c>
    </row>
    <row r="2259" spans="1:6">
      <c r="A2259" t="str">
        <f>"E1091-21"</f>
        <v>E1091-21</v>
      </c>
      <c r="B2259" t="str">
        <f t="shared" si="287"/>
        <v>VIA GIULIO PASTORE  12-</v>
      </c>
      <c r="C2259" t="str">
        <f t="shared" si="285"/>
        <v>VOL</v>
      </c>
      <c r="D2259">
        <v>30</v>
      </c>
      <c r="E2259" t="str">
        <f t="shared" si="286"/>
        <v>513</v>
      </c>
      <c r="F2259" t="str">
        <f>"24"</f>
        <v>24</v>
      </c>
    </row>
    <row r="2260" spans="1:6">
      <c r="A2260" t="str">
        <f>"E1091-22"</f>
        <v>E1091-22</v>
      </c>
      <c r="B2260" t="str">
        <f t="shared" si="287"/>
        <v>VIA GIULIO PASTORE  12-</v>
      </c>
      <c r="C2260" t="str">
        <f>"2"</f>
        <v>2</v>
      </c>
      <c r="D2260">
        <v>30</v>
      </c>
      <c r="E2260" t="str">
        <f>"147"</f>
        <v>147</v>
      </c>
      <c r="F2260" t="str">
        <f>"0000"</f>
        <v>0000</v>
      </c>
    </row>
    <row r="2261" spans="1:6">
      <c r="C2261" t="str">
        <f>"2"</f>
        <v>2</v>
      </c>
      <c r="D2261">
        <v>30</v>
      </c>
      <c r="E2261" t="str">
        <f>"149"</f>
        <v>149</v>
      </c>
      <c r="F2261" t="str">
        <f>"0000"</f>
        <v>0000</v>
      </c>
    </row>
    <row r="2262" spans="1:6">
      <c r="C2262" t="str">
        <f>"2"</f>
        <v>2</v>
      </c>
      <c r="D2262">
        <v>30</v>
      </c>
      <c r="E2262" t="str">
        <f>"151"</f>
        <v>151</v>
      </c>
      <c r="F2262" t="str">
        <f>"0000"</f>
        <v>0000</v>
      </c>
    </row>
    <row r="2263" spans="1:6">
      <c r="C2263" t="str">
        <f>"2"</f>
        <v>2</v>
      </c>
      <c r="D2263">
        <v>30</v>
      </c>
      <c r="E2263" t="str">
        <f>"150"</f>
        <v>150</v>
      </c>
      <c r="F2263" t="str">
        <f>"0000"</f>
        <v>0000</v>
      </c>
    </row>
    <row r="2264" spans="1:6">
      <c r="A2264" t="str">
        <f>"E1091-23"</f>
        <v>E1091-23</v>
      </c>
      <c r="B2264" t="str">
        <f t="shared" si="287"/>
        <v>VIA GIULIO PASTORE  12-</v>
      </c>
      <c r="C2264" t="str">
        <f t="shared" ref="C2264:C2295" si="288">"VOL"</f>
        <v>VOL</v>
      </c>
      <c r="D2264">
        <v>30</v>
      </c>
      <c r="E2264" t="str">
        <f t="shared" ref="E2264:E2295" si="289">"513"</f>
        <v>513</v>
      </c>
      <c r="F2264" t="str">
        <f>"26"</f>
        <v>26</v>
      </c>
    </row>
    <row r="2265" spans="1:6">
      <c r="A2265" t="str">
        <f>"E1091-24"</f>
        <v>E1091-24</v>
      </c>
      <c r="B2265" t="str">
        <f t="shared" si="287"/>
        <v>VIA GIULIO PASTORE  12-</v>
      </c>
      <c r="C2265" t="str">
        <f t="shared" si="288"/>
        <v>VOL</v>
      </c>
      <c r="D2265">
        <v>30</v>
      </c>
      <c r="E2265" t="str">
        <f t="shared" si="289"/>
        <v>513</v>
      </c>
      <c r="F2265" t="str">
        <f>"27"</f>
        <v>27</v>
      </c>
    </row>
    <row r="2266" spans="1:6">
      <c r="A2266" t="str">
        <f>"E1091-25"</f>
        <v>E1091-25</v>
      </c>
      <c r="B2266" t="str">
        <f t="shared" si="287"/>
        <v>VIA GIULIO PASTORE  12-</v>
      </c>
      <c r="C2266" t="str">
        <f t="shared" si="288"/>
        <v>VOL</v>
      </c>
      <c r="D2266">
        <v>30</v>
      </c>
      <c r="E2266" t="str">
        <f t="shared" si="289"/>
        <v>513</v>
      </c>
      <c r="F2266" t="str">
        <f>"28"</f>
        <v>28</v>
      </c>
    </row>
    <row r="2267" spans="1:6">
      <c r="A2267" t="str">
        <f>"E1091-27"</f>
        <v>E1091-27</v>
      </c>
      <c r="B2267" t="str">
        <f t="shared" si="287"/>
        <v>VIA GIULIO PASTORE  12-</v>
      </c>
      <c r="C2267" t="str">
        <f t="shared" si="288"/>
        <v>VOL</v>
      </c>
      <c r="D2267">
        <v>30</v>
      </c>
      <c r="E2267" t="str">
        <f t="shared" si="289"/>
        <v>513</v>
      </c>
      <c r="F2267" t="str">
        <f>"30"</f>
        <v>30</v>
      </c>
    </row>
    <row r="2268" spans="1:6">
      <c r="A2268" t="str">
        <f>"E1091-28"</f>
        <v>E1091-28</v>
      </c>
      <c r="B2268" t="str">
        <f t="shared" si="287"/>
        <v>VIA GIULIO PASTORE  12-</v>
      </c>
      <c r="C2268" t="str">
        <f t="shared" si="288"/>
        <v>VOL</v>
      </c>
      <c r="D2268">
        <v>30</v>
      </c>
      <c r="E2268" t="str">
        <f t="shared" si="289"/>
        <v>513</v>
      </c>
      <c r="F2268" t="str">
        <f>"31"</f>
        <v>31</v>
      </c>
    </row>
    <row r="2269" spans="1:6">
      <c r="A2269" t="str">
        <f>"E1091-29"</f>
        <v>E1091-29</v>
      </c>
      <c r="B2269" t="str">
        <f t="shared" si="287"/>
        <v>VIA GIULIO PASTORE  12-</v>
      </c>
      <c r="C2269" t="str">
        <f t="shared" si="288"/>
        <v>VOL</v>
      </c>
      <c r="D2269">
        <v>30</v>
      </c>
      <c r="E2269" t="str">
        <f t="shared" si="289"/>
        <v>513</v>
      </c>
      <c r="F2269" t="str">
        <f>"32"</f>
        <v>32</v>
      </c>
    </row>
    <row r="2270" spans="1:6">
      <c r="A2270" t="str">
        <f>"E1091-31"</f>
        <v>E1091-31</v>
      </c>
      <c r="B2270" t="str">
        <f t="shared" si="287"/>
        <v>VIA GIULIO PASTORE  12-</v>
      </c>
      <c r="C2270" t="str">
        <f t="shared" si="288"/>
        <v>VOL</v>
      </c>
      <c r="D2270">
        <v>30</v>
      </c>
      <c r="E2270" t="str">
        <f t="shared" si="289"/>
        <v>513</v>
      </c>
      <c r="F2270" t="str">
        <f>"34"</f>
        <v>34</v>
      </c>
    </row>
    <row r="2271" spans="1:6">
      <c r="A2271" t="str">
        <f>"E1091-32"</f>
        <v>E1091-32</v>
      </c>
      <c r="B2271" t="str">
        <f t="shared" si="287"/>
        <v>VIA GIULIO PASTORE  12-</v>
      </c>
      <c r="C2271" t="str">
        <f t="shared" si="288"/>
        <v>VOL</v>
      </c>
      <c r="D2271">
        <v>30</v>
      </c>
      <c r="E2271" t="str">
        <f t="shared" si="289"/>
        <v>513</v>
      </c>
      <c r="F2271" t="str">
        <f>"35"</f>
        <v>35</v>
      </c>
    </row>
    <row r="2272" spans="1:6">
      <c r="A2272" t="str">
        <f>"E1091-33"</f>
        <v>E1091-33</v>
      </c>
      <c r="B2272" t="str">
        <f t="shared" si="287"/>
        <v>VIA GIULIO PASTORE  12-</v>
      </c>
      <c r="C2272" t="str">
        <f t="shared" si="288"/>
        <v>VOL</v>
      </c>
      <c r="D2272">
        <v>30</v>
      </c>
      <c r="E2272" t="str">
        <f t="shared" si="289"/>
        <v>513</v>
      </c>
      <c r="F2272" t="str">
        <f>"36"</f>
        <v>36</v>
      </c>
    </row>
    <row r="2273" spans="1:6">
      <c r="A2273" t="str">
        <f>"E1091-34"</f>
        <v>E1091-34</v>
      </c>
      <c r="B2273" t="str">
        <f t="shared" si="287"/>
        <v>VIA GIULIO PASTORE  12-</v>
      </c>
      <c r="C2273" t="str">
        <f t="shared" si="288"/>
        <v>VOL</v>
      </c>
      <c r="D2273">
        <v>30</v>
      </c>
      <c r="E2273" t="str">
        <f t="shared" si="289"/>
        <v>513</v>
      </c>
      <c r="F2273" t="str">
        <f>"37"</f>
        <v>37</v>
      </c>
    </row>
    <row r="2274" spans="1:6">
      <c r="A2274" t="str">
        <f>"E1091-35"</f>
        <v>E1091-35</v>
      </c>
      <c r="B2274" t="str">
        <f t="shared" si="287"/>
        <v>VIA GIULIO PASTORE  12-</v>
      </c>
      <c r="C2274" t="str">
        <f t="shared" si="288"/>
        <v>VOL</v>
      </c>
      <c r="D2274">
        <v>30</v>
      </c>
      <c r="E2274" t="str">
        <f t="shared" si="289"/>
        <v>513</v>
      </c>
      <c r="F2274" t="str">
        <f>"38"</f>
        <v>38</v>
      </c>
    </row>
    <row r="2275" spans="1:6">
      <c r="A2275" t="str">
        <f>"E1091-36"</f>
        <v>E1091-36</v>
      </c>
      <c r="B2275" t="str">
        <f t="shared" si="287"/>
        <v>VIA GIULIO PASTORE  12-</v>
      </c>
      <c r="C2275" t="str">
        <f t="shared" si="288"/>
        <v>VOL</v>
      </c>
      <c r="D2275">
        <v>30</v>
      </c>
      <c r="E2275" t="str">
        <f t="shared" si="289"/>
        <v>513</v>
      </c>
      <c r="F2275" t="str">
        <f>"39"</f>
        <v>39</v>
      </c>
    </row>
    <row r="2276" spans="1:6">
      <c r="A2276" t="str">
        <f>"E1091-37"</f>
        <v>E1091-37</v>
      </c>
      <c r="B2276" t="str">
        <f t="shared" si="287"/>
        <v>VIA GIULIO PASTORE  12-</v>
      </c>
      <c r="C2276" t="str">
        <f t="shared" si="288"/>
        <v>VOL</v>
      </c>
      <c r="D2276">
        <v>30</v>
      </c>
      <c r="E2276" t="str">
        <f t="shared" si="289"/>
        <v>513</v>
      </c>
      <c r="F2276" t="str">
        <f>"40"</f>
        <v>40</v>
      </c>
    </row>
    <row r="2277" spans="1:6">
      <c r="A2277" t="str">
        <f>"E1091-38"</f>
        <v>E1091-38</v>
      </c>
      <c r="B2277" t="str">
        <f t="shared" si="287"/>
        <v>VIA GIULIO PASTORE  12-</v>
      </c>
      <c r="C2277" t="str">
        <f t="shared" si="288"/>
        <v>VOL</v>
      </c>
      <c r="D2277">
        <v>30</v>
      </c>
      <c r="E2277" t="str">
        <f t="shared" si="289"/>
        <v>513</v>
      </c>
      <c r="F2277" t="str">
        <f>"41"</f>
        <v>41</v>
      </c>
    </row>
    <row r="2278" spans="1:6">
      <c r="A2278" t="str">
        <f>"E1091-39"</f>
        <v>E1091-39</v>
      </c>
      <c r="B2278" t="str">
        <f t="shared" si="287"/>
        <v>VIA GIULIO PASTORE  12-</v>
      </c>
      <c r="C2278" t="str">
        <f t="shared" si="288"/>
        <v>VOL</v>
      </c>
      <c r="D2278">
        <v>30</v>
      </c>
      <c r="E2278" t="str">
        <f t="shared" si="289"/>
        <v>513</v>
      </c>
      <c r="F2278" t="str">
        <f>"42"</f>
        <v>42</v>
      </c>
    </row>
    <row r="2279" spans="1:6">
      <c r="A2279" t="str">
        <f>"E1091-41"</f>
        <v>E1091-41</v>
      </c>
      <c r="B2279" t="str">
        <f t="shared" ref="B2279:B2300" si="290">"VIA GIULIO PASTORE  20-"</f>
        <v>VIA GIULIO PASTORE  20-</v>
      </c>
      <c r="C2279" t="str">
        <f t="shared" si="288"/>
        <v>VOL</v>
      </c>
      <c r="D2279">
        <v>30</v>
      </c>
      <c r="E2279" t="str">
        <f t="shared" si="289"/>
        <v>513</v>
      </c>
      <c r="F2279" t="str">
        <f>"44"</f>
        <v>44</v>
      </c>
    </row>
    <row r="2280" spans="1:6">
      <c r="A2280" t="str">
        <f>"E1091-42"</f>
        <v>E1091-42</v>
      </c>
      <c r="B2280" t="str">
        <f t="shared" si="290"/>
        <v>VIA GIULIO PASTORE  20-</v>
      </c>
      <c r="C2280" t="str">
        <f t="shared" si="288"/>
        <v>VOL</v>
      </c>
      <c r="D2280">
        <v>30</v>
      </c>
      <c r="E2280" t="str">
        <f t="shared" si="289"/>
        <v>513</v>
      </c>
      <c r="F2280" t="str">
        <f>"45"</f>
        <v>45</v>
      </c>
    </row>
    <row r="2281" spans="1:6">
      <c r="A2281" t="str">
        <f>"E1091-44"</f>
        <v>E1091-44</v>
      </c>
      <c r="B2281" t="str">
        <f t="shared" si="290"/>
        <v>VIA GIULIO PASTORE  20-</v>
      </c>
      <c r="C2281" t="str">
        <f t="shared" si="288"/>
        <v>VOL</v>
      </c>
      <c r="D2281">
        <v>30</v>
      </c>
      <c r="E2281" t="str">
        <f t="shared" si="289"/>
        <v>513</v>
      </c>
      <c r="F2281" t="str">
        <f>"47"</f>
        <v>47</v>
      </c>
    </row>
    <row r="2282" spans="1:6">
      <c r="A2282" t="str">
        <f>"E1091-45"</f>
        <v>E1091-45</v>
      </c>
      <c r="B2282" t="str">
        <f t="shared" si="290"/>
        <v>VIA GIULIO PASTORE  20-</v>
      </c>
      <c r="C2282" t="str">
        <f t="shared" si="288"/>
        <v>VOL</v>
      </c>
      <c r="D2282">
        <v>30</v>
      </c>
      <c r="E2282" t="str">
        <f t="shared" si="289"/>
        <v>513</v>
      </c>
      <c r="F2282" t="str">
        <f>"48"</f>
        <v>48</v>
      </c>
    </row>
    <row r="2283" spans="1:6">
      <c r="A2283" t="str">
        <f>"E1091-46"</f>
        <v>E1091-46</v>
      </c>
      <c r="B2283" t="str">
        <f t="shared" si="290"/>
        <v>VIA GIULIO PASTORE  20-</v>
      </c>
      <c r="C2283" t="str">
        <f t="shared" si="288"/>
        <v>VOL</v>
      </c>
      <c r="D2283">
        <v>30</v>
      </c>
      <c r="E2283" t="str">
        <f t="shared" si="289"/>
        <v>513</v>
      </c>
      <c r="F2283" t="str">
        <f>"49"</f>
        <v>49</v>
      </c>
    </row>
    <row r="2284" spans="1:6">
      <c r="A2284" t="str">
        <f>"E1091-47"</f>
        <v>E1091-47</v>
      </c>
      <c r="B2284" t="str">
        <f t="shared" si="290"/>
        <v>VIA GIULIO PASTORE  20-</v>
      </c>
      <c r="C2284" t="str">
        <f t="shared" si="288"/>
        <v>VOL</v>
      </c>
      <c r="D2284">
        <v>30</v>
      </c>
      <c r="E2284" t="str">
        <f t="shared" si="289"/>
        <v>513</v>
      </c>
      <c r="F2284" t="str">
        <f>"50"</f>
        <v>50</v>
      </c>
    </row>
    <row r="2285" spans="1:6">
      <c r="A2285" t="str">
        <f>"E1091-49"</f>
        <v>E1091-49</v>
      </c>
      <c r="B2285" t="str">
        <f t="shared" si="290"/>
        <v>VIA GIULIO PASTORE  20-</v>
      </c>
      <c r="C2285" t="str">
        <f t="shared" si="288"/>
        <v>VOL</v>
      </c>
      <c r="D2285">
        <v>30</v>
      </c>
      <c r="E2285" t="str">
        <f t="shared" si="289"/>
        <v>513</v>
      </c>
      <c r="F2285" t="str">
        <f>"52"</f>
        <v>52</v>
      </c>
    </row>
    <row r="2286" spans="1:6">
      <c r="A2286" t="str">
        <f>"E1091-50"</f>
        <v>E1091-50</v>
      </c>
      <c r="B2286" t="str">
        <f t="shared" si="290"/>
        <v>VIA GIULIO PASTORE  20-</v>
      </c>
      <c r="C2286" t="str">
        <f t="shared" si="288"/>
        <v>VOL</v>
      </c>
      <c r="D2286">
        <v>30</v>
      </c>
      <c r="E2286" t="str">
        <f t="shared" si="289"/>
        <v>513</v>
      </c>
      <c r="F2286" t="str">
        <f>"53"</f>
        <v>53</v>
      </c>
    </row>
    <row r="2287" spans="1:6">
      <c r="A2287" t="str">
        <f>"E1091-51"</f>
        <v>E1091-51</v>
      </c>
      <c r="B2287" t="str">
        <f t="shared" si="290"/>
        <v>VIA GIULIO PASTORE  20-</v>
      </c>
      <c r="C2287" t="str">
        <f t="shared" si="288"/>
        <v>VOL</v>
      </c>
      <c r="D2287">
        <v>30</v>
      </c>
      <c r="E2287" t="str">
        <f t="shared" si="289"/>
        <v>513</v>
      </c>
      <c r="F2287" t="str">
        <f>"54"</f>
        <v>54</v>
      </c>
    </row>
    <row r="2288" spans="1:6">
      <c r="A2288" t="str">
        <f>"E1091-52"</f>
        <v>E1091-52</v>
      </c>
      <c r="B2288" t="str">
        <f t="shared" si="290"/>
        <v>VIA GIULIO PASTORE  20-</v>
      </c>
      <c r="C2288" t="str">
        <f t="shared" si="288"/>
        <v>VOL</v>
      </c>
      <c r="D2288">
        <v>30</v>
      </c>
      <c r="E2288" t="str">
        <f t="shared" si="289"/>
        <v>513</v>
      </c>
      <c r="F2288" t="str">
        <f>"55"</f>
        <v>55</v>
      </c>
    </row>
    <row r="2289" spans="1:6">
      <c r="A2289" t="str">
        <f>"E1091-53"</f>
        <v>E1091-53</v>
      </c>
      <c r="B2289" t="str">
        <f t="shared" si="290"/>
        <v>VIA GIULIO PASTORE  20-</v>
      </c>
      <c r="C2289" t="str">
        <f t="shared" si="288"/>
        <v>VOL</v>
      </c>
      <c r="D2289">
        <v>30</v>
      </c>
      <c r="E2289" t="str">
        <f t="shared" si="289"/>
        <v>513</v>
      </c>
      <c r="F2289" t="str">
        <f>"56"</f>
        <v>56</v>
      </c>
    </row>
    <row r="2290" spans="1:6">
      <c r="A2290" t="str">
        <f>"E1091-54"</f>
        <v>E1091-54</v>
      </c>
      <c r="B2290" t="str">
        <f t="shared" si="290"/>
        <v>VIA GIULIO PASTORE  20-</v>
      </c>
      <c r="C2290" t="str">
        <f t="shared" si="288"/>
        <v>VOL</v>
      </c>
      <c r="D2290">
        <v>30</v>
      </c>
      <c r="E2290" t="str">
        <f t="shared" si="289"/>
        <v>513</v>
      </c>
      <c r="F2290" t="str">
        <f>"57"</f>
        <v>57</v>
      </c>
    </row>
    <row r="2291" spans="1:6">
      <c r="A2291" t="str">
        <f>"E1091-55"</f>
        <v>E1091-55</v>
      </c>
      <c r="B2291" t="str">
        <f t="shared" si="290"/>
        <v>VIA GIULIO PASTORE  20-</v>
      </c>
      <c r="C2291" t="str">
        <f t="shared" si="288"/>
        <v>VOL</v>
      </c>
      <c r="D2291">
        <v>30</v>
      </c>
      <c r="E2291" t="str">
        <f t="shared" si="289"/>
        <v>513</v>
      </c>
      <c r="F2291" t="str">
        <f>"58"</f>
        <v>58</v>
      </c>
    </row>
    <row r="2292" spans="1:6">
      <c r="A2292" t="str">
        <f>"E1091-56"</f>
        <v>E1091-56</v>
      </c>
      <c r="B2292" t="str">
        <f t="shared" si="290"/>
        <v>VIA GIULIO PASTORE  20-</v>
      </c>
      <c r="C2292" t="str">
        <f t="shared" si="288"/>
        <v>VOL</v>
      </c>
      <c r="D2292">
        <v>30</v>
      </c>
      <c r="E2292" t="str">
        <f t="shared" si="289"/>
        <v>513</v>
      </c>
      <c r="F2292" t="str">
        <f>"59"</f>
        <v>59</v>
      </c>
    </row>
    <row r="2293" spans="1:6">
      <c r="A2293" t="str">
        <f>"E1091-57"</f>
        <v>E1091-57</v>
      </c>
      <c r="B2293" t="str">
        <f t="shared" si="290"/>
        <v>VIA GIULIO PASTORE  20-</v>
      </c>
      <c r="C2293" t="str">
        <f t="shared" si="288"/>
        <v>VOL</v>
      </c>
      <c r="D2293">
        <v>30</v>
      </c>
      <c r="E2293" t="str">
        <f t="shared" si="289"/>
        <v>513</v>
      </c>
      <c r="F2293" t="str">
        <f>"60"</f>
        <v>60</v>
      </c>
    </row>
    <row r="2294" spans="1:6">
      <c r="A2294" t="str">
        <f>"E1091-58"</f>
        <v>E1091-58</v>
      </c>
      <c r="B2294" t="str">
        <f t="shared" si="290"/>
        <v>VIA GIULIO PASTORE  20-</v>
      </c>
      <c r="C2294" t="str">
        <f t="shared" si="288"/>
        <v>VOL</v>
      </c>
      <c r="D2294">
        <v>30</v>
      </c>
      <c r="E2294" t="str">
        <f t="shared" si="289"/>
        <v>513</v>
      </c>
      <c r="F2294" t="str">
        <f>"61"</f>
        <v>61</v>
      </c>
    </row>
    <row r="2295" spans="1:6">
      <c r="A2295" t="str">
        <f>"E1091-59"</f>
        <v>E1091-59</v>
      </c>
      <c r="B2295" t="str">
        <f t="shared" si="290"/>
        <v>VIA GIULIO PASTORE  20-</v>
      </c>
      <c r="C2295" t="str">
        <f t="shared" si="288"/>
        <v>VOL</v>
      </c>
      <c r="D2295">
        <v>30</v>
      </c>
      <c r="E2295" t="str">
        <f t="shared" si="289"/>
        <v>513</v>
      </c>
      <c r="F2295" t="str">
        <f>"62"</f>
        <v>62</v>
      </c>
    </row>
    <row r="2296" spans="1:6">
      <c r="A2296" t="str">
        <f>"E1091-60"</f>
        <v>E1091-60</v>
      </c>
      <c r="B2296" t="str">
        <f t="shared" si="290"/>
        <v>VIA GIULIO PASTORE  20-</v>
      </c>
      <c r="C2296" t="str">
        <f t="shared" ref="C2296:C2327" si="291">"VOL"</f>
        <v>VOL</v>
      </c>
      <c r="D2296">
        <v>30</v>
      </c>
      <c r="E2296" t="str">
        <f t="shared" ref="E2296:E2322" si="292">"513"</f>
        <v>513</v>
      </c>
      <c r="F2296" t="str">
        <f>"63"</f>
        <v>63</v>
      </c>
    </row>
    <row r="2297" spans="1:6">
      <c r="A2297" t="str">
        <f>"E1091-61"</f>
        <v>E1091-61</v>
      </c>
      <c r="B2297" t="str">
        <f t="shared" si="290"/>
        <v>VIA GIULIO PASTORE  20-</v>
      </c>
      <c r="C2297" t="str">
        <f t="shared" si="291"/>
        <v>VOL</v>
      </c>
      <c r="D2297">
        <v>30</v>
      </c>
      <c r="E2297" t="str">
        <f t="shared" si="292"/>
        <v>513</v>
      </c>
      <c r="F2297" t="str">
        <f>"64"</f>
        <v>64</v>
      </c>
    </row>
    <row r="2298" spans="1:6">
      <c r="A2298" t="str">
        <f>"E1091-64"</f>
        <v>E1091-64</v>
      </c>
      <c r="B2298" t="str">
        <f t="shared" si="290"/>
        <v>VIA GIULIO PASTORE  20-</v>
      </c>
      <c r="C2298" t="str">
        <f t="shared" si="291"/>
        <v>VOL</v>
      </c>
      <c r="D2298">
        <v>30</v>
      </c>
      <c r="E2298" t="str">
        <f t="shared" si="292"/>
        <v>513</v>
      </c>
      <c r="F2298" t="str">
        <f>"67"</f>
        <v>67</v>
      </c>
    </row>
    <row r="2299" spans="1:6">
      <c r="A2299" t="str">
        <f>"E1091-65"</f>
        <v>E1091-65</v>
      </c>
      <c r="B2299" t="str">
        <f t="shared" si="290"/>
        <v>VIA GIULIO PASTORE  20-</v>
      </c>
      <c r="C2299" t="str">
        <f t="shared" si="291"/>
        <v>VOL</v>
      </c>
      <c r="D2299">
        <v>30</v>
      </c>
      <c r="E2299" t="str">
        <f t="shared" si="292"/>
        <v>513</v>
      </c>
      <c r="F2299" t="str">
        <f>"68"</f>
        <v>68</v>
      </c>
    </row>
    <row r="2300" spans="1:6">
      <c r="A2300" t="str">
        <f>"E1091-66"</f>
        <v>E1091-66</v>
      </c>
      <c r="B2300" t="str">
        <f t="shared" si="290"/>
        <v>VIA GIULIO PASTORE  20-</v>
      </c>
      <c r="C2300" t="str">
        <f t="shared" si="291"/>
        <v>VOL</v>
      </c>
      <c r="D2300">
        <v>30</v>
      </c>
      <c r="E2300" t="str">
        <f t="shared" si="292"/>
        <v>513</v>
      </c>
      <c r="F2300" t="str">
        <f>"69"</f>
        <v>69</v>
      </c>
    </row>
    <row r="2301" spans="1:6">
      <c r="A2301" t="str">
        <f>"E1091-67"</f>
        <v>E1091-67</v>
      </c>
      <c r="B2301" t="str">
        <f t="shared" ref="B2301:B2322" si="293">"VIA GIULIO PASTORE  28-"</f>
        <v>VIA GIULIO PASTORE  28-</v>
      </c>
      <c r="C2301" t="str">
        <f t="shared" si="291"/>
        <v>VOL</v>
      </c>
      <c r="D2301">
        <v>30</v>
      </c>
      <c r="E2301" t="str">
        <f t="shared" si="292"/>
        <v>513</v>
      </c>
      <c r="F2301" t="str">
        <f>"71"</f>
        <v>71</v>
      </c>
    </row>
    <row r="2302" spans="1:6">
      <c r="A2302" t="str">
        <f>"E1091-68"</f>
        <v>E1091-68</v>
      </c>
      <c r="B2302" t="str">
        <f t="shared" si="293"/>
        <v>VIA GIULIO PASTORE  28-</v>
      </c>
      <c r="C2302" t="str">
        <f t="shared" si="291"/>
        <v>VOL</v>
      </c>
      <c r="D2302">
        <v>30</v>
      </c>
      <c r="E2302" t="str">
        <f t="shared" si="292"/>
        <v>513</v>
      </c>
      <c r="F2302" t="str">
        <f>"72"</f>
        <v>72</v>
      </c>
    </row>
    <row r="2303" spans="1:6">
      <c r="A2303" t="str">
        <f>"E1091-69"</f>
        <v>E1091-69</v>
      </c>
      <c r="B2303" t="str">
        <f t="shared" si="293"/>
        <v>VIA GIULIO PASTORE  28-</v>
      </c>
      <c r="C2303" t="str">
        <f t="shared" si="291"/>
        <v>VOL</v>
      </c>
      <c r="D2303">
        <v>30</v>
      </c>
      <c r="E2303" t="str">
        <f t="shared" si="292"/>
        <v>513</v>
      </c>
      <c r="F2303" t="str">
        <f>"73"</f>
        <v>73</v>
      </c>
    </row>
    <row r="2304" spans="1:6">
      <c r="A2304" t="str">
        <f>"E1091-70"</f>
        <v>E1091-70</v>
      </c>
      <c r="B2304" t="str">
        <f t="shared" si="293"/>
        <v>VIA GIULIO PASTORE  28-</v>
      </c>
      <c r="C2304" t="str">
        <f t="shared" si="291"/>
        <v>VOL</v>
      </c>
      <c r="D2304">
        <v>30</v>
      </c>
      <c r="E2304" t="str">
        <f t="shared" si="292"/>
        <v>513</v>
      </c>
      <c r="F2304" t="str">
        <f>"74"</f>
        <v>74</v>
      </c>
    </row>
    <row r="2305" spans="1:6">
      <c r="A2305" t="str">
        <f>"E1091-71"</f>
        <v>E1091-71</v>
      </c>
      <c r="B2305" t="str">
        <f t="shared" si="293"/>
        <v>VIA GIULIO PASTORE  28-</v>
      </c>
      <c r="C2305" t="str">
        <f t="shared" si="291"/>
        <v>VOL</v>
      </c>
      <c r="D2305">
        <v>30</v>
      </c>
      <c r="E2305" t="str">
        <f t="shared" si="292"/>
        <v>513</v>
      </c>
      <c r="F2305" t="str">
        <f>"75"</f>
        <v>75</v>
      </c>
    </row>
    <row r="2306" spans="1:6">
      <c r="A2306" t="str">
        <f>"E1091-72"</f>
        <v>E1091-72</v>
      </c>
      <c r="B2306" t="str">
        <f t="shared" si="293"/>
        <v>VIA GIULIO PASTORE  28-</v>
      </c>
      <c r="C2306" t="str">
        <f t="shared" si="291"/>
        <v>VOL</v>
      </c>
      <c r="D2306">
        <v>30</v>
      </c>
      <c r="E2306" t="str">
        <f t="shared" si="292"/>
        <v>513</v>
      </c>
      <c r="F2306" t="str">
        <f>"76"</f>
        <v>76</v>
      </c>
    </row>
    <row r="2307" spans="1:6">
      <c r="A2307" t="str">
        <f>"E1091-73"</f>
        <v>E1091-73</v>
      </c>
      <c r="B2307" t="str">
        <f t="shared" si="293"/>
        <v>VIA GIULIO PASTORE  28-</v>
      </c>
      <c r="C2307" t="str">
        <f t="shared" si="291"/>
        <v>VOL</v>
      </c>
      <c r="D2307">
        <v>30</v>
      </c>
      <c r="E2307" t="str">
        <f t="shared" si="292"/>
        <v>513</v>
      </c>
      <c r="F2307" t="str">
        <f>"77"</f>
        <v>77</v>
      </c>
    </row>
    <row r="2308" spans="1:6">
      <c r="A2308" t="str">
        <f>"E1091-74"</f>
        <v>E1091-74</v>
      </c>
      <c r="B2308" t="str">
        <f t="shared" si="293"/>
        <v>VIA GIULIO PASTORE  28-</v>
      </c>
      <c r="C2308" t="str">
        <f t="shared" si="291"/>
        <v>VOL</v>
      </c>
      <c r="D2308">
        <v>30</v>
      </c>
      <c r="E2308" t="str">
        <f t="shared" si="292"/>
        <v>513</v>
      </c>
      <c r="F2308" t="str">
        <f>"78"</f>
        <v>78</v>
      </c>
    </row>
    <row r="2309" spans="1:6">
      <c r="A2309" t="str">
        <f>"E1091-75"</f>
        <v>E1091-75</v>
      </c>
      <c r="B2309" t="str">
        <f t="shared" si="293"/>
        <v>VIA GIULIO PASTORE  28-</v>
      </c>
      <c r="C2309" t="str">
        <f t="shared" si="291"/>
        <v>VOL</v>
      </c>
      <c r="D2309">
        <v>30</v>
      </c>
      <c r="E2309" t="str">
        <f t="shared" si="292"/>
        <v>513</v>
      </c>
      <c r="F2309" t="str">
        <f>"79"</f>
        <v>79</v>
      </c>
    </row>
    <row r="2310" spans="1:6">
      <c r="A2310" t="str">
        <f>"E1091-78"</f>
        <v>E1091-78</v>
      </c>
      <c r="B2310" t="str">
        <f t="shared" si="293"/>
        <v>VIA GIULIO PASTORE  28-</v>
      </c>
      <c r="C2310" t="str">
        <f t="shared" si="291"/>
        <v>VOL</v>
      </c>
      <c r="D2310">
        <v>30</v>
      </c>
      <c r="E2310" t="str">
        <f t="shared" si="292"/>
        <v>513</v>
      </c>
      <c r="F2310" t="str">
        <f>"82"</f>
        <v>82</v>
      </c>
    </row>
    <row r="2311" spans="1:6">
      <c r="A2311" t="str">
        <f>"E1091-79"</f>
        <v>E1091-79</v>
      </c>
      <c r="B2311" t="str">
        <f t="shared" si="293"/>
        <v>VIA GIULIO PASTORE  28-</v>
      </c>
      <c r="C2311" t="str">
        <f t="shared" si="291"/>
        <v>VOL</v>
      </c>
      <c r="D2311">
        <v>30</v>
      </c>
      <c r="E2311" t="str">
        <f t="shared" si="292"/>
        <v>513</v>
      </c>
      <c r="F2311" t="str">
        <f>"83"</f>
        <v>83</v>
      </c>
    </row>
    <row r="2312" spans="1:6">
      <c r="A2312" t="str">
        <f>"E1091-80"</f>
        <v>E1091-80</v>
      </c>
      <c r="B2312" t="str">
        <f t="shared" si="293"/>
        <v>VIA GIULIO PASTORE  28-</v>
      </c>
      <c r="C2312" t="str">
        <f t="shared" si="291"/>
        <v>VOL</v>
      </c>
      <c r="D2312">
        <v>30</v>
      </c>
      <c r="E2312" t="str">
        <f t="shared" si="292"/>
        <v>513</v>
      </c>
      <c r="F2312" t="str">
        <f>"84"</f>
        <v>84</v>
      </c>
    </row>
    <row r="2313" spans="1:6">
      <c r="A2313" t="str">
        <f>"E1091-81"</f>
        <v>E1091-81</v>
      </c>
      <c r="B2313" t="str">
        <f t="shared" si="293"/>
        <v>VIA GIULIO PASTORE  28-</v>
      </c>
      <c r="C2313" t="str">
        <f t="shared" si="291"/>
        <v>VOL</v>
      </c>
      <c r="D2313">
        <v>30</v>
      </c>
      <c r="E2313" t="str">
        <f t="shared" si="292"/>
        <v>513</v>
      </c>
      <c r="F2313" t="str">
        <f>"85"</f>
        <v>85</v>
      </c>
    </row>
    <row r="2314" spans="1:6">
      <c r="A2314" t="str">
        <f>"E1091-82"</f>
        <v>E1091-82</v>
      </c>
      <c r="B2314" t="str">
        <f t="shared" si="293"/>
        <v>VIA GIULIO PASTORE  28-</v>
      </c>
      <c r="C2314" t="str">
        <f t="shared" si="291"/>
        <v>VOL</v>
      </c>
      <c r="D2314">
        <v>30</v>
      </c>
      <c r="E2314" t="str">
        <f t="shared" si="292"/>
        <v>513</v>
      </c>
      <c r="F2314" t="str">
        <f>"86"</f>
        <v>86</v>
      </c>
    </row>
    <row r="2315" spans="1:6">
      <c r="A2315" t="str">
        <f>"E1091-83"</f>
        <v>E1091-83</v>
      </c>
      <c r="B2315" t="str">
        <f t="shared" si="293"/>
        <v>VIA GIULIO PASTORE  28-</v>
      </c>
      <c r="C2315" t="str">
        <f t="shared" si="291"/>
        <v>VOL</v>
      </c>
      <c r="D2315">
        <v>30</v>
      </c>
      <c r="E2315" t="str">
        <f t="shared" si="292"/>
        <v>513</v>
      </c>
      <c r="F2315" t="str">
        <f>"87"</f>
        <v>87</v>
      </c>
    </row>
    <row r="2316" spans="1:6">
      <c r="A2316" t="str">
        <f>"E1091-84"</f>
        <v>E1091-84</v>
      </c>
      <c r="B2316" t="str">
        <f t="shared" si="293"/>
        <v>VIA GIULIO PASTORE  28-</v>
      </c>
      <c r="C2316" t="str">
        <f t="shared" si="291"/>
        <v>VOL</v>
      </c>
      <c r="D2316">
        <v>30</v>
      </c>
      <c r="E2316" t="str">
        <f t="shared" si="292"/>
        <v>513</v>
      </c>
      <c r="F2316" t="str">
        <f>"88"</f>
        <v>88</v>
      </c>
    </row>
    <row r="2317" spans="1:6">
      <c r="A2317" t="str">
        <f>"E1091-85"</f>
        <v>E1091-85</v>
      </c>
      <c r="B2317" t="str">
        <f t="shared" si="293"/>
        <v>VIA GIULIO PASTORE  28-</v>
      </c>
      <c r="C2317" t="str">
        <f t="shared" si="291"/>
        <v>VOL</v>
      </c>
      <c r="D2317">
        <v>30</v>
      </c>
      <c r="E2317" t="str">
        <f t="shared" si="292"/>
        <v>513</v>
      </c>
      <c r="F2317" t="str">
        <f>"89"</f>
        <v>89</v>
      </c>
    </row>
    <row r="2318" spans="1:6">
      <c r="A2318" t="str">
        <f>"E1091-86"</f>
        <v>E1091-86</v>
      </c>
      <c r="B2318" t="str">
        <f t="shared" si="293"/>
        <v>VIA GIULIO PASTORE  28-</v>
      </c>
      <c r="C2318" t="str">
        <f t="shared" si="291"/>
        <v>VOL</v>
      </c>
      <c r="D2318">
        <v>30</v>
      </c>
      <c r="E2318" t="str">
        <f t="shared" si="292"/>
        <v>513</v>
      </c>
      <c r="F2318" t="str">
        <f>"90"</f>
        <v>90</v>
      </c>
    </row>
    <row r="2319" spans="1:6">
      <c r="A2319" t="str">
        <f>"E1091-87"</f>
        <v>E1091-87</v>
      </c>
      <c r="B2319" t="str">
        <f t="shared" si="293"/>
        <v>VIA GIULIO PASTORE  28-</v>
      </c>
      <c r="C2319" t="str">
        <f t="shared" si="291"/>
        <v>VOL</v>
      </c>
      <c r="D2319">
        <v>30</v>
      </c>
      <c r="E2319" t="str">
        <f t="shared" si="292"/>
        <v>513</v>
      </c>
      <c r="F2319" t="str">
        <f>"91"</f>
        <v>91</v>
      </c>
    </row>
    <row r="2320" spans="1:6">
      <c r="A2320" t="str">
        <f>"E1091-88"</f>
        <v>E1091-88</v>
      </c>
      <c r="B2320" t="str">
        <f t="shared" si="293"/>
        <v>VIA GIULIO PASTORE  28-</v>
      </c>
      <c r="C2320" t="str">
        <f t="shared" si="291"/>
        <v>VOL</v>
      </c>
      <c r="D2320">
        <v>30</v>
      </c>
      <c r="E2320" t="str">
        <f t="shared" si="292"/>
        <v>513</v>
      </c>
      <c r="F2320" t="str">
        <f>"92"</f>
        <v>92</v>
      </c>
    </row>
    <row r="2321" spans="1:6">
      <c r="A2321" t="str">
        <f>"E1091-89"</f>
        <v>E1091-89</v>
      </c>
      <c r="B2321" t="str">
        <f t="shared" si="293"/>
        <v>VIA GIULIO PASTORE  28-</v>
      </c>
      <c r="C2321" t="str">
        <f t="shared" si="291"/>
        <v>VOL</v>
      </c>
      <c r="D2321">
        <v>30</v>
      </c>
      <c r="E2321" t="str">
        <f t="shared" si="292"/>
        <v>513</v>
      </c>
      <c r="F2321" t="str">
        <f>"93"</f>
        <v>93</v>
      </c>
    </row>
    <row r="2322" spans="1:6">
      <c r="A2322" t="str">
        <f>"E1091-92"</f>
        <v>E1091-92</v>
      </c>
      <c r="B2322" t="str">
        <f t="shared" si="293"/>
        <v>VIA GIULIO PASTORE  28-</v>
      </c>
      <c r="C2322" t="str">
        <f t="shared" si="291"/>
        <v>VOL</v>
      </c>
      <c r="D2322">
        <v>30</v>
      </c>
      <c r="E2322" t="str">
        <f t="shared" si="292"/>
        <v>513</v>
      </c>
      <c r="F2322" t="str">
        <f>"96"</f>
        <v>96</v>
      </c>
    </row>
    <row r="2323" spans="1:6">
      <c r="A2323" t="str">
        <f>"E1092-1"</f>
        <v>E1092-1</v>
      </c>
      <c r="B2323" t="str">
        <f>"VIA GIULIO PASTORE  80-"</f>
        <v>VIA GIULIO PASTORE  80-</v>
      </c>
      <c r="C2323" t="str">
        <f t="shared" si="291"/>
        <v>VOL</v>
      </c>
      <c r="D2323">
        <v>30</v>
      </c>
      <c r="E2323" t="str">
        <f t="shared" ref="E2323:E2348" si="294">"514"</f>
        <v>514</v>
      </c>
      <c r="F2323" t="str">
        <f>"3"</f>
        <v>3</v>
      </c>
    </row>
    <row r="2324" spans="1:6">
      <c r="A2324" t="str">
        <f>"E1092-2"</f>
        <v>E1092-2</v>
      </c>
      <c r="B2324" t="str">
        <f>"VIA GIULIO PASTORE  84-"</f>
        <v>VIA GIULIO PASTORE  84-</v>
      </c>
      <c r="C2324" t="str">
        <f t="shared" si="291"/>
        <v>VOL</v>
      </c>
      <c r="D2324">
        <v>30</v>
      </c>
      <c r="E2324" t="str">
        <f t="shared" si="294"/>
        <v>514</v>
      </c>
      <c r="F2324" t="str">
        <f>"4"</f>
        <v>4</v>
      </c>
    </row>
    <row r="2325" spans="1:6">
      <c r="A2325" t="str">
        <f>"E1092-3"</f>
        <v>E1092-3</v>
      </c>
      <c r="B2325" t="str">
        <f t="shared" ref="B2325:B2335" si="295">"VIA GIULIO PASTORE  34-"</f>
        <v>VIA GIULIO PASTORE  34-</v>
      </c>
      <c r="C2325" t="str">
        <f t="shared" si="291"/>
        <v>VOL</v>
      </c>
      <c r="D2325">
        <v>30</v>
      </c>
      <c r="E2325" t="str">
        <f t="shared" si="294"/>
        <v>514</v>
      </c>
      <c r="F2325" t="str">
        <f>"5"</f>
        <v>5</v>
      </c>
    </row>
    <row r="2326" spans="1:6">
      <c r="A2326" t="str">
        <f>"E1092-4"</f>
        <v>E1092-4</v>
      </c>
      <c r="B2326" t="str">
        <f t="shared" si="295"/>
        <v>VIA GIULIO PASTORE  34-</v>
      </c>
      <c r="C2326" t="str">
        <f t="shared" si="291"/>
        <v>VOL</v>
      </c>
      <c r="D2326">
        <v>30</v>
      </c>
      <c r="E2326" t="str">
        <f t="shared" si="294"/>
        <v>514</v>
      </c>
      <c r="F2326" t="str">
        <f>"6"</f>
        <v>6</v>
      </c>
    </row>
    <row r="2327" spans="1:6">
      <c r="A2327" t="str">
        <f>"E1092-5"</f>
        <v>E1092-5</v>
      </c>
      <c r="B2327" t="str">
        <f t="shared" si="295"/>
        <v>VIA GIULIO PASTORE  34-</v>
      </c>
      <c r="C2327" t="str">
        <f t="shared" si="291"/>
        <v>VOL</v>
      </c>
      <c r="D2327">
        <v>30</v>
      </c>
      <c r="E2327" t="str">
        <f t="shared" si="294"/>
        <v>514</v>
      </c>
      <c r="F2327" t="str">
        <f>"7"</f>
        <v>7</v>
      </c>
    </row>
    <row r="2328" spans="1:6">
      <c r="A2328" t="str">
        <f>"E1092-6"</f>
        <v>E1092-6</v>
      </c>
      <c r="B2328" t="str">
        <f t="shared" si="295"/>
        <v>VIA GIULIO PASTORE  34-</v>
      </c>
      <c r="C2328" t="str">
        <f t="shared" ref="C2328:C2359" si="296">"VOL"</f>
        <v>VOL</v>
      </c>
      <c r="D2328">
        <v>30</v>
      </c>
      <c r="E2328" t="str">
        <f t="shared" si="294"/>
        <v>514</v>
      </c>
      <c r="F2328" t="str">
        <f>"8"</f>
        <v>8</v>
      </c>
    </row>
    <row r="2329" spans="1:6">
      <c r="A2329" t="str">
        <f>"E1092-7"</f>
        <v>E1092-7</v>
      </c>
      <c r="B2329" t="str">
        <f t="shared" si="295"/>
        <v>VIA GIULIO PASTORE  34-</v>
      </c>
      <c r="C2329" t="str">
        <f t="shared" si="296"/>
        <v>VOL</v>
      </c>
      <c r="D2329">
        <v>30</v>
      </c>
      <c r="E2329" t="str">
        <f t="shared" si="294"/>
        <v>514</v>
      </c>
      <c r="F2329" t="str">
        <f>"9"</f>
        <v>9</v>
      </c>
    </row>
    <row r="2330" spans="1:6">
      <c r="A2330" t="str">
        <f>"E1092-8"</f>
        <v>E1092-8</v>
      </c>
      <c r="B2330" t="str">
        <f t="shared" si="295"/>
        <v>VIA GIULIO PASTORE  34-</v>
      </c>
      <c r="C2330" t="str">
        <f t="shared" si="296"/>
        <v>VOL</v>
      </c>
      <c r="D2330">
        <v>30</v>
      </c>
      <c r="E2330" t="str">
        <f t="shared" si="294"/>
        <v>514</v>
      </c>
      <c r="F2330" t="str">
        <f>"10"</f>
        <v>10</v>
      </c>
    </row>
    <row r="2331" spans="1:6">
      <c r="A2331" t="str">
        <f>"E1092-10"</f>
        <v>E1092-10</v>
      </c>
      <c r="B2331" t="str">
        <f t="shared" si="295"/>
        <v>VIA GIULIO PASTORE  34-</v>
      </c>
      <c r="C2331" t="str">
        <f t="shared" si="296"/>
        <v>VOL</v>
      </c>
      <c r="D2331">
        <v>30</v>
      </c>
      <c r="E2331" t="str">
        <f t="shared" si="294"/>
        <v>514</v>
      </c>
      <c r="F2331" t="str">
        <f>"12"</f>
        <v>12</v>
      </c>
    </row>
    <row r="2332" spans="1:6">
      <c r="A2332" t="str">
        <f>"E1092-11"</f>
        <v>E1092-11</v>
      </c>
      <c r="B2332" t="str">
        <f t="shared" si="295"/>
        <v>VIA GIULIO PASTORE  34-</v>
      </c>
      <c r="C2332" t="str">
        <f t="shared" si="296"/>
        <v>VOL</v>
      </c>
      <c r="D2332">
        <v>30</v>
      </c>
      <c r="E2332" t="str">
        <f t="shared" si="294"/>
        <v>514</v>
      </c>
      <c r="F2332" t="str">
        <f>"13"</f>
        <v>13</v>
      </c>
    </row>
    <row r="2333" spans="1:6">
      <c r="A2333" t="str">
        <f>"E1092-12"</f>
        <v>E1092-12</v>
      </c>
      <c r="B2333" t="str">
        <f t="shared" si="295"/>
        <v>VIA GIULIO PASTORE  34-</v>
      </c>
      <c r="C2333" t="str">
        <f t="shared" si="296"/>
        <v>VOL</v>
      </c>
      <c r="D2333">
        <v>30</v>
      </c>
      <c r="E2333" t="str">
        <f t="shared" si="294"/>
        <v>514</v>
      </c>
      <c r="F2333" t="str">
        <f>"14"</f>
        <v>14</v>
      </c>
    </row>
    <row r="2334" spans="1:6">
      <c r="A2334" t="str">
        <f>"E1092-13"</f>
        <v>E1092-13</v>
      </c>
      <c r="B2334" t="str">
        <f t="shared" si="295"/>
        <v>VIA GIULIO PASTORE  34-</v>
      </c>
      <c r="C2334" t="str">
        <f t="shared" si="296"/>
        <v>VOL</v>
      </c>
      <c r="D2334">
        <v>30</v>
      </c>
      <c r="E2334" t="str">
        <f t="shared" si="294"/>
        <v>514</v>
      </c>
      <c r="F2334" t="str">
        <f>"15"</f>
        <v>15</v>
      </c>
    </row>
    <row r="2335" spans="1:6">
      <c r="A2335" t="str">
        <f>"E1092-14"</f>
        <v>E1092-14</v>
      </c>
      <c r="B2335" t="str">
        <f t="shared" si="295"/>
        <v>VIA GIULIO PASTORE  34-</v>
      </c>
      <c r="C2335" t="str">
        <f t="shared" si="296"/>
        <v>VOL</v>
      </c>
      <c r="D2335">
        <v>30</v>
      </c>
      <c r="E2335" t="str">
        <f t="shared" si="294"/>
        <v>514</v>
      </c>
      <c r="F2335" t="str">
        <f>"16"</f>
        <v>16</v>
      </c>
    </row>
    <row r="2336" spans="1:6">
      <c r="A2336" t="str">
        <f>"E1092-15"</f>
        <v>E1092-15</v>
      </c>
      <c r="B2336" t="str">
        <f>"VIA GIULIO PASTORE  92-"</f>
        <v>VIA GIULIO PASTORE  92-</v>
      </c>
      <c r="C2336" t="str">
        <f t="shared" si="296"/>
        <v>VOL</v>
      </c>
      <c r="D2336">
        <v>30</v>
      </c>
      <c r="E2336" t="str">
        <f t="shared" si="294"/>
        <v>514</v>
      </c>
      <c r="F2336" t="str">
        <f>"18"</f>
        <v>18</v>
      </c>
    </row>
    <row r="2337" spans="1:6">
      <c r="A2337" t="str">
        <f>"E1092-16"</f>
        <v>E1092-16</v>
      </c>
      <c r="B2337" t="str">
        <f t="shared" ref="B2337:B2348" si="297">"VIA GIULIO PASTORE  44-"</f>
        <v>VIA GIULIO PASTORE  44-</v>
      </c>
      <c r="C2337" t="str">
        <f t="shared" si="296"/>
        <v>VOL</v>
      </c>
      <c r="D2337">
        <v>30</v>
      </c>
      <c r="E2337" t="str">
        <f t="shared" si="294"/>
        <v>514</v>
      </c>
      <c r="F2337" t="str">
        <f>"19"</f>
        <v>19</v>
      </c>
    </row>
    <row r="2338" spans="1:6">
      <c r="A2338" t="str">
        <f>"E1092-17"</f>
        <v>E1092-17</v>
      </c>
      <c r="B2338" t="str">
        <f t="shared" si="297"/>
        <v>VIA GIULIO PASTORE  44-</v>
      </c>
      <c r="C2338" t="str">
        <f t="shared" si="296"/>
        <v>VOL</v>
      </c>
      <c r="D2338">
        <v>30</v>
      </c>
      <c r="E2338" t="str">
        <f t="shared" si="294"/>
        <v>514</v>
      </c>
      <c r="F2338" t="str">
        <f>"20"</f>
        <v>20</v>
      </c>
    </row>
    <row r="2339" spans="1:6">
      <c r="A2339" t="str">
        <f>"E1092-18"</f>
        <v>E1092-18</v>
      </c>
      <c r="B2339" t="str">
        <f t="shared" si="297"/>
        <v>VIA GIULIO PASTORE  44-</v>
      </c>
      <c r="C2339" t="str">
        <f t="shared" si="296"/>
        <v>VOL</v>
      </c>
      <c r="D2339">
        <v>30</v>
      </c>
      <c r="E2339" t="str">
        <f t="shared" si="294"/>
        <v>514</v>
      </c>
      <c r="F2339" t="str">
        <f>"21"</f>
        <v>21</v>
      </c>
    </row>
    <row r="2340" spans="1:6">
      <c r="A2340" t="str">
        <f>"E1092-19"</f>
        <v>E1092-19</v>
      </c>
      <c r="B2340" t="str">
        <f t="shared" si="297"/>
        <v>VIA GIULIO PASTORE  44-</v>
      </c>
      <c r="C2340" t="str">
        <f t="shared" si="296"/>
        <v>VOL</v>
      </c>
      <c r="D2340">
        <v>30</v>
      </c>
      <c r="E2340" t="str">
        <f t="shared" si="294"/>
        <v>514</v>
      </c>
      <c r="F2340" t="str">
        <f>"22"</f>
        <v>22</v>
      </c>
    </row>
    <row r="2341" spans="1:6">
      <c r="A2341" t="str">
        <f>"E1092-20"</f>
        <v>E1092-20</v>
      </c>
      <c r="B2341" t="str">
        <f t="shared" si="297"/>
        <v>VIA GIULIO PASTORE  44-</v>
      </c>
      <c r="C2341" t="str">
        <f t="shared" si="296"/>
        <v>VOL</v>
      </c>
      <c r="D2341">
        <v>30</v>
      </c>
      <c r="E2341" t="str">
        <f t="shared" si="294"/>
        <v>514</v>
      </c>
      <c r="F2341" t="str">
        <f>"23"</f>
        <v>23</v>
      </c>
    </row>
    <row r="2342" spans="1:6">
      <c r="A2342" t="str">
        <f>"E1092-21"</f>
        <v>E1092-21</v>
      </c>
      <c r="B2342" t="str">
        <f t="shared" si="297"/>
        <v>VIA GIULIO PASTORE  44-</v>
      </c>
      <c r="C2342" t="str">
        <f t="shared" si="296"/>
        <v>VOL</v>
      </c>
      <c r="D2342">
        <v>30</v>
      </c>
      <c r="E2342" t="str">
        <f t="shared" si="294"/>
        <v>514</v>
      </c>
      <c r="F2342" t="str">
        <f>"24"</f>
        <v>24</v>
      </c>
    </row>
    <row r="2343" spans="1:6">
      <c r="A2343" t="str">
        <f>"E1092-22"</f>
        <v>E1092-22</v>
      </c>
      <c r="B2343" t="str">
        <f t="shared" si="297"/>
        <v>VIA GIULIO PASTORE  44-</v>
      </c>
      <c r="C2343" t="str">
        <f t="shared" si="296"/>
        <v>VOL</v>
      </c>
      <c r="D2343">
        <v>30</v>
      </c>
      <c r="E2343" t="str">
        <f t="shared" si="294"/>
        <v>514</v>
      </c>
      <c r="F2343" t="str">
        <f>"25"</f>
        <v>25</v>
      </c>
    </row>
    <row r="2344" spans="1:6">
      <c r="A2344" t="str">
        <f>"E1092-23"</f>
        <v>E1092-23</v>
      </c>
      <c r="B2344" t="str">
        <f t="shared" si="297"/>
        <v>VIA GIULIO PASTORE  44-</v>
      </c>
      <c r="C2344" t="str">
        <f t="shared" si="296"/>
        <v>VOL</v>
      </c>
      <c r="D2344">
        <v>30</v>
      </c>
      <c r="E2344" t="str">
        <f t="shared" si="294"/>
        <v>514</v>
      </c>
      <c r="F2344" t="str">
        <f>"26"</f>
        <v>26</v>
      </c>
    </row>
    <row r="2345" spans="1:6">
      <c r="A2345" t="str">
        <f>"E1092-24"</f>
        <v>E1092-24</v>
      </c>
      <c r="B2345" t="str">
        <f t="shared" si="297"/>
        <v>VIA GIULIO PASTORE  44-</v>
      </c>
      <c r="C2345" t="str">
        <f t="shared" si="296"/>
        <v>VOL</v>
      </c>
      <c r="D2345">
        <v>30</v>
      </c>
      <c r="E2345" t="str">
        <f t="shared" si="294"/>
        <v>514</v>
      </c>
      <c r="F2345" t="str">
        <f>"27"</f>
        <v>27</v>
      </c>
    </row>
    <row r="2346" spans="1:6">
      <c r="A2346" t="str">
        <f>"E1092-25"</f>
        <v>E1092-25</v>
      </c>
      <c r="B2346" t="str">
        <f t="shared" si="297"/>
        <v>VIA GIULIO PASTORE  44-</v>
      </c>
      <c r="C2346" t="str">
        <f t="shared" si="296"/>
        <v>VOL</v>
      </c>
      <c r="D2346">
        <v>30</v>
      </c>
      <c r="E2346" t="str">
        <f t="shared" si="294"/>
        <v>514</v>
      </c>
      <c r="F2346" t="str">
        <f>"28"</f>
        <v>28</v>
      </c>
    </row>
    <row r="2347" spans="1:6">
      <c r="A2347" t="str">
        <f>"E1092-26"</f>
        <v>E1092-26</v>
      </c>
      <c r="B2347" t="str">
        <f t="shared" si="297"/>
        <v>VIA GIULIO PASTORE  44-</v>
      </c>
      <c r="C2347" t="str">
        <f t="shared" si="296"/>
        <v>VOL</v>
      </c>
      <c r="D2347">
        <v>30</v>
      </c>
      <c r="E2347" t="str">
        <f t="shared" si="294"/>
        <v>514</v>
      </c>
      <c r="F2347" t="str">
        <f>"29"</f>
        <v>29</v>
      </c>
    </row>
    <row r="2348" spans="1:6">
      <c r="A2348" t="str">
        <f>"E1092-27"</f>
        <v>E1092-27</v>
      </c>
      <c r="B2348" t="str">
        <f t="shared" si="297"/>
        <v>VIA GIULIO PASTORE  44-</v>
      </c>
      <c r="C2348" t="str">
        <f t="shared" si="296"/>
        <v>VOL</v>
      </c>
      <c r="D2348">
        <v>30</v>
      </c>
      <c r="E2348" t="str">
        <f t="shared" si="294"/>
        <v>514</v>
      </c>
      <c r="F2348" t="str">
        <f>"30"</f>
        <v>30</v>
      </c>
    </row>
    <row r="2349" spans="1:6">
      <c r="A2349" t="str">
        <f>"E1093-1"</f>
        <v>E1093-1</v>
      </c>
      <c r="B2349" t="str">
        <f>"VIA GIULIO PASTORE  94-"</f>
        <v>VIA GIULIO PASTORE  94-</v>
      </c>
      <c r="C2349" t="str">
        <f t="shared" si="296"/>
        <v>VOL</v>
      </c>
      <c r="D2349">
        <v>30</v>
      </c>
      <c r="E2349" t="str">
        <f t="shared" ref="E2349:E2370" si="298">"516"</f>
        <v>516</v>
      </c>
      <c r="F2349" t="str">
        <f>"3"</f>
        <v>3</v>
      </c>
    </row>
    <row r="2350" spans="1:6">
      <c r="A2350" t="str">
        <f>"E1093-2"</f>
        <v>E1093-2</v>
      </c>
      <c r="B2350" t="str">
        <f t="shared" ref="B2350:B2356" si="299">"VIA GIULIO PASTORE  52-"</f>
        <v>VIA GIULIO PASTORE  52-</v>
      </c>
      <c r="C2350" t="str">
        <f t="shared" si="296"/>
        <v>VOL</v>
      </c>
      <c r="D2350">
        <v>30</v>
      </c>
      <c r="E2350" t="str">
        <f t="shared" si="298"/>
        <v>516</v>
      </c>
      <c r="F2350" t="str">
        <f>"4"</f>
        <v>4</v>
      </c>
    </row>
    <row r="2351" spans="1:6">
      <c r="A2351" t="str">
        <f>"E1093-3"</f>
        <v>E1093-3</v>
      </c>
      <c r="B2351" t="str">
        <f t="shared" si="299"/>
        <v>VIA GIULIO PASTORE  52-</v>
      </c>
      <c r="C2351" t="str">
        <f t="shared" si="296"/>
        <v>VOL</v>
      </c>
      <c r="D2351">
        <v>30</v>
      </c>
      <c r="E2351" t="str">
        <f t="shared" si="298"/>
        <v>516</v>
      </c>
      <c r="F2351" t="str">
        <f>"5"</f>
        <v>5</v>
      </c>
    </row>
    <row r="2352" spans="1:6">
      <c r="A2352" t="str">
        <f>"E1093-4"</f>
        <v>E1093-4</v>
      </c>
      <c r="B2352" t="str">
        <f t="shared" si="299"/>
        <v>VIA GIULIO PASTORE  52-</v>
      </c>
      <c r="C2352" t="str">
        <f t="shared" si="296"/>
        <v>VOL</v>
      </c>
      <c r="D2352">
        <v>30</v>
      </c>
      <c r="E2352" t="str">
        <f t="shared" si="298"/>
        <v>516</v>
      </c>
      <c r="F2352" t="str">
        <f>"6"</f>
        <v>6</v>
      </c>
    </row>
    <row r="2353" spans="1:6">
      <c r="A2353" t="str">
        <f>"E1093-5"</f>
        <v>E1093-5</v>
      </c>
      <c r="B2353" t="str">
        <f t="shared" si="299"/>
        <v>VIA GIULIO PASTORE  52-</v>
      </c>
      <c r="C2353" t="str">
        <f t="shared" si="296"/>
        <v>VOL</v>
      </c>
      <c r="D2353">
        <v>30</v>
      </c>
      <c r="E2353" t="str">
        <f t="shared" si="298"/>
        <v>516</v>
      </c>
      <c r="F2353" t="str">
        <f>"7"</f>
        <v>7</v>
      </c>
    </row>
    <row r="2354" spans="1:6">
      <c r="A2354" t="str">
        <f>"E1093-6"</f>
        <v>E1093-6</v>
      </c>
      <c r="B2354" t="str">
        <f t="shared" si="299"/>
        <v>VIA GIULIO PASTORE  52-</v>
      </c>
      <c r="C2354" t="str">
        <f t="shared" si="296"/>
        <v>VOL</v>
      </c>
      <c r="D2354">
        <v>30</v>
      </c>
      <c r="E2354" t="str">
        <f t="shared" si="298"/>
        <v>516</v>
      </c>
      <c r="F2354" t="str">
        <f>"8"</f>
        <v>8</v>
      </c>
    </row>
    <row r="2355" spans="1:6">
      <c r="A2355" t="str">
        <f>"E1093-7"</f>
        <v>E1093-7</v>
      </c>
      <c r="B2355" t="str">
        <f t="shared" si="299"/>
        <v>VIA GIULIO PASTORE  52-</v>
      </c>
      <c r="C2355" t="str">
        <f t="shared" si="296"/>
        <v>VOL</v>
      </c>
      <c r="D2355">
        <v>30</v>
      </c>
      <c r="E2355" t="str">
        <f t="shared" si="298"/>
        <v>516</v>
      </c>
      <c r="F2355" t="str">
        <f>"9"</f>
        <v>9</v>
      </c>
    </row>
    <row r="2356" spans="1:6">
      <c r="A2356" t="str">
        <f>"E1093-9"</f>
        <v>E1093-9</v>
      </c>
      <c r="B2356" t="str">
        <f t="shared" si="299"/>
        <v>VIA GIULIO PASTORE  52-</v>
      </c>
      <c r="C2356" t="str">
        <f t="shared" si="296"/>
        <v>VOL</v>
      </c>
      <c r="D2356">
        <v>30</v>
      </c>
      <c r="E2356" t="str">
        <f t="shared" si="298"/>
        <v>516</v>
      </c>
      <c r="F2356" t="str">
        <f>"11"</f>
        <v>11</v>
      </c>
    </row>
    <row r="2357" spans="1:6">
      <c r="A2357" t="str">
        <f>"E1093-10"</f>
        <v>E1093-10</v>
      </c>
      <c r="B2357" t="str">
        <f>"VIA GIULIO PASTORE  102-"</f>
        <v>VIA GIULIO PASTORE  102-</v>
      </c>
      <c r="C2357" t="str">
        <f t="shared" si="296"/>
        <v>VOL</v>
      </c>
      <c r="D2357">
        <v>30</v>
      </c>
      <c r="E2357" t="str">
        <f t="shared" si="298"/>
        <v>516</v>
      </c>
      <c r="F2357" t="str">
        <f>"13"</f>
        <v>13</v>
      </c>
    </row>
    <row r="2358" spans="1:6">
      <c r="A2358" t="str">
        <f>"E1093-12"</f>
        <v>E1093-12</v>
      </c>
      <c r="B2358" t="str">
        <f t="shared" ref="B2358:B2370" si="300">"VIA GIULIO PASTORE  62-"</f>
        <v>VIA GIULIO PASTORE  62-</v>
      </c>
      <c r="C2358" t="str">
        <f t="shared" si="296"/>
        <v>VOL</v>
      </c>
      <c r="D2358">
        <v>30</v>
      </c>
      <c r="E2358" t="str">
        <f t="shared" si="298"/>
        <v>516</v>
      </c>
      <c r="F2358" t="str">
        <f>"15"</f>
        <v>15</v>
      </c>
    </row>
    <row r="2359" spans="1:6">
      <c r="A2359" t="str">
        <f>"E1093-13"</f>
        <v>E1093-13</v>
      </c>
      <c r="B2359" t="str">
        <f t="shared" si="300"/>
        <v>VIA GIULIO PASTORE  62-</v>
      </c>
      <c r="C2359" t="str">
        <f t="shared" si="296"/>
        <v>VOL</v>
      </c>
      <c r="D2359">
        <v>30</v>
      </c>
      <c r="E2359" t="str">
        <f t="shared" si="298"/>
        <v>516</v>
      </c>
      <c r="F2359" t="str">
        <f>"16"</f>
        <v>16</v>
      </c>
    </row>
    <row r="2360" spans="1:6">
      <c r="A2360" t="str">
        <f>"E1093-14"</f>
        <v>E1093-14</v>
      </c>
      <c r="B2360" t="str">
        <f t="shared" si="300"/>
        <v>VIA GIULIO PASTORE  62-</v>
      </c>
      <c r="C2360" t="str">
        <f t="shared" ref="C2360:C2370" si="301">"VOL"</f>
        <v>VOL</v>
      </c>
      <c r="D2360">
        <v>30</v>
      </c>
      <c r="E2360" t="str">
        <f t="shared" si="298"/>
        <v>516</v>
      </c>
      <c r="F2360" t="str">
        <f>"17"</f>
        <v>17</v>
      </c>
    </row>
    <row r="2361" spans="1:6">
      <c r="A2361" t="str">
        <f>"E1093-16"</f>
        <v>E1093-16</v>
      </c>
      <c r="B2361" t="str">
        <f t="shared" si="300"/>
        <v>VIA GIULIO PASTORE  62-</v>
      </c>
      <c r="C2361" t="str">
        <f t="shared" si="301"/>
        <v>VOL</v>
      </c>
      <c r="D2361">
        <v>30</v>
      </c>
      <c r="E2361" t="str">
        <f t="shared" si="298"/>
        <v>516</v>
      </c>
      <c r="F2361" t="str">
        <f>"19"</f>
        <v>19</v>
      </c>
    </row>
    <row r="2362" spans="1:6">
      <c r="A2362" t="str">
        <f>"E1093-17"</f>
        <v>E1093-17</v>
      </c>
      <c r="B2362" t="str">
        <f t="shared" si="300"/>
        <v>VIA GIULIO PASTORE  62-</v>
      </c>
      <c r="C2362" t="str">
        <f t="shared" si="301"/>
        <v>VOL</v>
      </c>
      <c r="D2362">
        <v>30</v>
      </c>
      <c r="E2362" t="str">
        <f t="shared" si="298"/>
        <v>516</v>
      </c>
      <c r="F2362" t="str">
        <f>"20"</f>
        <v>20</v>
      </c>
    </row>
    <row r="2363" spans="1:6">
      <c r="A2363" t="str">
        <f>"E1093-18"</f>
        <v>E1093-18</v>
      </c>
      <c r="B2363" t="str">
        <f t="shared" si="300"/>
        <v>VIA GIULIO PASTORE  62-</v>
      </c>
      <c r="C2363" t="str">
        <f t="shared" si="301"/>
        <v>VOL</v>
      </c>
      <c r="D2363">
        <v>30</v>
      </c>
      <c r="E2363" t="str">
        <f t="shared" si="298"/>
        <v>516</v>
      </c>
      <c r="F2363" t="str">
        <f>"21"</f>
        <v>21</v>
      </c>
    </row>
    <row r="2364" spans="1:6">
      <c r="A2364" t="str">
        <f>"E1093-20"</f>
        <v>E1093-20</v>
      </c>
      <c r="B2364" t="str">
        <f t="shared" si="300"/>
        <v>VIA GIULIO PASTORE  62-</v>
      </c>
      <c r="C2364" t="str">
        <f t="shared" si="301"/>
        <v>VOL</v>
      </c>
      <c r="D2364">
        <v>30</v>
      </c>
      <c r="E2364" t="str">
        <f t="shared" si="298"/>
        <v>516</v>
      </c>
      <c r="F2364" t="str">
        <f>"23"</f>
        <v>23</v>
      </c>
    </row>
    <row r="2365" spans="1:6">
      <c r="A2365" t="str">
        <f>"E1093-21"</f>
        <v>E1093-21</v>
      </c>
      <c r="B2365" t="str">
        <f t="shared" si="300"/>
        <v>VIA GIULIO PASTORE  62-</v>
      </c>
      <c r="C2365" t="str">
        <f t="shared" si="301"/>
        <v>VOL</v>
      </c>
      <c r="D2365">
        <v>30</v>
      </c>
      <c r="E2365" t="str">
        <f t="shared" si="298"/>
        <v>516</v>
      </c>
      <c r="F2365" t="str">
        <f>"24"</f>
        <v>24</v>
      </c>
    </row>
    <row r="2366" spans="1:6">
      <c r="A2366" t="str">
        <f>"E1093-22"</f>
        <v>E1093-22</v>
      </c>
      <c r="B2366" t="str">
        <f t="shared" si="300"/>
        <v>VIA GIULIO PASTORE  62-</v>
      </c>
      <c r="C2366" t="str">
        <f t="shared" si="301"/>
        <v>VOL</v>
      </c>
      <c r="D2366">
        <v>30</v>
      </c>
      <c r="E2366" t="str">
        <f t="shared" si="298"/>
        <v>516</v>
      </c>
      <c r="F2366" t="str">
        <f>"25"</f>
        <v>25</v>
      </c>
    </row>
    <row r="2367" spans="1:6">
      <c r="A2367" t="str">
        <f>"E1093-23"</f>
        <v>E1093-23</v>
      </c>
      <c r="B2367" t="str">
        <f t="shared" si="300"/>
        <v>VIA GIULIO PASTORE  62-</v>
      </c>
      <c r="C2367" t="str">
        <f t="shared" si="301"/>
        <v>VOL</v>
      </c>
      <c r="D2367">
        <v>30</v>
      </c>
      <c r="E2367" t="str">
        <f t="shared" si="298"/>
        <v>516</v>
      </c>
      <c r="F2367" t="str">
        <f>"26"</f>
        <v>26</v>
      </c>
    </row>
    <row r="2368" spans="1:6">
      <c r="A2368" t="str">
        <f>"E1093-24"</f>
        <v>E1093-24</v>
      </c>
      <c r="B2368" t="str">
        <f t="shared" si="300"/>
        <v>VIA GIULIO PASTORE  62-</v>
      </c>
      <c r="C2368" t="str">
        <f t="shared" si="301"/>
        <v>VOL</v>
      </c>
      <c r="D2368">
        <v>30</v>
      </c>
      <c r="E2368" t="str">
        <f t="shared" si="298"/>
        <v>516</v>
      </c>
      <c r="F2368" t="str">
        <f>"27"</f>
        <v>27</v>
      </c>
    </row>
    <row r="2369" spans="1:6">
      <c r="A2369" t="str">
        <f>"E1093-25"</f>
        <v>E1093-25</v>
      </c>
      <c r="B2369" t="str">
        <f t="shared" si="300"/>
        <v>VIA GIULIO PASTORE  62-</v>
      </c>
      <c r="C2369" t="str">
        <f t="shared" si="301"/>
        <v>VOL</v>
      </c>
      <c r="D2369">
        <v>30</v>
      </c>
      <c r="E2369" t="str">
        <f t="shared" si="298"/>
        <v>516</v>
      </c>
      <c r="F2369" t="str">
        <f>"28"</f>
        <v>28</v>
      </c>
    </row>
    <row r="2370" spans="1:6">
      <c r="A2370" t="str">
        <f>"E1093-26"</f>
        <v>E1093-26</v>
      </c>
      <c r="B2370" t="str">
        <f t="shared" si="300"/>
        <v>VIA GIULIO PASTORE  62-</v>
      </c>
      <c r="C2370" t="str">
        <f t="shared" si="301"/>
        <v>VOL</v>
      </c>
      <c r="D2370">
        <v>30</v>
      </c>
      <c r="E2370" t="str">
        <f t="shared" si="298"/>
        <v>516</v>
      </c>
      <c r="F2370" t="str">
        <f>"29"</f>
        <v>29</v>
      </c>
    </row>
    <row r="2371" spans="1:6">
      <c r="A2371" t="str">
        <f>"E1093-27"</f>
        <v>E1093-27</v>
      </c>
      <c r="B2371" t="str">
        <f>"VIA GIULIO PASTORE VICINO AL 128-"</f>
        <v>VIA GIULIO PASTORE VICINO AL 128-</v>
      </c>
      <c r="C2371" t="str">
        <f>"2"</f>
        <v>2</v>
      </c>
      <c r="D2371">
        <v>30</v>
      </c>
      <c r="E2371" t="str">
        <f>"150"</f>
        <v>150</v>
      </c>
      <c r="F2371" t="str">
        <f>"0000"</f>
        <v>0000</v>
      </c>
    </row>
    <row r="2372" spans="1:6">
      <c r="C2372" t="str">
        <f>"2"</f>
        <v>2</v>
      </c>
      <c r="D2372">
        <v>30</v>
      </c>
      <c r="E2372" t="str">
        <f>"262"</f>
        <v>262</v>
      </c>
      <c r="F2372" t="str">
        <f>"0000"</f>
        <v>0000</v>
      </c>
    </row>
    <row r="2373" spans="1:6">
      <c r="C2373" t="str">
        <f>"2"</f>
        <v>2</v>
      </c>
      <c r="D2373">
        <v>30</v>
      </c>
      <c r="E2373" t="str">
        <f>"157"</f>
        <v>157</v>
      </c>
      <c r="F2373" t="str">
        <f>"0000"</f>
        <v>0000</v>
      </c>
    </row>
    <row r="2374" spans="1:6">
      <c r="C2374" t="str">
        <f>"2"</f>
        <v>2</v>
      </c>
      <c r="D2374">
        <v>30</v>
      </c>
      <c r="E2374" t="str">
        <f>"152"</f>
        <v>152</v>
      </c>
      <c r="F2374" t="str">
        <f>"0000"</f>
        <v>0000</v>
      </c>
    </row>
    <row r="2375" spans="1:6">
      <c r="C2375" t="str">
        <f>"2"</f>
        <v>2</v>
      </c>
      <c r="D2375">
        <v>30</v>
      </c>
      <c r="E2375" t="str">
        <f>"151"</f>
        <v>151</v>
      </c>
      <c r="F2375" t="str">
        <f>"0000"</f>
        <v>0000</v>
      </c>
    </row>
    <row r="2376" spans="1:6">
      <c r="A2376" t="str">
        <f>"E1093-28"</f>
        <v>E1093-28</v>
      </c>
      <c r="B2376" t="str">
        <f>"VIA GIULIO PASTORE  118-"</f>
        <v>VIA GIULIO PASTORE  118-</v>
      </c>
      <c r="C2376" t="str">
        <f t="shared" ref="C2376:C2407" si="302">"VOL"</f>
        <v>VOL</v>
      </c>
      <c r="D2376">
        <v>30</v>
      </c>
      <c r="E2376" t="str">
        <f t="shared" ref="E2376:E2407" si="303">"516"</f>
        <v>516</v>
      </c>
      <c r="F2376" t="str">
        <f>"32"</f>
        <v>32</v>
      </c>
    </row>
    <row r="2377" spans="1:6">
      <c r="A2377" t="str">
        <f>"E1093-30"</f>
        <v>E1093-30</v>
      </c>
      <c r="B2377" t="str">
        <f t="shared" ref="B2377:B2389" si="304">"VIA GIULIO PASTORE  74-"</f>
        <v>VIA GIULIO PASTORE  74-</v>
      </c>
      <c r="C2377" t="str">
        <f t="shared" si="302"/>
        <v>VOL</v>
      </c>
      <c r="D2377">
        <v>30</v>
      </c>
      <c r="E2377" t="str">
        <f t="shared" si="303"/>
        <v>516</v>
      </c>
      <c r="F2377" t="str">
        <f>"34"</f>
        <v>34</v>
      </c>
    </row>
    <row r="2378" spans="1:6">
      <c r="A2378" t="str">
        <f>"E1093-31"</f>
        <v>E1093-31</v>
      </c>
      <c r="B2378" t="str">
        <f t="shared" si="304"/>
        <v>VIA GIULIO PASTORE  74-</v>
      </c>
      <c r="C2378" t="str">
        <f t="shared" si="302"/>
        <v>VOL</v>
      </c>
      <c r="D2378">
        <v>30</v>
      </c>
      <c r="E2378" t="str">
        <f t="shared" si="303"/>
        <v>516</v>
      </c>
      <c r="F2378" t="str">
        <f>"35"</f>
        <v>35</v>
      </c>
    </row>
    <row r="2379" spans="1:6">
      <c r="A2379" t="str">
        <f>"E1093-32"</f>
        <v>E1093-32</v>
      </c>
      <c r="B2379" t="str">
        <f t="shared" si="304"/>
        <v>VIA GIULIO PASTORE  74-</v>
      </c>
      <c r="C2379" t="str">
        <f t="shared" si="302"/>
        <v>VOL</v>
      </c>
      <c r="D2379">
        <v>30</v>
      </c>
      <c r="E2379" t="str">
        <f t="shared" si="303"/>
        <v>516</v>
      </c>
      <c r="F2379" t="str">
        <f>"36"</f>
        <v>36</v>
      </c>
    </row>
    <row r="2380" spans="1:6">
      <c r="A2380" t="str">
        <f>"E1093-33"</f>
        <v>E1093-33</v>
      </c>
      <c r="B2380" t="str">
        <f t="shared" si="304"/>
        <v>VIA GIULIO PASTORE  74-</v>
      </c>
      <c r="C2380" t="str">
        <f t="shared" si="302"/>
        <v>VOL</v>
      </c>
      <c r="D2380">
        <v>30</v>
      </c>
      <c r="E2380" t="str">
        <f t="shared" si="303"/>
        <v>516</v>
      </c>
      <c r="F2380" t="str">
        <f>"37"</f>
        <v>37</v>
      </c>
    </row>
    <row r="2381" spans="1:6">
      <c r="A2381" t="str">
        <f>"E1093-35"</f>
        <v>E1093-35</v>
      </c>
      <c r="B2381" t="str">
        <f t="shared" si="304"/>
        <v>VIA GIULIO PASTORE  74-</v>
      </c>
      <c r="C2381" t="str">
        <f t="shared" si="302"/>
        <v>VOL</v>
      </c>
      <c r="D2381">
        <v>30</v>
      </c>
      <c r="E2381" t="str">
        <f t="shared" si="303"/>
        <v>516</v>
      </c>
      <c r="F2381" t="str">
        <f>"39"</f>
        <v>39</v>
      </c>
    </row>
    <row r="2382" spans="1:6">
      <c r="A2382" t="str">
        <f>"E1093-36"</f>
        <v>E1093-36</v>
      </c>
      <c r="B2382" t="str">
        <f t="shared" si="304"/>
        <v>VIA GIULIO PASTORE  74-</v>
      </c>
      <c r="C2382" t="str">
        <f t="shared" si="302"/>
        <v>VOL</v>
      </c>
      <c r="D2382">
        <v>30</v>
      </c>
      <c r="E2382" t="str">
        <f t="shared" si="303"/>
        <v>516</v>
      </c>
      <c r="F2382" t="str">
        <f>"40"</f>
        <v>40</v>
      </c>
    </row>
    <row r="2383" spans="1:6">
      <c r="A2383" t="str">
        <f>"E1093-37"</f>
        <v>E1093-37</v>
      </c>
      <c r="B2383" t="str">
        <f t="shared" si="304"/>
        <v>VIA GIULIO PASTORE  74-</v>
      </c>
      <c r="C2383" t="str">
        <f t="shared" si="302"/>
        <v>VOL</v>
      </c>
      <c r="D2383">
        <v>30</v>
      </c>
      <c r="E2383" t="str">
        <f t="shared" si="303"/>
        <v>516</v>
      </c>
      <c r="F2383" t="str">
        <f>"41"</f>
        <v>41</v>
      </c>
    </row>
    <row r="2384" spans="1:6">
      <c r="A2384" t="str">
        <f>"E1093-38"</f>
        <v>E1093-38</v>
      </c>
      <c r="B2384" t="str">
        <f t="shared" si="304"/>
        <v>VIA GIULIO PASTORE  74-</v>
      </c>
      <c r="C2384" t="str">
        <f t="shared" si="302"/>
        <v>VOL</v>
      </c>
      <c r="D2384">
        <v>30</v>
      </c>
      <c r="E2384" t="str">
        <f t="shared" si="303"/>
        <v>516</v>
      </c>
      <c r="F2384" t="str">
        <f>"42"</f>
        <v>42</v>
      </c>
    </row>
    <row r="2385" spans="1:6">
      <c r="A2385" t="str">
        <f>"E1093-39"</f>
        <v>E1093-39</v>
      </c>
      <c r="B2385" t="str">
        <f t="shared" si="304"/>
        <v>VIA GIULIO PASTORE  74-</v>
      </c>
      <c r="C2385" t="str">
        <f t="shared" si="302"/>
        <v>VOL</v>
      </c>
      <c r="D2385">
        <v>30</v>
      </c>
      <c r="E2385" t="str">
        <f t="shared" si="303"/>
        <v>516</v>
      </c>
      <c r="F2385" t="str">
        <f>"43"</f>
        <v>43</v>
      </c>
    </row>
    <row r="2386" spans="1:6">
      <c r="A2386" t="str">
        <f>"E1093-40"</f>
        <v>E1093-40</v>
      </c>
      <c r="B2386" t="str">
        <f t="shared" si="304"/>
        <v>VIA GIULIO PASTORE  74-</v>
      </c>
      <c r="C2386" t="str">
        <f t="shared" si="302"/>
        <v>VOL</v>
      </c>
      <c r="D2386">
        <v>30</v>
      </c>
      <c r="E2386" t="str">
        <f t="shared" si="303"/>
        <v>516</v>
      </c>
      <c r="F2386" t="str">
        <f>"44"</f>
        <v>44</v>
      </c>
    </row>
    <row r="2387" spans="1:6">
      <c r="A2387" t="str">
        <f>"E1093-41"</f>
        <v>E1093-41</v>
      </c>
      <c r="B2387" t="str">
        <f t="shared" si="304"/>
        <v>VIA GIULIO PASTORE  74-</v>
      </c>
      <c r="C2387" t="str">
        <f t="shared" si="302"/>
        <v>VOL</v>
      </c>
      <c r="D2387">
        <v>30</v>
      </c>
      <c r="E2387" t="str">
        <f t="shared" si="303"/>
        <v>516</v>
      </c>
      <c r="F2387" t="str">
        <f>"45"</f>
        <v>45</v>
      </c>
    </row>
    <row r="2388" spans="1:6">
      <c r="A2388" t="str">
        <f>"E1093-42"</f>
        <v>E1093-42</v>
      </c>
      <c r="B2388" t="str">
        <f t="shared" si="304"/>
        <v>VIA GIULIO PASTORE  74-</v>
      </c>
      <c r="C2388" t="str">
        <f t="shared" si="302"/>
        <v>VOL</v>
      </c>
      <c r="D2388">
        <v>30</v>
      </c>
      <c r="E2388" t="str">
        <f t="shared" si="303"/>
        <v>516</v>
      </c>
      <c r="F2388" t="str">
        <f>"46"</f>
        <v>46</v>
      </c>
    </row>
    <row r="2389" spans="1:6">
      <c r="A2389" t="str">
        <f>"E1093-44"</f>
        <v>E1093-44</v>
      </c>
      <c r="B2389" t="str">
        <f t="shared" si="304"/>
        <v>VIA GIULIO PASTORE  74-</v>
      </c>
      <c r="C2389" t="str">
        <f t="shared" si="302"/>
        <v>VOL</v>
      </c>
      <c r="D2389">
        <v>30</v>
      </c>
      <c r="E2389" t="str">
        <f t="shared" si="303"/>
        <v>516</v>
      </c>
      <c r="F2389" t="str">
        <f>"48"</f>
        <v>48</v>
      </c>
    </row>
    <row r="2390" spans="1:6">
      <c r="A2390" t="str">
        <f>"E1093-46"</f>
        <v>E1093-46</v>
      </c>
      <c r="B2390" t="str">
        <f t="shared" ref="B2390:B2413" si="305">"VIA GIULIO PASTORE  128-"</f>
        <v>VIA GIULIO PASTORE  128-</v>
      </c>
      <c r="C2390" t="str">
        <f t="shared" si="302"/>
        <v>VOL</v>
      </c>
      <c r="D2390">
        <v>30</v>
      </c>
      <c r="E2390" t="str">
        <f t="shared" si="303"/>
        <v>516</v>
      </c>
      <c r="F2390" t="str">
        <f>"51"</f>
        <v>51</v>
      </c>
    </row>
    <row r="2391" spans="1:6">
      <c r="A2391" t="str">
        <f>"E1093-47"</f>
        <v>E1093-47</v>
      </c>
      <c r="B2391" t="str">
        <f t="shared" si="305"/>
        <v>VIA GIULIO PASTORE  128-</v>
      </c>
      <c r="C2391" t="str">
        <f t="shared" si="302"/>
        <v>VOL</v>
      </c>
      <c r="D2391">
        <v>30</v>
      </c>
      <c r="E2391" t="str">
        <f t="shared" si="303"/>
        <v>516</v>
      </c>
      <c r="F2391" t="str">
        <f>"52"</f>
        <v>52</v>
      </c>
    </row>
    <row r="2392" spans="1:6">
      <c r="A2392" t="str">
        <f>"E1093-48"</f>
        <v>E1093-48</v>
      </c>
      <c r="B2392" t="str">
        <f t="shared" si="305"/>
        <v>VIA GIULIO PASTORE  128-</v>
      </c>
      <c r="C2392" t="str">
        <f t="shared" si="302"/>
        <v>VOL</v>
      </c>
      <c r="D2392">
        <v>30</v>
      </c>
      <c r="E2392" t="str">
        <f t="shared" si="303"/>
        <v>516</v>
      </c>
      <c r="F2392" t="str">
        <f>"53"</f>
        <v>53</v>
      </c>
    </row>
    <row r="2393" spans="1:6">
      <c r="A2393" t="str">
        <f>"E1093-49"</f>
        <v>E1093-49</v>
      </c>
      <c r="B2393" t="str">
        <f t="shared" si="305"/>
        <v>VIA GIULIO PASTORE  128-</v>
      </c>
      <c r="C2393" t="str">
        <f t="shared" si="302"/>
        <v>VOL</v>
      </c>
      <c r="D2393">
        <v>30</v>
      </c>
      <c r="E2393" t="str">
        <f t="shared" si="303"/>
        <v>516</v>
      </c>
      <c r="F2393" t="str">
        <f>"54"</f>
        <v>54</v>
      </c>
    </row>
    <row r="2394" spans="1:6">
      <c r="A2394" t="str">
        <f>"E1093-50"</f>
        <v>E1093-50</v>
      </c>
      <c r="B2394" t="str">
        <f t="shared" si="305"/>
        <v>VIA GIULIO PASTORE  128-</v>
      </c>
      <c r="C2394" t="str">
        <f t="shared" si="302"/>
        <v>VOL</v>
      </c>
      <c r="D2394">
        <v>30</v>
      </c>
      <c r="E2394" t="str">
        <f t="shared" si="303"/>
        <v>516</v>
      </c>
      <c r="F2394" t="str">
        <f>"55"</f>
        <v>55</v>
      </c>
    </row>
    <row r="2395" spans="1:6">
      <c r="A2395" t="str">
        <f>"E1093-51"</f>
        <v>E1093-51</v>
      </c>
      <c r="B2395" t="str">
        <f t="shared" si="305"/>
        <v>VIA GIULIO PASTORE  128-</v>
      </c>
      <c r="C2395" t="str">
        <f t="shared" si="302"/>
        <v>VOL</v>
      </c>
      <c r="D2395">
        <v>30</v>
      </c>
      <c r="E2395" t="str">
        <f t="shared" si="303"/>
        <v>516</v>
      </c>
      <c r="F2395" t="str">
        <f>"56"</f>
        <v>56</v>
      </c>
    </row>
    <row r="2396" spans="1:6">
      <c r="A2396" t="str">
        <f>"E1093-52"</f>
        <v>E1093-52</v>
      </c>
      <c r="B2396" t="str">
        <f t="shared" si="305"/>
        <v>VIA GIULIO PASTORE  128-</v>
      </c>
      <c r="C2396" t="str">
        <f t="shared" si="302"/>
        <v>VOL</v>
      </c>
      <c r="D2396">
        <v>30</v>
      </c>
      <c r="E2396" t="str">
        <f t="shared" si="303"/>
        <v>516</v>
      </c>
      <c r="F2396" t="str">
        <f>"57"</f>
        <v>57</v>
      </c>
    </row>
    <row r="2397" spans="1:6">
      <c r="A2397" t="str">
        <f>"E1093-53"</f>
        <v>E1093-53</v>
      </c>
      <c r="B2397" t="str">
        <f t="shared" si="305"/>
        <v>VIA GIULIO PASTORE  128-</v>
      </c>
      <c r="C2397" t="str">
        <f t="shared" si="302"/>
        <v>VOL</v>
      </c>
      <c r="D2397">
        <v>30</v>
      </c>
      <c r="E2397" t="str">
        <f t="shared" si="303"/>
        <v>516</v>
      </c>
      <c r="F2397" t="str">
        <f>"58"</f>
        <v>58</v>
      </c>
    </row>
    <row r="2398" spans="1:6">
      <c r="A2398" t="str">
        <f>"E1093-54"</f>
        <v>E1093-54</v>
      </c>
      <c r="B2398" t="str">
        <f t="shared" si="305"/>
        <v>VIA GIULIO PASTORE  128-</v>
      </c>
      <c r="C2398" t="str">
        <f t="shared" si="302"/>
        <v>VOL</v>
      </c>
      <c r="D2398">
        <v>30</v>
      </c>
      <c r="E2398" t="str">
        <f t="shared" si="303"/>
        <v>516</v>
      </c>
      <c r="F2398" t="str">
        <f>"59"</f>
        <v>59</v>
      </c>
    </row>
    <row r="2399" spans="1:6">
      <c r="A2399" t="str">
        <f>"E1093-55"</f>
        <v>E1093-55</v>
      </c>
      <c r="B2399" t="str">
        <f t="shared" si="305"/>
        <v>VIA GIULIO PASTORE  128-</v>
      </c>
      <c r="C2399" t="str">
        <f t="shared" si="302"/>
        <v>VOL</v>
      </c>
      <c r="D2399">
        <v>30</v>
      </c>
      <c r="E2399" t="str">
        <f t="shared" si="303"/>
        <v>516</v>
      </c>
      <c r="F2399" t="str">
        <f>"60"</f>
        <v>60</v>
      </c>
    </row>
    <row r="2400" spans="1:6">
      <c r="A2400" t="str">
        <f>"E1093-56"</f>
        <v>E1093-56</v>
      </c>
      <c r="B2400" t="str">
        <f t="shared" si="305"/>
        <v>VIA GIULIO PASTORE  128-</v>
      </c>
      <c r="C2400" t="str">
        <f t="shared" si="302"/>
        <v>VOL</v>
      </c>
      <c r="D2400">
        <v>30</v>
      </c>
      <c r="E2400" t="str">
        <f t="shared" si="303"/>
        <v>516</v>
      </c>
      <c r="F2400" t="str">
        <f>"61"</f>
        <v>61</v>
      </c>
    </row>
    <row r="2401" spans="1:6">
      <c r="A2401" t="str">
        <f>"E1093-57"</f>
        <v>E1093-57</v>
      </c>
      <c r="B2401" t="str">
        <f t="shared" si="305"/>
        <v>VIA GIULIO PASTORE  128-</v>
      </c>
      <c r="C2401" t="str">
        <f t="shared" si="302"/>
        <v>VOL</v>
      </c>
      <c r="D2401">
        <v>30</v>
      </c>
      <c r="E2401" t="str">
        <f t="shared" si="303"/>
        <v>516</v>
      </c>
      <c r="F2401" t="str">
        <f>"62"</f>
        <v>62</v>
      </c>
    </row>
    <row r="2402" spans="1:6">
      <c r="A2402" t="str">
        <f>"E1093-58"</f>
        <v>E1093-58</v>
      </c>
      <c r="B2402" t="str">
        <f t="shared" si="305"/>
        <v>VIA GIULIO PASTORE  128-</v>
      </c>
      <c r="C2402" t="str">
        <f t="shared" si="302"/>
        <v>VOL</v>
      </c>
      <c r="D2402">
        <v>30</v>
      </c>
      <c r="E2402" t="str">
        <f t="shared" si="303"/>
        <v>516</v>
      </c>
      <c r="F2402" t="str">
        <f>"63"</f>
        <v>63</v>
      </c>
    </row>
    <row r="2403" spans="1:6">
      <c r="A2403" t="str">
        <f>"E1093-60"</f>
        <v>E1093-60</v>
      </c>
      <c r="B2403" t="str">
        <f t="shared" si="305"/>
        <v>VIA GIULIO PASTORE  128-</v>
      </c>
      <c r="C2403" t="str">
        <f t="shared" si="302"/>
        <v>VOL</v>
      </c>
      <c r="D2403">
        <v>30</v>
      </c>
      <c r="E2403" t="str">
        <f t="shared" si="303"/>
        <v>516</v>
      </c>
      <c r="F2403" t="str">
        <f>"65"</f>
        <v>65</v>
      </c>
    </row>
    <row r="2404" spans="1:6">
      <c r="A2404" t="str">
        <f>"E1093-61"</f>
        <v>E1093-61</v>
      </c>
      <c r="B2404" t="str">
        <f t="shared" si="305"/>
        <v>VIA GIULIO PASTORE  128-</v>
      </c>
      <c r="C2404" t="str">
        <f t="shared" si="302"/>
        <v>VOL</v>
      </c>
      <c r="D2404">
        <v>30</v>
      </c>
      <c r="E2404" t="str">
        <f t="shared" si="303"/>
        <v>516</v>
      </c>
      <c r="F2404" t="str">
        <f>"66"</f>
        <v>66</v>
      </c>
    </row>
    <row r="2405" spans="1:6">
      <c r="A2405" t="str">
        <f>"E1093-62"</f>
        <v>E1093-62</v>
      </c>
      <c r="B2405" t="str">
        <f t="shared" si="305"/>
        <v>VIA GIULIO PASTORE  128-</v>
      </c>
      <c r="C2405" t="str">
        <f t="shared" si="302"/>
        <v>VOL</v>
      </c>
      <c r="D2405">
        <v>30</v>
      </c>
      <c r="E2405" t="str">
        <f t="shared" si="303"/>
        <v>516</v>
      </c>
      <c r="F2405" t="str">
        <f>"67"</f>
        <v>67</v>
      </c>
    </row>
    <row r="2406" spans="1:6">
      <c r="A2406" t="str">
        <f>"E1093-63"</f>
        <v>E1093-63</v>
      </c>
      <c r="B2406" t="str">
        <f t="shared" si="305"/>
        <v>VIA GIULIO PASTORE  128-</v>
      </c>
      <c r="C2406" t="str">
        <f t="shared" si="302"/>
        <v>VOL</v>
      </c>
      <c r="D2406">
        <v>30</v>
      </c>
      <c r="E2406" t="str">
        <f t="shared" si="303"/>
        <v>516</v>
      </c>
      <c r="F2406" t="str">
        <f>"68"</f>
        <v>68</v>
      </c>
    </row>
    <row r="2407" spans="1:6">
      <c r="A2407" t="str">
        <f>"E1093-64"</f>
        <v>E1093-64</v>
      </c>
      <c r="B2407" t="str">
        <f t="shared" si="305"/>
        <v>VIA GIULIO PASTORE  128-</v>
      </c>
      <c r="C2407" t="str">
        <f t="shared" si="302"/>
        <v>VOL</v>
      </c>
      <c r="D2407">
        <v>30</v>
      </c>
      <c r="E2407" t="str">
        <f t="shared" si="303"/>
        <v>516</v>
      </c>
      <c r="F2407" t="str">
        <f>"69"</f>
        <v>69</v>
      </c>
    </row>
    <row r="2408" spans="1:6">
      <c r="A2408" t="str">
        <f>"E1093-65"</f>
        <v>E1093-65</v>
      </c>
      <c r="B2408" t="str">
        <f t="shared" si="305"/>
        <v>VIA GIULIO PASTORE  128-</v>
      </c>
      <c r="C2408" t="str">
        <f t="shared" ref="C2408:C2439" si="306">"VOL"</f>
        <v>VOL</v>
      </c>
      <c r="D2408">
        <v>30</v>
      </c>
      <c r="E2408" t="str">
        <f t="shared" ref="E2408:E2439" si="307">"516"</f>
        <v>516</v>
      </c>
      <c r="F2408" t="str">
        <f>"70"</f>
        <v>70</v>
      </c>
    </row>
    <row r="2409" spans="1:6">
      <c r="A2409" t="str">
        <f>"E1093-66"</f>
        <v>E1093-66</v>
      </c>
      <c r="B2409" t="str">
        <f t="shared" si="305"/>
        <v>VIA GIULIO PASTORE  128-</v>
      </c>
      <c r="C2409" t="str">
        <f t="shared" si="306"/>
        <v>VOL</v>
      </c>
      <c r="D2409">
        <v>30</v>
      </c>
      <c r="E2409" t="str">
        <f t="shared" si="307"/>
        <v>516</v>
      </c>
      <c r="F2409" t="str">
        <f>"71"</f>
        <v>71</v>
      </c>
    </row>
    <row r="2410" spans="1:6">
      <c r="A2410" t="str">
        <f>"E1093-67"</f>
        <v>E1093-67</v>
      </c>
      <c r="B2410" t="str">
        <f t="shared" si="305"/>
        <v>VIA GIULIO PASTORE  128-</v>
      </c>
      <c r="C2410" t="str">
        <f t="shared" si="306"/>
        <v>VOL</v>
      </c>
      <c r="D2410">
        <v>30</v>
      </c>
      <c r="E2410" t="str">
        <f t="shared" si="307"/>
        <v>516</v>
      </c>
      <c r="F2410" t="str">
        <f>"72"</f>
        <v>72</v>
      </c>
    </row>
    <row r="2411" spans="1:6">
      <c r="A2411" t="str">
        <f>"E1093-68"</f>
        <v>E1093-68</v>
      </c>
      <c r="B2411" t="str">
        <f t="shared" si="305"/>
        <v>VIA GIULIO PASTORE  128-</v>
      </c>
      <c r="C2411" t="str">
        <f t="shared" si="306"/>
        <v>VOL</v>
      </c>
      <c r="D2411">
        <v>30</v>
      </c>
      <c r="E2411" t="str">
        <f t="shared" si="307"/>
        <v>516</v>
      </c>
      <c r="F2411" t="str">
        <f>"73"</f>
        <v>73</v>
      </c>
    </row>
    <row r="2412" spans="1:6">
      <c r="A2412" t="str">
        <f>"E1093-69"</f>
        <v>E1093-69</v>
      </c>
      <c r="B2412" t="str">
        <f t="shared" si="305"/>
        <v>VIA GIULIO PASTORE  128-</v>
      </c>
      <c r="C2412" t="str">
        <f t="shared" si="306"/>
        <v>VOL</v>
      </c>
      <c r="D2412">
        <v>30</v>
      </c>
      <c r="E2412" t="str">
        <f t="shared" si="307"/>
        <v>516</v>
      </c>
      <c r="F2412" t="str">
        <f>"74"</f>
        <v>74</v>
      </c>
    </row>
    <row r="2413" spans="1:6">
      <c r="A2413" t="str">
        <f>"E1093-70"</f>
        <v>E1093-70</v>
      </c>
      <c r="B2413" t="str">
        <f t="shared" si="305"/>
        <v>VIA GIULIO PASTORE  128-</v>
      </c>
      <c r="C2413" t="str">
        <f t="shared" si="306"/>
        <v>VOL</v>
      </c>
      <c r="D2413">
        <v>30</v>
      </c>
      <c r="E2413" t="str">
        <f t="shared" si="307"/>
        <v>516</v>
      </c>
      <c r="F2413" t="str">
        <f>"75"</f>
        <v>75</v>
      </c>
    </row>
    <row r="2414" spans="1:6">
      <c r="A2414" t="str">
        <f>"E1093-71"</f>
        <v>E1093-71</v>
      </c>
      <c r="B2414" t="str">
        <f t="shared" ref="B2414:B2436" si="308">"VIA GIULIO PASTORE  136-"</f>
        <v>VIA GIULIO PASTORE  136-</v>
      </c>
      <c r="C2414" t="str">
        <f t="shared" si="306"/>
        <v>VOL</v>
      </c>
      <c r="D2414">
        <v>30</v>
      </c>
      <c r="E2414" t="str">
        <f t="shared" si="307"/>
        <v>516</v>
      </c>
      <c r="F2414" t="str">
        <f>"84"</f>
        <v>84</v>
      </c>
    </row>
    <row r="2415" spans="1:6">
      <c r="A2415" t="str">
        <f>"E1093-73"</f>
        <v>E1093-73</v>
      </c>
      <c r="B2415" t="str">
        <f t="shared" si="308"/>
        <v>VIA GIULIO PASTORE  136-</v>
      </c>
      <c r="C2415" t="str">
        <f t="shared" si="306"/>
        <v>VOL</v>
      </c>
      <c r="D2415">
        <v>30</v>
      </c>
      <c r="E2415" t="str">
        <f t="shared" si="307"/>
        <v>516</v>
      </c>
      <c r="F2415" t="str">
        <f>"86"</f>
        <v>86</v>
      </c>
    </row>
    <row r="2416" spans="1:6">
      <c r="A2416" t="str">
        <f>"E1093-74"</f>
        <v>E1093-74</v>
      </c>
      <c r="B2416" t="str">
        <f t="shared" si="308"/>
        <v>VIA GIULIO PASTORE  136-</v>
      </c>
      <c r="C2416" t="str">
        <f t="shared" si="306"/>
        <v>VOL</v>
      </c>
      <c r="D2416">
        <v>30</v>
      </c>
      <c r="E2416" t="str">
        <f t="shared" si="307"/>
        <v>516</v>
      </c>
      <c r="F2416" t="str">
        <f>"87"</f>
        <v>87</v>
      </c>
    </row>
    <row r="2417" spans="1:6">
      <c r="A2417" t="str">
        <f>"E1093-75"</f>
        <v>E1093-75</v>
      </c>
      <c r="B2417" t="str">
        <f t="shared" si="308"/>
        <v>VIA GIULIO PASTORE  136-</v>
      </c>
      <c r="C2417" t="str">
        <f t="shared" si="306"/>
        <v>VOL</v>
      </c>
      <c r="D2417">
        <v>30</v>
      </c>
      <c r="E2417" t="str">
        <f t="shared" si="307"/>
        <v>516</v>
      </c>
      <c r="F2417" t="str">
        <f>"88"</f>
        <v>88</v>
      </c>
    </row>
    <row r="2418" spans="1:6">
      <c r="A2418" t="str">
        <f>"E1093-76"</f>
        <v>E1093-76</v>
      </c>
      <c r="B2418" t="str">
        <f t="shared" si="308"/>
        <v>VIA GIULIO PASTORE  136-</v>
      </c>
      <c r="C2418" t="str">
        <f t="shared" si="306"/>
        <v>VOL</v>
      </c>
      <c r="D2418">
        <v>30</v>
      </c>
      <c r="E2418" t="str">
        <f t="shared" si="307"/>
        <v>516</v>
      </c>
      <c r="F2418" t="str">
        <f>"89"</f>
        <v>89</v>
      </c>
    </row>
    <row r="2419" spans="1:6">
      <c r="A2419" t="str">
        <f>"E1093-77"</f>
        <v>E1093-77</v>
      </c>
      <c r="B2419" t="str">
        <f t="shared" si="308"/>
        <v>VIA GIULIO PASTORE  136-</v>
      </c>
      <c r="C2419" t="str">
        <f t="shared" si="306"/>
        <v>VOL</v>
      </c>
      <c r="D2419">
        <v>30</v>
      </c>
      <c r="E2419" t="str">
        <f t="shared" si="307"/>
        <v>516</v>
      </c>
      <c r="F2419" t="str">
        <f>"90"</f>
        <v>90</v>
      </c>
    </row>
    <row r="2420" spans="1:6">
      <c r="A2420" t="str">
        <f>"E1093-78"</f>
        <v>E1093-78</v>
      </c>
      <c r="B2420" t="str">
        <f t="shared" si="308"/>
        <v>VIA GIULIO PASTORE  136-</v>
      </c>
      <c r="C2420" t="str">
        <f t="shared" si="306"/>
        <v>VOL</v>
      </c>
      <c r="D2420">
        <v>30</v>
      </c>
      <c r="E2420" t="str">
        <f t="shared" si="307"/>
        <v>516</v>
      </c>
      <c r="F2420" t="str">
        <f>"91"</f>
        <v>91</v>
      </c>
    </row>
    <row r="2421" spans="1:6">
      <c r="A2421" t="str">
        <f>"E1093-79"</f>
        <v>E1093-79</v>
      </c>
      <c r="B2421" t="str">
        <f t="shared" si="308"/>
        <v>VIA GIULIO PASTORE  136-</v>
      </c>
      <c r="C2421" t="str">
        <f t="shared" si="306"/>
        <v>VOL</v>
      </c>
      <c r="D2421">
        <v>30</v>
      </c>
      <c r="E2421" t="str">
        <f t="shared" si="307"/>
        <v>516</v>
      </c>
      <c r="F2421" t="str">
        <f>"92"</f>
        <v>92</v>
      </c>
    </row>
    <row r="2422" spans="1:6">
      <c r="A2422" t="str">
        <f>"E1093-80"</f>
        <v>E1093-80</v>
      </c>
      <c r="B2422" t="str">
        <f t="shared" si="308"/>
        <v>VIA GIULIO PASTORE  136-</v>
      </c>
      <c r="C2422" t="str">
        <f t="shared" si="306"/>
        <v>VOL</v>
      </c>
      <c r="D2422">
        <v>30</v>
      </c>
      <c r="E2422" t="str">
        <f t="shared" si="307"/>
        <v>516</v>
      </c>
      <c r="F2422" t="str">
        <f>"93"</f>
        <v>93</v>
      </c>
    </row>
    <row r="2423" spans="1:6">
      <c r="A2423" t="str">
        <f>"E1093-81"</f>
        <v>E1093-81</v>
      </c>
      <c r="B2423" t="str">
        <f t="shared" si="308"/>
        <v>VIA GIULIO PASTORE  136-</v>
      </c>
      <c r="C2423" t="str">
        <f t="shared" si="306"/>
        <v>VOL</v>
      </c>
      <c r="D2423">
        <v>30</v>
      </c>
      <c r="E2423" t="str">
        <f t="shared" si="307"/>
        <v>516</v>
      </c>
      <c r="F2423" t="str">
        <f>"94"</f>
        <v>94</v>
      </c>
    </row>
    <row r="2424" spans="1:6">
      <c r="A2424" t="str">
        <f>"E1093-82"</f>
        <v>E1093-82</v>
      </c>
      <c r="B2424" t="str">
        <f t="shared" si="308"/>
        <v>VIA GIULIO PASTORE  136-</v>
      </c>
      <c r="C2424" t="str">
        <f t="shared" si="306"/>
        <v>VOL</v>
      </c>
      <c r="D2424">
        <v>30</v>
      </c>
      <c r="E2424" t="str">
        <f t="shared" si="307"/>
        <v>516</v>
      </c>
      <c r="F2424" t="str">
        <f>"95"</f>
        <v>95</v>
      </c>
    </row>
    <row r="2425" spans="1:6">
      <c r="A2425" t="str">
        <f>"E1093-83"</f>
        <v>E1093-83</v>
      </c>
      <c r="B2425" t="str">
        <f t="shared" si="308"/>
        <v>VIA GIULIO PASTORE  136-</v>
      </c>
      <c r="C2425" t="str">
        <f t="shared" si="306"/>
        <v>VOL</v>
      </c>
      <c r="D2425">
        <v>30</v>
      </c>
      <c r="E2425" t="str">
        <f t="shared" si="307"/>
        <v>516</v>
      </c>
      <c r="F2425" t="str">
        <f>"96"</f>
        <v>96</v>
      </c>
    </row>
    <row r="2426" spans="1:6">
      <c r="A2426" t="str">
        <f>"E1093-84"</f>
        <v>E1093-84</v>
      </c>
      <c r="B2426" t="str">
        <f t="shared" si="308"/>
        <v>VIA GIULIO PASTORE  136-</v>
      </c>
      <c r="C2426" t="str">
        <f t="shared" si="306"/>
        <v>VOL</v>
      </c>
      <c r="D2426">
        <v>30</v>
      </c>
      <c r="E2426" t="str">
        <f t="shared" si="307"/>
        <v>516</v>
      </c>
      <c r="F2426" t="str">
        <f>"97"</f>
        <v>97</v>
      </c>
    </row>
    <row r="2427" spans="1:6">
      <c r="A2427" t="str">
        <f>"E1093-86"</f>
        <v>E1093-86</v>
      </c>
      <c r="B2427" t="str">
        <f t="shared" si="308"/>
        <v>VIA GIULIO PASTORE  136-</v>
      </c>
      <c r="C2427" t="str">
        <f t="shared" si="306"/>
        <v>VOL</v>
      </c>
      <c r="D2427">
        <v>30</v>
      </c>
      <c r="E2427" t="str">
        <f t="shared" si="307"/>
        <v>516</v>
      </c>
      <c r="F2427" t="str">
        <f>"99"</f>
        <v>99</v>
      </c>
    </row>
    <row r="2428" spans="1:6">
      <c r="A2428" t="str">
        <f>"E1093-87"</f>
        <v>E1093-87</v>
      </c>
      <c r="B2428" t="str">
        <f t="shared" si="308"/>
        <v>VIA GIULIO PASTORE  136-</v>
      </c>
      <c r="C2428" t="str">
        <f t="shared" si="306"/>
        <v>VOL</v>
      </c>
      <c r="D2428">
        <v>30</v>
      </c>
      <c r="E2428" t="str">
        <f t="shared" si="307"/>
        <v>516</v>
      </c>
      <c r="F2428" t="str">
        <f>"100"</f>
        <v>100</v>
      </c>
    </row>
    <row r="2429" spans="1:6">
      <c r="A2429" t="str">
        <f>"E1093-88"</f>
        <v>E1093-88</v>
      </c>
      <c r="B2429" t="str">
        <f t="shared" si="308"/>
        <v>VIA GIULIO PASTORE  136-</v>
      </c>
      <c r="C2429" t="str">
        <f t="shared" si="306"/>
        <v>VOL</v>
      </c>
      <c r="D2429">
        <v>30</v>
      </c>
      <c r="E2429" t="str">
        <f t="shared" si="307"/>
        <v>516</v>
      </c>
      <c r="F2429" t="str">
        <f>"101"</f>
        <v>101</v>
      </c>
    </row>
    <row r="2430" spans="1:6">
      <c r="A2430" t="str">
        <f>"E1093-89"</f>
        <v>E1093-89</v>
      </c>
      <c r="B2430" t="str">
        <f t="shared" si="308"/>
        <v>VIA GIULIO PASTORE  136-</v>
      </c>
      <c r="C2430" t="str">
        <f t="shared" si="306"/>
        <v>VOL</v>
      </c>
      <c r="D2430">
        <v>30</v>
      </c>
      <c r="E2430" t="str">
        <f t="shared" si="307"/>
        <v>516</v>
      </c>
      <c r="F2430" t="str">
        <f>"102"</f>
        <v>102</v>
      </c>
    </row>
    <row r="2431" spans="1:6">
      <c r="A2431" t="str">
        <f>"E1093-90"</f>
        <v>E1093-90</v>
      </c>
      <c r="B2431" t="str">
        <f t="shared" si="308"/>
        <v>VIA GIULIO PASTORE  136-</v>
      </c>
      <c r="C2431" t="str">
        <f t="shared" si="306"/>
        <v>VOL</v>
      </c>
      <c r="D2431">
        <v>30</v>
      </c>
      <c r="E2431" t="str">
        <f t="shared" si="307"/>
        <v>516</v>
      </c>
      <c r="F2431" t="str">
        <f>"103"</f>
        <v>103</v>
      </c>
    </row>
    <row r="2432" spans="1:6">
      <c r="A2432" t="str">
        <f>"E1093-91"</f>
        <v>E1093-91</v>
      </c>
      <c r="B2432" t="str">
        <f t="shared" si="308"/>
        <v>VIA GIULIO PASTORE  136-</v>
      </c>
      <c r="C2432" t="str">
        <f t="shared" si="306"/>
        <v>VOL</v>
      </c>
      <c r="D2432">
        <v>30</v>
      </c>
      <c r="E2432" t="str">
        <f t="shared" si="307"/>
        <v>516</v>
      </c>
      <c r="F2432" t="str">
        <f>"104"</f>
        <v>104</v>
      </c>
    </row>
    <row r="2433" spans="1:6">
      <c r="A2433" t="str">
        <f>"E1093-92"</f>
        <v>E1093-92</v>
      </c>
      <c r="B2433" t="str">
        <f t="shared" si="308"/>
        <v>VIA GIULIO PASTORE  136-</v>
      </c>
      <c r="C2433" t="str">
        <f t="shared" si="306"/>
        <v>VOL</v>
      </c>
      <c r="D2433">
        <v>30</v>
      </c>
      <c r="E2433" t="str">
        <f t="shared" si="307"/>
        <v>516</v>
      </c>
      <c r="F2433" t="str">
        <f>"105"</f>
        <v>105</v>
      </c>
    </row>
    <row r="2434" spans="1:6">
      <c r="A2434" t="str">
        <f>"E1093-93"</f>
        <v>E1093-93</v>
      </c>
      <c r="B2434" t="str">
        <f t="shared" si="308"/>
        <v>VIA GIULIO PASTORE  136-</v>
      </c>
      <c r="C2434" t="str">
        <f t="shared" si="306"/>
        <v>VOL</v>
      </c>
      <c r="D2434">
        <v>30</v>
      </c>
      <c r="E2434" t="str">
        <f t="shared" si="307"/>
        <v>516</v>
      </c>
      <c r="F2434" t="str">
        <f>"106"</f>
        <v>106</v>
      </c>
    </row>
    <row r="2435" spans="1:6">
      <c r="A2435" t="str">
        <f>"E1093-94"</f>
        <v>E1093-94</v>
      </c>
      <c r="B2435" t="str">
        <f t="shared" si="308"/>
        <v>VIA GIULIO PASTORE  136-</v>
      </c>
      <c r="C2435" t="str">
        <f t="shared" si="306"/>
        <v>VOL</v>
      </c>
      <c r="D2435">
        <v>30</v>
      </c>
      <c r="E2435" t="str">
        <f t="shared" si="307"/>
        <v>516</v>
      </c>
      <c r="F2435" t="str">
        <f>"107"</f>
        <v>107</v>
      </c>
    </row>
    <row r="2436" spans="1:6">
      <c r="A2436" t="str">
        <f>"E1093-95"</f>
        <v>E1093-95</v>
      </c>
      <c r="B2436" t="str">
        <f t="shared" si="308"/>
        <v>VIA GIULIO PASTORE  136-</v>
      </c>
      <c r="C2436" t="str">
        <f t="shared" si="306"/>
        <v>VOL</v>
      </c>
      <c r="D2436">
        <v>30</v>
      </c>
      <c r="E2436" t="str">
        <f t="shared" si="307"/>
        <v>516</v>
      </c>
      <c r="F2436" t="str">
        <f>"108"</f>
        <v>108</v>
      </c>
    </row>
    <row r="2437" spans="1:6">
      <c r="A2437" t="str">
        <f>"E1093-96"</f>
        <v>E1093-96</v>
      </c>
      <c r="B2437" t="str">
        <f t="shared" ref="B2437:B2461" si="309">"VIA GIULIO PASTORE  144-"</f>
        <v>VIA GIULIO PASTORE  144-</v>
      </c>
      <c r="C2437" t="str">
        <f t="shared" si="306"/>
        <v>VOL</v>
      </c>
      <c r="D2437">
        <v>30</v>
      </c>
      <c r="E2437" t="str">
        <f t="shared" si="307"/>
        <v>516</v>
      </c>
      <c r="F2437" t="str">
        <f>"110"</f>
        <v>110</v>
      </c>
    </row>
    <row r="2438" spans="1:6">
      <c r="A2438" t="str">
        <f>"E1093-97"</f>
        <v>E1093-97</v>
      </c>
      <c r="B2438" t="str">
        <f t="shared" si="309"/>
        <v>VIA GIULIO PASTORE  144-</v>
      </c>
      <c r="C2438" t="str">
        <f t="shared" si="306"/>
        <v>VOL</v>
      </c>
      <c r="D2438">
        <v>30</v>
      </c>
      <c r="E2438" t="str">
        <f t="shared" si="307"/>
        <v>516</v>
      </c>
      <c r="F2438" t="str">
        <f>"111"</f>
        <v>111</v>
      </c>
    </row>
    <row r="2439" spans="1:6">
      <c r="A2439" t="str">
        <f>"E1093-98"</f>
        <v>E1093-98</v>
      </c>
      <c r="B2439" t="str">
        <f t="shared" si="309"/>
        <v>VIA GIULIO PASTORE  144-</v>
      </c>
      <c r="C2439" t="str">
        <f t="shared" si="306"/>
        <v>VOL</v>
      </c>
      <c r="D2439">
        <v>30</v>
      </c>
      <c r="E2439" t="str">
        <f t="shared" si="307"/>
        <v>516</v>
      </c>
      <c r="F2439" t="str">
        <f>"112"</f>
        <v>112</v>
      </c>
    </row>
    <row r="2440" spans="1:6">
      <c r="A2440" t="str">
        <f>"E1093-99"</f>
        <v>E1093-99</v>
      </c>
      <c r="B2440" t="str">
        <f t="shared" si="309"/>
        <v>VIA GIULIO PASTORE  144-</v>
      </c>
      <c r="C2440" t="str">
        <f t="shared" ref="C2440:C2471" si="310">"VOL"</f>
        <v>VOL</v>
      </c>
      <c r="D2440">
        <v>30</v>
      </c>
      <c r="E2440" t="str">
        <f t="shared" ref="E2440:E2471" si="311">"516"</f>
        <v>516</v>
      </c>
      <c r="F2440" t="str">
        <f>"113"</f>
        <v>113</v>
      </c>
    </row>
    <row r="2441" spans="1:6">
      <c r="A2441" t="str">
        <f>"E1093-100"</f>
        <v>E1093-100</v>
      </c>
      <c r="B2441" t="str">
        <f t="shared" si="309"/>
        <v>VIA GIULIO PASTORE  144-</v>
      </c>
      <c r="C2441" t="str">
        <f t="shared" si="310"/>
        <v>VOL</v>
      </c>
      <c r="D2441">
        <v>30</v>
      </c>
      <c r="E2441" t="str">
        <f t="shared" si="311"/>
        <v>516</v>
      </c>
      <c r="F2441" t="str">
        <f>"114"</f>
        <v>114</v>
      </c>
    </row>
    <row r="2442" spans="1:6">
      <c r="A2442" t="str">
        <f>"E1093-101"</f>
        <v>E1093-101</v>
      </c>
      <c r="B2442" t="str">
        <f t="shared" si="309"/>
        <v>VIA GIULIO PASTORE  144-</v>
      </c>
      <c r="C2442" t="str">
        <f t="shared" si="310"/>
        <v>VOL</v>
      </c>
      <c r="D2442">
        <v>30</v>
      </c>
      <c r="E2442" t="str">
        <f t="shared" si="311"/>
        <v>516</v>
      </c>
      <c r="F2442" t="str">
        <f>"115"</f>
        <v>115</v>
      </c>
    </row>
    <row r="2443" spans="1:6">
      <c r="A2443" t="str">
        <f>"E1093-102"</f>
        <v>E1093-102</v>
      </c>
      <c r="B2443" t="str">
        <f t="shared" si="309"/>
        <v>VIA GIULIO PASTORE  144-</v>
      </c>
      <c r="C2443" t="str">
        <f t="shared" si="310"/>
        <v>VOL</v>
      </c>
      <c r="D2443">
        <v>30</v>
      </c>
      <c r="E2443" t="str">
        <f t="shared" si="311"/>
        <v>516</v>
      </c>
      <c r="F2443" t="str">
        <f>"116"</f>
        <v>116</v>
      </c>
    </row>
    <row r="2444" spans="1:6">
      <c r="A2444" t="str">
        <f>"E1093-103"</f>
        <v>E1093-103</v>
      </c>
      <c r="B2444" t="str">
        <f t="shared" si="309"/>
        <v>VIA GIULIO PASTORE  144-</v>
      </c>
      <c r="C2444" t="str">
        <f t="shared" si="310"/>
        <v>VOL</v>
      </c>
      <c r="D2444">
        <v>30</v>
      </c>
      <c r="E2444" t="str">
        <f t="shared" si="311"/>
        <v>516</v>
      </c>
      <c r="F2444" t="str">
        <f>"117"</f>
        <v>117</v>
      </c>
    </row>
    <row r="2445" spans="1:6">
      <c r="A2445" t="str">
        <f>"E1093-104"</f>
        <v>E1093-104</v>
      </c>
      <c r="B2445" t="str">
        <f t="shared" si="309"/>
        <v>VIA GIULIO PASTORE  144-</v>
      </c>
      <c r="C2445" t="str">
        <f t="shared" si="310"/>
        <v>VOL</v>
      </c>
      <c r="D2445">
        <v>30</v>
      </c>
      <c r="E2445" t="str">
        <f t="shared" si="311"/>
        <v>516</v>
      </c>
      <c r="F2445" t="str">
        <f>"118"</f>
        <v>118</v>
      </c>
    </row>
    <row r="2446" spans="1:6">
      <c r="A2446" t="str">
        <f>"E1093-105"</f>
        <v>E1093-105</v>
      </c>
      <c r="B2446" t="str">
        <f t="shared" si="309"/>
        <v>VIA GIULIO PASTORE  144-</v>
      </c>
      <c r="C2446" t="str">
        <f t="shared" si="310"/>
        <v>VOL</v>
      </c>
      <c r="D2446">
        <v>30</v>
      </c>
      <c r="E2446" t="str">
        <f t="shared" si="311"/>
        <v>516</v>
      </c>
      <c r="F2446" t="str">
        <f>"119"</f>
        <v>119</v>
      </c>
    </row>
    <row r="2447" spans="1:6">
      <c r="A2447" t="str">
        <f>"E1093-107"</f>
        <v>E1093-107</v>
      </c>
      <c r="B2447" t="str">
        <f t="shared" si="309"/>
        <v>VIA GIULIO PASTORE  144-</v>
      </c>
      <c r="C2447" t="str">
        <f t="shared" si="310"/>
        <v>VOL</v>
      </c>
      <c r="D2447">
        <v>30</v>
      </c>
      <c r="E2447" t="str">
        <f t="shared" si="311"/>
        <v>516</v>
      </c>
      <c r="F2447" t="str">
        <f>"121"</f>
        <v>121</v>
      </c>
    </row>
    <row r="2448" spans="1:6">
      <c r="A2448" t="str">
        <f>"E1093-108"</f>
        <v>E1093-108</v>
      </c>
      <c r="B2448" t="str">
        <f t="shared" si="309"/>
        <v>VIA GIULIO PASTORE  144-</v>
      </c>
      <c r="C2448" t="str">
        <f t="shared" si="310"/>
        <v>VOL</v>
      </c>
      <c r="D2448">
        <v>30</v>
      </c>
      <c r="E2448" t="str">
        <f t="shared" si="311"/>
        <v>516</v>
      </c>
      <c r="F2448" t="str">
        <f>"122"</f>
        <v>122</v>
      </c>
    </row>
    <row r="2449" spans="1:6">
      <c r="A2449" t="str">
        <f>"E1093-109"</f>
        <v>E1093-109</v>
      </c>
      <c r="B2449" t="str">
        <f t="shared" si="309"/>
        <v>VIA GIULIO PASTORE  144-</v>
      </c>
      <c r="C2449" t="str">
        <f t="shared" si="310"/>
        <v>VOL</v>
      </c>
      <c r="D2449">
        <v>30</v>
      </c>
      <c r="E2449" t="str">
        <f t="shared" si="311"/>
        <v>516</v>
      </c>
      <c r="F2449" t="str">
        <f>"123"</f>
        <v>123</v>
      </c>
    </row>
    <row r="2450" spans="1:6">
      <c r="A2450" t="str">
        <f>"E1093-110"</f>
        <v>E1093-110</v>
      </c>
      <c r="B2450" t="str">
        <f t="shared" si="309"/>
        <v>VIA GIULIO PASTORE  144-</v>
      </c>
      <c r="C2450" t="str">
        <f t="shared" si="310"/>
        <v>VOL</v>
      </c>
      <c r="D2450">
        <v>30</v>
      </c>
      <c r="E2450" t="str">
        <f t="shared" si="311"/>
        <v>516</v>
      </c>
      <c r="F2450" t="str">
        <f>"124"</f>
        <v>124</v>
      </c>
    </row>
    <row r="2451" spans="1:6">
      <c r="A2451" t="str">
        <f>"E1093-111"</f>
        <v>E1093-111</v>
      </c>
      <c r="B2451" t="str">
        <f t="shared" si="309"/>
        <v>VIA GIULIO PASTORE  144-</v>
      </c>
      <c r="C2451" t="str">
        <f t="shared" si="310"/>
        <v>VOL</v>
      </c>
      <c r="D2451">
        <v>30</v>
      </c>
      <c r="E2451" t="str">
        <f t="shared" si="311"/>
        <v>516</v>
      </c>
      <c r="F2451" t="str">
        <f>"125"</f>
        <v>125</v>
      </c>
    </row>
    <row r="2452" spans="1:6">
      <c r="A2452" t="str">
        <f>"E1093-112"</f>
        <v>E1093-112</v>
      </c>
      <c r="B2452" t="str">
        <f t="shared" si="309"/>
        <v>VIA GIULIO PASTORE  144-</v>
      </c>
      <c r="C2452" t="str">
        <f t="shared" si="310"/>
        <v>VOL</v>
      </c>
      <c r="D2452">
        <v>30</v>
      </c>
      <c r="E2452" t="str">
        <f t="shared" si="311"/>
        <v>516</v>
      </c>
      <c r="F2452" t="str">
        <f>"126"</f>
        <v>126</v>
      </c>
    </row>
    <row r="2453" spans="1:6">
      <c r="A2453" t="str">
        <f>"E1093-113"</f>
        <v>E1093-113</v>
      </c>
      <c r="B2453" t="str">
        <f t="shared" si="309"/>
        <v>VIA GIULIO PASTORE  144-</v>
      </c>
      <c r="C2453" t="str">
        <f t="shared" si="310"/>
        <v>VOL</v>
      </c>
      <c r="D2453">
        <v>30</v>
      </c>
      <c r="E2453" t="str">
        <f t="shared" si="311"/>
        <v>516</v>
      </c>
      <c r="F2453" t="str">
        <f>"127"</f>
        <v>127</v>
      </c>
    </row>
    <row r="2454" spans="1:6">
      <c r="A2454" t="str">
        <f>"E1093-114"</f>
        <v>E1093-114</v>
      </c>
      <c r="B2454" t="str">
        <f t="shared" si="309"/>
        <v>VIA GIULIO PASTORE  144-</v>
      </c>
      <c r="C2454" t="str">
        <f t="shared" si="310"/>
        <v>VOL</v>
      </c>
      <c r="D2454">
        <v>30</v>
      </c>
      <c r="E2454" t="str">
        <f t="shared" si="311"/>
        <v>516</v>
      </c>
      <c r="F2454" t="str">
        <f>"128"</f>
        <v>128</v>
      </c>
    </row>
    <row r="2455" spans="1:6">
      <c r="A2455" t="str">
        <f>"E1093-115"</f>
        <v>E1093-115</v>
      </c>
      <c r="B2455" t="str">
        <f t="shared" si="309"/>
        <v>VIA GIULIO PASTORE  144-</v>
      </c>
      <c r="C2455" t="str">
        <f t="shared" si="310"/>
        <v>VOL</v>
      </c>
      <c r="D2455">
        <v>30</v>
      </c>
      <c r="E2455" t="str">
        <f t="shared" si="311"/>
        <v>516</v>
      </c>
      <c r="F2455" t="str">
        <f>"129"</f>
        <v>129</v>
      </c>
    </row>
    <row r="2456" spans="1:6">
      <c r="A2456" t="str">
        <f>"E1093-117"</f>
        <v>E1093-117</v>
      </c>
      <c r="B2456" t="str">
        <f t="shared" si="309"/>
        <v>VIA GIULIO PASTORE  144-</v>
      </c>
      <c r="C2456" t="str">
        <f t="shared" si="310"/>
        <v>VOL</v>
      </c>
      <c r="D2456">
        <v>30</v>
      </c>
      <c r="E2456" t="str">
        <f t="shared" si="311"/>
        <v>516</v>
      </c>
      <c r="F2456" t="str">
        <f>"131"</f>
        <v>131</v>
      </c>
    </row>
    <row r="2457" spans="1:6">
      <c r="A2457" t="str">
        <f>"E1093-118"</f>
        <v>E1093-118</v>
      </c>
      <c r="B2457" t="str">
        <f t="shared" si="309"/>
        <v>VIA GIULIO PASTORE  144-</v>
      </c>
      <c r="C2457" t="str">
        <f t="shared" si="310"/>
        <v>VOL</v>
      </c>
      <c r="D2457">
        <v>30</v>
      </c>
      <c r="E2457" t="str">
        <f t="shared" si="311"/>
        <v>516</v>
      </c>
      <c r="F2457" t="str">
        <f>"132"</f>
        <v>132</v>
      </c>
    </row>
    <row r="2458" spans="1:6">
      <c r="A2458" t="str">
        <f>"E1093-119"</f>
        <v>E1093-119</v>
      </c>
      <c r="B2458" t="str">
        <f t="shared" si="309"/>
        <v>VIA GIULIO PASTORE  144-</v>
      </c>
      <c r="C2458" t="str">
        <f t="shared" si="310"/>
        <v>VOL</v>
      </c>
      <c r="D2458">
        <v>30</v>
      </c>
      <c r="E2458" t="str">
        <f t="shared" si="311"/>
        <v>516</v>
      </c>
      <c r="F2458" t="str">
        <f>"133"</f>
        <v>133</v>
      </c>
    </row>
    <row r="2459" spans="1:6">
      <c r="A2459" t="str">
        <f>"E1093-120"</f>
        <v>E1093-120</v>
      </c>
      <c r="B2459" t="str">
        <f t="shared" si="309"/>
        <v>VIA GIULIO PASTORE  144-</v>
      </c>
      <c r="C2459" t="str">
        <f t="shared" si="310"/>
        <v>VOL</v>
      </c>
      <c r="D2459">
        <v>30</v>
      </c>
      <c r="E2459" t="str">
        <f t="shared" si="311"/>
        <v>516</v>
      </c>
      <c r="F2459" t="str">
        <f>"134"</f>
        <v>134</v>
      </c>
    </row>
    <row r="2460" spans="1:6">
      <c r="A2460" t="str">
        <f>"E1093-121"</f>
        <v>E1093-121</v>
      </c>
      <c r="B2460" t="str">
        <f t="shared" si="309"/>
        <v>VIA GIULIO PASTORE  144-</v>
      </c>
      <c r="C2460" t="str">
        <f t="shared" si="310"/>
        <v>VOL</v>
      </c>
      <c r="D2460">
        <v>30</v>
      </c>
      <c r="E2460" t="str">
        <f t="shared" si="311"/>
        <v>516</v>
      </c>
      <c r="F2460" t="str">
        <f>"135"</f>
        <v>135</v>
      </c>
    </row>
    <row r="2461" spans="1:6">
      <c r="A2461" t="str">
        <f>"E1093-123"</f>
        <v>E1093-123</v>
      </c>
      <c r="B2461" t="str">
        <f t="shared" si="309"/>
        <v>VIA GIULIO PASTORE  144-</v>
      </c>
      <c r="C2461" t="str">
        <f t="shared" si="310"/>
        <v>VOL</v>
      </c>
      <c r="D2461">
        <v>30</v>
      </c>
      <c r="E2461" t="str">
        <f t="shared" si="311"/>
        <v>516</v>
      </c>
      <c r="F2461" t="str">
        <f>"137"</f>
        <v>137</v>
      </c>
    </row>
    <row r="2462" spans="1:6">
      <c r="A2462" t="str">
        <f>"E1093-124"</f>
        <v>E1093-124</v>
      </c>
      <c r="B2462" t="str">
        <f t="shared" ref="B2462:B2493" si="312">"VIA GIULIO PASTORE  156-"</f>
        <v>VIA GIULIO PASTORE  156-</v>
      </c>
      <c r="C2462" t="str">
        <f t="shared" si="310"/>
        <v>VOL</v>
      </c>
      <c r="D2462">
        <v>30</v>
      </c>
      <c r="E2462" t="str">
        <f t="shared" si="311"/>
        <v>516</v>
      </c>
      <c r="F2462" t="str">
        <f>"140"</f>
        <v>140</v>
      </c>
    </row>
    <row r="2463" spans="1:6">
      <c r="A2463" t="str">
        <f>"E1093-125"</f>
        <v>E1093-125</v>
      </c>
      <c r="B2463" t="str">
        <f t="shared" si="312"/>
        <v>VIA GIULIO PASTORE  156-</v>
      </c>
      <c r="C2463" t="str">
        <f t="shared" si="310"/>
        <v>VOL</v>
      </c>
      <c r="D2463">
        <v>30</v>
      </c>
      <c r="E2463" t="str">
        <f t="shared" si="311"/>
        <v>516</v>
      </c>
      <c r="F2463" t="str">
        <f>"141"</f>
        <v>141</v>
      </c>
    </row>
    <row r="2464" spans="1:6">
      <c r="A2464" t="str">
        <f>"E1093-126"</f>
        <v>E1093-126</v>
      </c>
      <c r="B2464" t="str">
        <f t="shared" si="312"/>
        <v>VIA GIULIO PASTORE  156-</v>
      </c>
      <c r="C2464" t="str">
        <f t="shared" si="310"/>
        <v>VOL</v>
      </c>
      <c r="D2464">
        <v>30</v>
      </c>
      <c r="E2464" t="str">
        <f t="shared" si="311"/>
        <v>516</v>
      </c>
      <c r="F2464" t="str">
        <f>"142"</f>
        <v>142</v>
      </c>
    </row>
    <row r="2465" spans="1:6">
      <c r="A2465" t="str">
        <f>"E1093-127"</f>
        <v>E1093-127</v>
      </c>
      <c r="B2465" t="str">
        <f t="shared" si="312"/>
        <v>VIA GIULIO PASTORE  156-</v>
      </c>
      <c r="C2465" t="str">
        <f t="shared" si="310"/>
        <v>VOL</v>
      </c>
      <c r="D2465">
        <v>30</v>
      </c>
      <c r="E2465" t="str">
        <f t="shared" si="311"/>
        <v>516</v>
      </c>
      <c r="F2465" t="str">
        <f>"143"</f>
        <v>143</v>
      </c>
    </row>
    <row r="2466" spans="1:6">
      <c r="A2466" t="str">
        <f>"E1093-128"</f>
        <v>E1093-128</v>
      </c>
      <c r="B2466" t="str">
        <f t="shared" si="312"/>
        <v>VIA GIULIO PASTORE  156-</v>
      </c>
      <c r="C2466" t="str">
        <f t="shared" si="310"/>
        <v>VOL</v>
      </c>
      <c r="D2466">
        <v>30</v>
      </c>
      <c r="E2466" t="str">
        <f t="shared" si="311"/>
        <v>516</v>
      </c>
      <c r="F2466" t="str">
        <f>"144"</f>
        <v>144</v>
      </c>
    </row>
    <row r="2467" spans="1:6">
      <c r="A2467" t="str">
        <f>"E1093-129"</f>
        <v>E1093-129</v>
      </c>
      <c r="B2467" t="str">
        <f t="shared" si="312"/>
        <v>VIA GIULIO PASTORE  156-</v>
      </c>
      <c r="C2467" t="str">
        <f t="shared" si="310"/>
        <v>VOL</v>
      </c>
      <c r="D2467">
        <v>30</v>
      </c>
      <c r="E2467" t="str">
        <f t="shared" si="311"/>
        <v>516</v>
      </c>
      <c r="F2467" t="str">
        <f>"145"</f>
        <v>145</v>
      </c>
    </row>
    <row r="2468" spans="1:6">
      <c r="A2468" t="str">
        <f>"E1093-130"</f>
        <v>E1093-130</v>
      </c>
      <c r="B2468" t="str">
        <f t="shared" si="312"/>
        <v>VIA GIULIO PASTORE  156-</v>
      </c>
      <c r="C2468" t="str">
        <f t="shared" si="310"/>
        <v>VOL</v>
      </c>
      <c r="D2468">
        <v>30</v>
      </c>
      <c r="E2468" t="str">
        <f t="shared" si="311"/>
        <v>516</v>
      </c>
      <c r="F2468" t="str">
        <f>"148"</f>
        <v>148</v>
      </c>
    </row>
    <row r="2469" spans="1:6">
      <c r="A2469" t="str">
        <f>"E1093-131"</f>
        <v>E1093-131</v>
      </c>
      <c r="B2469" t="str">
        <f t="shared" si="312"/>
        <v>VIA GIULIO PASTORE  156-</v>
      </c>
      <c r="C2469" t="str">
        <f t="shared" si="310"/>
        <v>VOL</v>
      </c>
      <c r="D2469">
        <v>30</v>
      </c>
      <c r="E2469" t="str">
        <f t="shared" si="311"/>
        <v>516</v>
      </c>
      <c r="F2469" t="str">
        <f>"146"</f>
        <v>146</v>
      </c>
    </row>
    <row r="2470" spans="1:6">
      <c r="A2470" t="str">
        <f>"E1093-132"</f>
        <v>E1093-132</v>
      </c>
      <c r="B2470" t="str">
        <f t="shared" si="312"/>
        <v>VIA GIULIO PASTORE  156-</v>
      </c>
      <c r="C2470" t="str">
        <f t="shared" si="310"/>
        <v>VOL</v>
      </c>
      <c r="D2470">
        <v>30</v>
      </c>
      <c r="E2470" t="str">
        <f t="shared" si="311"/>
        <v>516</v>
      </c>
      <c r="F2470" t="str">
        <f>"147"</f>
        <v>147</v>
      </c>
    </row>
    <row r="2471" spans="1:6">
      <c r="A2471" t="str">
        <f>"E1093-133"</f>
        <v>E1093-133</v>
      </c>
      <c r="B2471" t="str">
        <f t="shared" si="312"/>
        <v>VIA GIULIO PASTORE  156-</v>
      </c>
      <c r="C2471" t="str">
        <f t="shared" si="310"/>
        <v>VOL</v>
      </c>
      <c r="D2471">
        <v>30</v>
      </c>
      <c r="E2471" t="str">
        <f t="shared" si="311"/>
        <v>516</v>
      </c>
      <c r="F2471" t="str">
        <f>"149"</f>
        <v>149</v>
      </c>
    </row>
    <row r="2472" spans="1:6">
      <c r="A2472" t="str">
        <f>"E1093-134"</f>
        <v>E1093-134</v>
      </c>
      <c r="B2472" t="str">
        <f t="shared" si="312"/>
        <v>VIA GIULIO PASTORE  156-</v>
      </c>
      <c r="C2472" t="str">
        <f t="shared" ref="C2472:C2503" si="313">"VOL"</f>
        <v>VOL</v>
      </c>
      <c r="D2472">
        <v>30</v>
      </c>
      <c r="E2472" t="str">
        <f t="shared" ref="E2472:E2503" si="314">"516"</f>
        <v>516</v>
      </c>
      <c r="F2472" t="str">
        <f>"150"</f>
        <v>150</v>
      </c>
    </row>
    <row r="2473" spans="1:6">
      <c r="A2473" t="str">
        <f>"E1093-135"</f>
        <v>E1093-135</v>
      </c>
      <c r="B2473" t="str">
        <f t="shared" si="312"/>
        <v>VIA GIULIO PASTORE  156-</v>
      </c>
      <c r="C2473" t="str">
        <f t="shared" si="313"/>
        <v>VOL</v>
      </c>
      <c r="D2473">
        <v>30</v>
      </c>
      <c r="E2473" t="str">
        <f t="shared" si="314"/>
        <v>516</v>
      </c>
      <c r="F2473" t="str">
        <f>"151"</f>
        <v>151</v>
      </c>
    </row>
    <row r="2474" spans="1:6">
      <c r="A2474" t="str">
        <f>"E1093-136"</f>
        <v>E1093-136</v>
      </c>
      <c r="B2474" t="str">
        <f t="shared" si="312"/>
        <v>VIA GIULIO PASTORE  156-</v>
      </c>
      <c r="C2474" t="str">
        <f t="shared" si="313"/>
        <v>VOL</v>
      </c>
      <c r="D2474">
        <v>30</v>
      </c>
      <c r="E2474" t="str">
        <f t="shared" si="314"/>
        <v>516</v>
      </c>
      <c r="F2474" t="str">
        <f>"152"</f>
        <v>152</v>
      </c>
    </row>
    <row r="2475" spans="1:6">
      <c r="A2475" t="str">
        <f>"E1093-137"</f>
        <v>E1093-137</v>
      </c>
      <c r="B2475" t="str">
        <f t="shared" si="312"/>
        <v>VIA GIULIO PASTORE  156-</v>
      </c>
      <c r="C2475" t="str">
        <f t="shared" si="313"/>
        <v>VOL</v>
      </c>
      <c r="D2475">
        <v>30</v>
      </c>
      <c r="E2475" t="str">
        <f t="shared" si="314"/>
        <v>516</v>
      </c>
      <c r="F2475" t="str">
        <f>"153"</f>
        <v>153</v>
      </c>
    </row>
    <row r="2476" spans="1:6">
      <c r="A2476" t="str">
        <f>"E1093-138"</f>
        <v>E1093-138</v>
      </c>
      <c r="B2476" t="str">
        <f t="shared" si="312"/>
        <v>VIA GIULIO PASTORE  156-</v>
      </c>
      <c r="C2476" t="str">
        <f t="shared" si="313"/>
        <v>VOL</v>
      </c>
      <c r="D2476">
        <v>30</v>
      </c>
      <c r="E2476" t="str">
        <f t="shared" si="314"/>
        <v>516</v>
      </c>
      <c r="F2476" t="str">
        <f>"154"</f>
        <v>154</v>
      </c>
    </row>
    <row r="2477" spans="1:6">
      <c r="A2477" t="str">
        <f>"E1093-139"</f>
        <v>E1093-139</v>
      </c>
      <c r="B2477" t="str">
        <f t="shared" si="312"/>
        <v>VIA GIULIO PASTORE  156-</v>
      </c>
      <c r="C2477" t="str">
        <f t="shared" si="313"/>
        <v>VOL</v>
      </c>
      <c r="D2477">
        <v>30</v>
      </c>
      <c r="E2477" t="str">
        <f t="shared" si="314"/>
        <v>516</v>
      </c>
      <c r="F2477" t="str">
        <f>"155"</f>
        <v>155</v>
      </c>
    </row>
    <row r="2478" spans="1:6">
      <c r="A2478" t="str">
        <f>"E1093-140"</f>
        <v>E1093-140</v>
      </c>
      <c r="B2478" t="str">
        <f t="shared" si="312"/>
        <v>VIA GIULIO PASTORE  156-</v>
      </c>
      <c r="C2478" t="str">
        <f t="shared" si="313"/>
        <v>VOL</v>
      </c>
      <c r="D2478">
        <v>30</v>
      </c>
      <c r="E2478" t="str">
        <f t="shared" si="314"/>
        <v>516</v>
      </c>
      <c r="F2478" t="str">
        <f>"156"</f>
        <v>156</v>
      </c>
    </row>
    <row r="2479" spans="1:6">
      <c r="A2479" t="str">
        <f>"E1093-141"</f>
        <v>E1093-141</v>
      </c>
      <c r="B2479" t="str">
        <f t="shared" si="312"/>
        <v>VIA GIULIO PASTORE  156-</v>
      </c>
      <c r="C2479" t="str">
        <f t="shared" si="313"/>
        <v>VOL</v>
      </c>
      <c r="D2479">
        <v>30</v>
      </c>
      <c r="E2479" t="str">
        <f t="shared" si="314"/>
        <v>516</v>
      </c>
      <c r="F2479" t="str">
        <f>"157"</f>
        <v>157</v>
      </c>
    </row>
    <row r="2480" spans="1:6">
      <c r="A2480" t="str">
        <f>"E1093-142"</f>
        <v>E1093-142</v>
      </c>
      <c r="B2480" t="str">
        <f t="shared" si="312"/>
        <v>VIA GIULIO PASTORE  156-</v>
      </c>
      <c r="C2480" t="str">
        <f t="shared" si="313"/>
        <v>VOL</v>
      </c>
      <c r="D2480">
        <v>30</v>
      </c>
      <c r="E2480" t="str">
        <f t="shared" si="314"/>
        <v>516</v>
      </c>
      <c r="F2480" t="str">
        <f>"158"</f>
        <v>158</v>
      </c>
    </row>
    <row r="2481" spans="1:6">
      <c r="A2481" t="str">
        <f>"E1093-143"</f>
        <v>E1093-143</v>
      </c>
      <c r="B2481" t="str">
        <f t="shared" si="312"/>
        <v>VIA GIULIO PASTORE  156-</v>
      </c>
      <c r="C2481" t="str">
        <f t="shared" si="313"/>
        <v>VOL</v>
      </c>
      <c r="D2481">
        <v>30</v>
      </c>
      <c r="E2481" t="str">
        <f t="shared" si="314"/>
        <v>516</v>
      </c>
      <c r="F2481" t="str">
        <f>"159"</f>
        <v>159</v>
      </c>
    </row>
    <row r="2482" spans="1:6">
      <c r="A2482" t="str">
        <f>"E1093-145"</f>
        <v>E1093-145</v>
      </c>
      <c r="B2482" t="str">
        <f t="shared" si="312"/>
        <v>VIA GIULIO PASTORE  156-</v>
      </c>
      <c r="C2482" t="str">
        <f t="shared" si="313"/>
        <v>VOL</v>
      </c>
      <c r="D2482">
        <v>30</v>
      </c>
      <c r="E2482" t="str">
        <f t="shared" si="314"/>
        <v>516</v>
      </c>
      <c r="F2482" t="str">
        <f>"161"</f>
        <v>161</v>
      </c>
    </row>
    <row r="2483" spans="1:6">
      <c r="A2483" t="str">
        <f>"E1093-146"</f>
        <v>E1093-146</v>
      </c>
      <c r="B2483" t="str">
        <f t="shared" si="312"/>
        <v>VIA GIULIO PASTORE  156-</v>
      </c>
      <c r="C2483" t="str">
        <f t="shared" si="313"/>
        <v>VOL</v>
      </c>
      <c r="D2483">
        <v>30</v>
      </c>
      <c r="E2483" t="str">
        <f t="shared" si="314"/>
        <v>516</v>
      </c>
      <c r="F2483" t="str">
        <f>"162"</f>
        <v>162</v>
      </c>
    </row>
    <row r="2484" spans="1:6">
      <c r="A2484" t="str">
        <f>"E1093-147"</f>
        <v>E1093-147</v>
      </c>
      <c r="B2484" t="str">
        <f t="shared" si="312"/>
        <v>VIA GIULIO PASTORE  156-</v>
      </c>
      <c r="C2484" t="str">
        <f t="shared" si="313"/>
        <v>VOL</v>
      </c>
      <c r="D2484">
        <v>30</v>
      </c>
      <c r="E2484" t="str">
        <f t="shared" si="314"/>
        <v>516</v>
      </c>
      <c r="F2484" t="str">
        <f>"163"</f>
        <v>163</v>
      </c>
    </row>
    <row r="2485" spans="1:6">
      <c r="A2485" t="str">
        <f>"E1093-149"</f>
        <v>E1093-149</v>
      </c>
      <c r="B2485" t="str">
        <f t="shared" si="312"/>
        <v>VIA GIULIO PASTORE  156-</v>
      </c>
      <c r="C2485" t="str">
        <f t="shared" si="313"/>
        <v>VOL</v>
      </c>
      <c r="D2485">
        <v>30</v>
      </c>
      <c r="E2485" t="str">
        <f t="shared" si="314"/>
        <v>516</v>
      </c>
      <c r="F2485" t="str">
        <f>"165"</f>
        <v>165</v>
      </c>
    </row>
    <row r="2486" spans="1:6">
      <c r="A2486" t="str">
        <f>"E1093-150"</f>
        <v>E1093-150</v>
      </c>
      <c r="B2486" t="str">
        <f t="shared" si="312"/>
        <v>VIA GIULIO PASTORE  156-</v>
      </c>
      <c r="C2486" t="str">
        <f t="shared" si="313"/>
        <v>VOL</v>
      </c>
      <c r="D2486">
        <v>30</v>
      </c>
      <c r="E2486" t="str">
        <f t="shared" si="314"/>
        <v>516</v>
      </c>
      <c r="F2486" t="str">
        <f>"166"</f>
        <v>166</v>
      </c>
    </row>
    <row r="2487" spans="1:6">
      <c r="A2487" t="str">
        <f>"E1093-151"</f>
        <v>E1093-151</v>
      </c>
      <c r="B2487" t="str">
        <f t="shared" si="312"/>
        <v>VIA GIULIO PASTORE  156-</v>
      </c>
      <c r="C2487" t="str">
        <f t="shared" si="313"/>
        <v>VOL</v>
      </c>
      <c r="D2487">
        <v>30</v>
      </c>
      <c r="E2487" t="str">
        <f t="shared" si="314"/>
        <v>516</v>
      </c>
      <c r="F2487" t="str">
        <f>"167"</f>
        <v>167</v>
      </c>
    </row>
    <row r="2488" spans="1:6">
      <c r="A2488" t="str">
        <f>"E1093-152"</f>
        <v>E1093-152</v>
      </c>
      <c r="B2488" t="str">
        <f t="shared" si="312"/>
        <v>VIA GIULIO PASTORE  156-</v>
      </c>
      <c r="C2488" t="str">
        <f t="shared" si="313"/>
        <v>VOL</v>
      </c>
      <c r="D2488">
        <v>30</v>
      </c>
      <c r="E2488" t="str">
        <f t="shared" si="314"/>
        <v>516</v>
      </c>
      <c r="F2488" t="str">
        <f>"168"</f>
        <v>168</v>
      </c>
    </row>
    <row r="2489" spans="1:6">
      <c r="A2489" t="str">
        <f>"E1093-153"</f>
        <v>E1093-153</v>
      </c>
      <c r="B2489" t="str">
        <f t="shared" si="312"/>
        <v>VIA GIULIO PASTORE  156-</v>
      </c>
      <c r="C2489" t="str">
        <f t="shared" si="313"/>
        <v>VOL</v>
      </c>
      <c r="D2489">
        <v>30</v>
      </c>
      <c r="E2489" t="str">
        <f t="shared" si="314"/>
        <v>516</v>
      </c>
      <c r="F2489" t="str">
        <f>"169"</f>
        <v>169</v>
      </c>
    </row>
    <row r="2490" spans="1:6">
      <c r="A2490" t="str">
        <f>"E1093-154"</f>
        <v>E1093-154</v>
      </c>
      <c r="B2490" t="str">
        <f t="shared" si="312"/>
        <v>VIA GIULIO PASTORE  156-</v>
      </c>
      <c r="C2490" t="str">
        <f t="shared" si="313"/>
        <v>VOL</v>
      </c>
      <c r="D2490">
        <v>30</v>
      </c>
      <c r="E2490" t="str">
        <f t="shared" si="314"/>
        <v>516</v>
      </c>
      <c r="F2490" t="str">
        <f>"170"</f>
        <v>170</v>
      </c>
    </row>
    <row r="2491" spans="1:6">
      <c r="A2491" t="str">
        <f>"E1093-155"</f>
        <v>E1093-155</v>
      </c>
      <c r="B2491" t="str">
        <f t="shared" si="312"/>
        <v>VIA GIULIO PASTORE  156-</v>
      </c>
      <c r="C2491" t="str">
        <f t="shared" si="313"/>
        <v>VOL</v>
      </c>
      <c r="D2491">
        <v>30</v>
      </c>
      <c r="E2491" t="str">
        <f t="shared" si="314"/>
        <v>516</v>
      </c>
      <c r="F2491" t="str">
        <f>"171"</f>
        <v>171</v>
      </c>
    </row>
    <row r="2492" spans="1:6">
      <c r="A2492" t="str">
        <f>"E1093-156"</f>
        <v>E1093-156</v>
      </c>
      <c r="B2492" t="str">
        <f t="shared" si="312"/>
        <v>VIA GIULIO PASTORE  156-</v>
      </c>
      <c r="C2492" t="str">
        <f t="shared" si="313"/>
        <v>VOL</v>
      </c>
      <c r="D2492">
        <v>30</v>
      </c>
      <c r="E2492" t="str">
        <f t="shared" si="314"/>
        <v>516</v>
      </c>
      <c r="F2492" t="str">
        <f>"172"</f>
        <v>172</v>
      </c>
    </row>
    <row r="2493" spans="1:6">
      <c r="A2493" t="str">
        <f>"E1093-157"</f>
        <v>E1093-157</v>
      </c>
      <c r="B2493" t="str">
        <f t="shared" si="312"/>
        <v>VIA GIULIO PASTORE  156-</v>
      </c>
      <c r="C2493" t="str">
        <f t="shared" si="313"/>
        <v>VOL</v>
      </c>
      <c r="D2493">
        <v>30</v>
      </c>
      <c r="E2493" t="str">
        <f t="shared" si="314"/>
        <v>516</v>
      </c>
      <c r="F2493" t="str">
        <f>"173"</f>
        <v>173</v>
      </c>
    </row>
    <row r="2494" spans="1:6">
      <c r="A2494" t="str">
        <f>"E1093-158"</f>
        <v>E1093-158</v>
      </c>
      <c r="B2494" t="str">
        <f t="shared" ref="B2494:B2507" si="315">"VIA PIERO CALAMANDREI  101-"</f>
        <v>VIA PIERO CALAMANDREI  101-</v>
      </c>
      <c r="C2494" t="str">
        <f t="shared" si="313"/>
        <v>VOL</v>
      </c>
      <c r="D2494">
        <v>30</v>
      </c>
      <c r="E2494" t="str">
        <f t="shared" si="314"/>
        <v>516</v>
      </c>
      <c r="F2494" t="str">
        <f>"175"</f>
        <v>175</v>
      </c>
    </row>
    <row r="2495" spans="1:6">
      <c r="A2495" t="str">
        <f>"E1093-159"</f>
        <v>E1093-159</v>
      </c>
      <c r="B2495" t="str">
        <f t="shared" si="315"/>
        <v>VIA PIERO CALAMANDREI  101-</v>
      </c>
      <c r="C2495" t="str">
        <f t="shared" si="313"/>
        <v>VOL</v>
      </c>
      <c r="D2495">
        <v>30</v>
      </c>
      <c r="E2495" t="str">
        <f t="shared" si="314"/>
        <v>516</v>
      </c>
      <c r="F2495" t="str">
        <f>"176"</f>
        <v>176</v>
      </c>
    </row>
    <row r="2496" spans="1:6">
      <c r="A2496" t="str">
        <f>"E1093-160"</f>
        <v>E1093-160</v>
      </c>
      <c r="B2496" t="str">
        <f t="shared" si="315"/>
        <v>VIA PIERO CALAMANDREI  101-</v>
      </c>
      <c r="C2496" t="str">
        <f t="shared" si="313"/>
        <v>VOL</v>
      </c>
      <c r="D2496">
        <v>30</v>
      </c>
      <c r="E2496" t="str">
        <f t="shared" si="314"/>
        <v>516</v>
      </c>
      <c r="F2496" t="str">
        <f>"177"</f>
        <v>177</v>
      </c>
    </row>
    <row r="2497" spans="1:6">
      <c r="A2497" t="str">
        <f>"E1093-161"</f>
        <v>E1093-161</v>
      </c>
      <c r="B2497" t="str">
        <f t="shared" si="315"/>
        <v>VIA PIERO CALAMANDREI  101-</v>
      </c>
      <c r="C2497" t="str">
        <f t="shared" si="313"/>
        <v>VOL</v>
      </c>
      <c r="D2497">
        <v>30</v>
      </c>
      <c r="E2497" t="str">
        <f t="shared" si="314"/>
        <v>516</v>
      </c>
      <c r="F2497" t="str">
        <f>"178"</f>
        <v>178</v>
      </c>
    </row>
    <row r="2498" spans="1:6">
      <c r="A2498" t="str">
        <f>"E1093-162"</f>
        <v>E1093-162</v>
      </c>
      <c r="B2498" t="str">
        <f t="shared" si="315"/>
        <v>VIA PIERO CALAMANDREI  101-</v>
      </c>
      <c r="C2498" t="str">
        <f t="shared" si="313"/>
        <v>VOL</v>
      </c>
      <c r="D2498">
        <v>30</v>
      </c>
      <c r="E2498" t="str">
        <f t="shared" si="314"/>
        <v>516</v>
      </c>
      <c r="F2498" t="str">
        <f>"179"</f>
        <v>179</v>
      </c>
    </row>
    <row r="2499" spans="1:6">
      <c r="A2499" t="str">
        <f>"E1093-163"</f>
        <v>E1093-163</v>
      </c>
      <c r="B2499" t="str">
        <f t="shared" si="315"/>
        <v>VIA PIERO CALAMANDREI  101-</v>
      </c>
      <c r="C2499" t="str">
        <f t="shared" si="313"/>
        <v>VOL</v>
      </c>
      <c r="D2499">
        <v>30</v>
      </c>
      <c r="E2499" t="str">
        <f t="shared" si="314"/>
        <v>516</v>
      </c>
      <c r="F2499" t="str">
        <f>"180"</f>
        <v>180</v>
      </c>
    </row>
    <row r="2500" spans="1:6">
      <c r="A2500" t="str">
        <f>"E1093-164"</f>
        <v>E1093-164</v>
      </c>
      <c r="B2500" t="str">
        <f t="shared" si="315"/>
        <v>VIA PIERO CALAMANDREI  101-</v>
      </c>
      <c r="C2500" t="str">
        <f t="shared" si="313"/>
        <v>VOL</v>
      </c>
      <c r="D2500">
        <v>30</v>
      </c>
      <c r="E2500" t="str">
        <f t="shared" si="314"/>
        <v>516</v>
      </c>
      <c r="F2500" t="str">
        <f>"181"</f>
        <v>181</v>
      </c>
    </row>
    <row r="2501" spans="1:6">
      <c r="A2501" t="str">
        <f>"E1093-165"</f>
        <v>E1093-165</v>
      </c>
      <c r="B2501" t="str">
        <f t="shared" si="315"/>
        <v>VIA PIERO CALAMANDREI  101-</v>
      </c>
      <c r="C2501" t="str">
        <f t="shared" si="313"/>
        <v>VOL</v>
      </c>
      <c r="D2501">
        <v>30</v>
      </c>
      <c r="E2501" t="str">
        <f t="shared" si="314"/>
        <v>516</v>
      </c>
      <c r="F2501" t="str">
        <f>"182"</f>
        <v>182</v>
      </c>
    </row>
    <row r="2502" spans="1:6">
      <c r="A2502" t="str">
        <f>"E1093-166"</f>
        <v>E1093-166</v>
      </c>
      <c r="B2502" t="str">
        <f t="shared" si="315"/>
        <v>VIA PIERO CALAMANDREI  101-</v>
      </c>
      <c r="C2502" t="str">
        <f t="shared" si="313"/>
        <v>VOL</v>
      </c>
      <c r="D2502">
        <v>30</v>
      </c>
      <c r="E2502" t="str">
        <f t="shared" si="314"/>
        <v>516</v>
      </c>
      <c r="F2502" t="str">
        <f>"183"</f>
        <v>183</v>
      </c>
    </row>
    <row r="2503" spans="1:6">
      <c r="A2503" t="str">
        <f>"E1093-167"</f>
        <v>E1093-167</v>
      </c>
      <c r="B2503" t="str">
        <f t="shared" si="315"/>
        <v>VIA PIERO CALAMANDREI  101-</v>
      </c>
      <c r="C2503" t="str">
        <f t="shared" si="313"/>
        <v>VOL</v>
      </c>
      <c r="D2503">
        <v>30</v>
      </c>
      <c r="E2503" t="str">
        <f t="shared" si="314"/>
        <v>516</v>
      </c>
      <c r="F2503" t="str">
        <f>"184"</f>
        <v>184</v>
      </c>
    </row>
    <row r="2504" spans="1:6">
      <c r="A2504" t="str">
        <f>"E1093-168"</f>
        <v>E1093-168</v>
      </c>
      <c r="B2504" t="str">
        <f t="shared" si="315"/>
        <v>VIA PIERO CALAMANDREI  101-</v>
      </c>
      <c r="C2504" t="str">
        <f t="shared" ref="C2504:C2535" si="316">"VOL"</f>
        <v>VOL</v>
      </c>
      <c r="D2504">
        <v>30</v>
      </c>
      <c r="E2504" t="str">
        <f t="shared" ref="E2504:E2513" si="317">"516"</f>
        <v>516</v>
      </c>
      <c r="F2504" t="str">
        <f>"185"</f>
        <v>185</v>
      </c>
    </row>
    <row r="2505" spans="1:6">
      <c r="A2505" t="str">
        <f>"E1093-169"</f>
        <v>E1093-169</v>
      </c>
      <c r="B2505" t="str">
        <f t="shared" si="315"/>
        <v>VIA PIERO CALAMANDREI  101-</v>
      </c>
      <c r="C2505" t="str">
        <f t="shared" si="316"/>
        <v>VOL</v>
      </c>
      <c r="D2505">
        <v>30</v>
      </c>
      <c r="E2505" t="str">
        <f t="shared" si="317"/>
        <v>516</v>
      </c>
      <c r="F2505" t="str">
        <f>"186"</f>
        <v>186</v>
      </c>
    </row>
    <row r="2506" spans="1:6">
      <c r="A2506" t="str">
        <f>"E1093-170"</f>
        <v>E1093-170</v>
      </c>
      <c r="B2506" t="str">
        <f t="shared" si="315"/>
        <v>VIA PIERO CALAMANDREI  101-</v>
      </c>
      <c r="C2506" t="str">
        <f t="shared" si="316"/>
        <v>VOL</v>
      </c>
      <c r="D2506">
        <v>30</v>
      </c>
      <c r="E2506" t="str">
        <f t="shared" si="317"/>
        <v>516</v>
      </c>
      <c r="F2506" t="str">
        <f>"187"</f>
        <v>187</v>
      </c>
    </row>
    <row r="2507" spans="1:6">
      <c r="A2507" t="str">
        <f>"E1093-171"</f>
        <v>E1093-171</v>
      </c>
      <c r="B2507" t="str">
        <f t="shared" si="315"/>
        <v>VIA PIERO CALAMANDREI  101-</v>
      </c>
      <c r="C2507" t="str">
        <f t="shared" si="316"/>
        <v>VOL</v>
      </c>
      <c r="D2507">
        <v>30</v>
      </c>
      <c r="E2507" t="str">
        <f t="shared" si="317"/>
        <v>516</v>
      </c>
      <c r="F2507" t="str">
        <f>"188"</f>
        <v>188</v>
      </c>
    </row>
    <row r="2508" spans="1:6">
      <c r="A2508" t="str">
        <f>"E1093-172"</f>
        <v>E1093-172</v>
      </c>
      <c r="B2508" t="str">
        <f t="shared" ref="B2508:B2513" si="318">"VIA GIULIO PASTORE  160-"</f>
        <v>VIA GIULIO PASTORE  160-</v>
      </c>
      <c r="C2508" t="str">
        <f t="shared" si="316"/>
        <v>VOL</v>
      </c>
      <c r="D2508">
        <v>30</v>
      </c>
      <c r="E2508" t="str">
        <f t="shared" si="317"/>
        <v>516</v>
      </c>
      <c r="F2508" t="str">
        <f>"191"</f>
        <v>191</v>
      </c>
    </row>
    <row r="2509" spans="1:6">
      <c r="A2509" t="str">
        <f>"E1093-173"</f>
        <v>E1093-173</v>
      </c>
      <c r="B2509" t="str">
        <f t="shared" si="318"/>
        <v>VIA GIULIO PASTORE  160-</v>
      </c>
      <c r="C2509" t="str">
        <f t="shared" si="316"/>
        <v>VOL</v>
      </c>
      <c r="D2509">
        <v>30</v>
      </c>
      <c r="E2509" t="str">
        <f t="shared" si="317"/>
        <v>516</v>
      </c>
      <c r="F2509" t="str">
        <f>"192"</f>
        <v>192</v>
      </c>
    </row>
    <row r="2510" spans="1:6">
      <c r="A2510" t="str">
        <f>"E1093-174"</f>
        <v>E1093-174</v>
      </c>
      <c r="B2510" t="str">
        <f t="shared" si="318"/>
        <v>VIA GIULIO PASTORE  160-</v>
      </c>
      <c r="C2510" t="str">
        <f t="shared" si="316"/>
        <v>VOL</v>
      </c>
      <c r="D2510">
        <v>30</v>
      </c>
      <c r="E2510" t="str">
        <f t="shared" si="317"/>
        <v>516</v>
      </c>
      <c r="F2510" t="str">
        <f>"193"</f>
        <v>193</v>
      </c>
    </row>
    <row r="2511" spans="1:6">
      <c r="A2511" t="str">
        <f>"E1093-175"</f>
        <v>E1093-175</v>
      </c>
      <c r="B2511" t="str">
        <f t="shared" si="318"/>
        <v>VIA GIULIO PASTORE  160-</v>
      </c>
      <c r="C2511" t="str">
        <f t="shared" si="316"/>
        <v>VOL</v>
      </c>
      <c r="D2511">
        <v>30</v>
      </c>
      <c r="E2511" t="str">
        <f t="shared" si="317"/>
        <v>516</v>
      </c>
      <c r="F2511" t="str">
        <f>"194"</f>
        <v>194</v>
      </c>
    </row>
    <row r="2512" spans="1:6">
      <c r="A2512" t="str">
        <f>"E1093-176"</f>
        <v>E1093-176</v>
      </c>
      <c r="B2512" t="str">
        <f t="shared" si="318"/>
        <v>VIA GIULIO PASTORE  160-</v>
      </c>
      <c r="C2512" t="str">
        <f t="shared" si="316"/>
        <v>VOL</v>
      </c>
      <c r="D2512">
        <v>30</v>
      </c>
      <c r="E2512" t="str">
        <f t="shared" si="317"/>
        <v>516</v>
      </c>
      <c r="F2512" t="str">
        <f>"195"</f>
        <v>195</v>
      </c>
    </row>
    <row r="2513" spans="1:6">
      <c r="A2513" t="str">
        <f>"E1093-177"</f>
        <v>E1093-177</v>
      </c>
      <c r="B2513" t="str">
        <f t="shared" si="318"/>
        <v>VIA GIULIO PASTORE  160-</v>
      </c>
      <c r="C2513" t="str">
        <f t="shared" si="316"/>
        <v>VOL</v>
      </c>
      <c r="D2513">
        <v>30</v>
      </c>
      <c r="E2513" t="str">
        <f t="shared" si="317"/>
        <v>516</v>
      </c>
      <c r="F2513" t="str">
        <f>"196"</f>
        <v>196</v>
      </c>
    </row>
    <row r="2514" spans="1:6">
      <c r="A2514" t="str">
        <f>"E1093-178"</f>
        <v>E1093-178</v>
      </c>
      <c r="B2514" t="str">
        <f t="shared" ref="B2514:B2519" si="319">"VIA GIULIO PASTORE  168-"</f>
        <v>VIA GIULIO PASTORE  168-</v>
      </c>
      <c r="C2514" t="str">
        <f t="shared" si="316"/>
        <v>VOL</v>
      </c>
      <c r="D2514">
        <v>30</v>
      </c>
      <c r="E2514" t="str">
        <f>"518"</f>
        <v>518</v>
      </c>
      <c r="F2514" t="str">
        <f>"1"</f>
        <v>1</v>
      </c>
    </row>
    <row r="2515" spans="1:6">
      <c r="A2515" t="str">
        <f>"E1093-179"</f>
        <v>E1093-179</v>
      </c>
      <c r="B2515" t="str">
        <f t="shared" si="319"/>
        <v>VIA GIULIO PASTORE  168-</v>
      </c>
      <c r="C2515" t="str">
        <f t="shared" si="316"/>
        <v>VOL</v>
      </c>
      <c r="D2515">
        <v>30</v>
      </c>
      <c r="E2515" t="str">
        <f>"516"</f>
        <v>516</v>
      </c>
      <c r="F2515" t="str">
        <f>"198"</f>
        <v>198</v>
      </c>
    </row>
    <row r="2516" spans="1:6">
      <c r="A2516" t="str">
        <f>"E1093-180"</f>
        <v>E1093-180</v>
      </c>
      <c r="B2516" t="str">
        <f t="shared" si="319"/>
        <v>VIA GIULIO PASTORE  168-</v>
      </c>
      <c r="C2516" t="str">
        <f t="shared" si="316"/>
        <v>VOL</v>
      </c>
      <c r="D2516">
        <v>30</v>
      </c>
      <c r="E2516" t="str">
        <f>"518"</f>
        <v>518</v>
      </c>
      <c r="F2516" t="str">
        <f>"2"</f>
        <v>2</v>
      </c>
    </row>
    <row r="2517" spans="1:6">
      <c r="A2517" t="str">
        <f>"E1093-181"</f>
        <v>E1093-181</v>
      </c>
      <c r="B2517" t="str">
        <f t="shared" si="319"/>
        <v>VIA GIULIO PASTORE  168-</v>
      </c>
      <c r="C2517" t="str">
        <f t="shared" si="316"/>
        <v>VOL</v>
      </c>
      <c r="D2517">
        <v>30</v>
      </c>
      <c r="E2517" t="str">
        <f>"516"</f>
        <v>516</v>
      </c>
      <c r="F2517" t="str">
        <f>"199"</f>
        <v>199</v>
      </c>
    </row>
    <row r="2518" spans="1:6">
      <c r="A2518" t="str">
        <f>"E1093-182"</f>
        <v>E1093-182</v>
      </c>
      <c r="B2518" t="str">
        <f t="shared" si="319"/>
        <v>VIA GIULIO PASTORE  168-</v>
      </c>
      <c r="C2518" t="str">
        <f t="shared" si="316"/>
        <v>VOL</v>
      </c>
      <c r="D2518">
        <v>30</v>
      </c>
      <c r="E2518" t="str">
        <f>"518"</f>
        <v>518</v>
      </c>
      <c r="F2518" t="str">
        <f>"3"</f>
        <v>3</v>
      </c>
    </row>
    <row r="2519" spans="1:6">
      <c r="A2519" t="str">
        <f>"E1093-183"</f>
        <v>E1093-183</v>
      </c>
      <c r="B2519" t="str">
        <f t="shared" si="319"/>
        <v>VIA GIULIO PASTORE  168-</v>
      </c>
      <c r="C2519" t="str">
        <f t="shared" si="316"/>
        <v>VOL</v>
      </c>
      <c r="D2519">
        <v>30</v>
      </c>
      <c r="E2519" t="str">
        <f>"516"</f>
        <v>516</v>
      </c>
      <c r="F2519" t="str">
        <f>"200"</f>
        <v>200</v>
      </c>
    </row>
    <row r="2520" spans="1:6">
      <c r="A2520" t="str">
        <f>"E1093-184"</f>
        <v>E1093-184</v>
      </c>
      <c r="B2520" t="str">
        <f>"VIA GIULIO PASTORE  176-"</f>
        <v>VIA GIULIO PASTORE  176-</v>
      </c>
      <c r="C2520" t="str">
        <f t="shared" si="316"/>
        <v>VOL</v>
      </c>
      <c r="D2520">
        <v>30</v>
      </c>
      <c r="E2520" t="str">
        <f t="shared" ref="E2520:E2535" si="320">"518"</f>
        <v>518</v>
      </c>
      <c r="F2520" t="str">
        <f>"5"</f>
        <v>5</v>
      </c>
    </row>
    <row r="2521" spans="1:6">
      <c r="A2521" t="str">
        <f>"E1093-186"</f>
        <v>E1093-186</v>
      </c>
      <c r="B2521" t="str">
        <f>"VIA GIULIO PASTORE  176-"</f>
        <v>VIA GIULIO PASTORE  176-</v>
      </c>
      <c r="C2521" t="str">
        <f t="shared" si="316"/>
        <v>VOL</v>
      </c>
      <c r="D2521">
        <v>30</v>
      </c>
      <c r="E2521" t="str">
        <f t="shared" si="320"/>
        <v>518</v>
      </c>
      <c r="F2521" t="str">
        <f>"7"</f>
        <v>7</v>
      </c>
    </row>
    <row r="2522" spans="1:6">
      <c r="A2522" t="str">
        <f>"E1093-187"</f>
        <v>E1093-187</v>
      </c>
      <c r="B2522" t="str">
        <f>"VIA GIULIO PASTORE  176-"</f>
        <v>VIA GIULIO PASTORE  176-</v>
      </c>
      <c r="C2522" t="str">
        <f t="shared" si="316"/>
        <v>VOL</v>
      </c>
      <c r="D2522">
        <v>30</v>
      </c>
      <c r="E2522" t="str">
        <f t="shared" si="320"/>
        <v>518</v>
      </c>
      <c r="F2522" t="str">
        <f>"8"</f>
        <v>8</v>
      </c>
    </row>
    <row r="2523" spans="1:6">
      <c r="A2523" t="str">
        <f>"E1093-188"</f>
        <v>E1093-188</v>
      </c>
      <c r="B2523" t="str">
        <f>"VIA GIULIO PASTORE  176-"</f>
        <v>VIA GIULIO PASTORE  176-</v>
      </c>
      <c r="C2523" t="str">
        <f t="shared" si="316"/>
        <v>VOL</v>
      </c>
      <c r="D2523">
        <v>30</v>
      </c>
      <c r="E2523" t="str">
        <f t="shared" si="320"/>
        <v>518</v>
      </c>
      <c r="F2523" t="str">
        <f>"9"</f>
        <v>9</v>
      </c>
    </row>
    <row r="2524" spans="1:6">
      <c r="A2524" t="str">
        <f>"E1093-189"</f>
        <v>E1093-189</v>
      </c>
      <c r="B2524" t="str">
        <f>"VIA GIULIO PASTORE  176-"</f>
        <v>VIA GIULIO PASTORE  176-</v>
      </c>
      <c r="C2524" t="str">
        <f t="shared" si="316"/>
        <v>VOL</v>
      </c>
      <c r="D2524">
        <v>30</v>
      </c>
      <c r="E2524" t="str">
        <f t="shared" si="320"/>
        <v>518</v>
      </c>
      <c r="F2524" t="str">
        <f>"10"</f>
        <v>10</v>
      </c>
    </row>
    <row r="2525" spans="1:6">
      <c r="A2525" t="str">
        <f>"E1093-190"</f>
        <v>E1093-190</v>
      </c>
      <c r="B2525" t="str">
        <f t="shared" ref="B2525:B2530" si="321">"VIA GIULIO PASTORE  182-"</f>
        <v>VIA GIULIO PASTORE  182-</v>
      </c>
      <c r="C2525" t="str">
        <f t="shared" si="316"/>
        <v>VOL</v>
      </c>
      <c r="D2525">
        <v>30</v>
      </c>
      <c r="E2525" t="str">
        <f t="shared" si="320"/>
        <v>518</v>
      </c>
      <c r="F2525" t="str">
        <f>"12"</f>
        <v>12</v>
      </c>
    </row>
    <row r="2526" spans="1:6">
      <c r="A2526" t="str">
        <f>"E1093-191"</f>
        <v>E1093-191</v>
      </c>
      <c r="B2526" t="str">
        <f t="shared" si="321"/>
        <v>VIA GIULIO PASTORE  182-</v>
      </c>
      <c r="C2526" t="str">
        <f t="shared" si="316"/>
        <v>VOL</v>
      </c>
      <c r="D2526">
        <v>30</v>
      </c>
      <c r="E2526" t="str">
        <f t="shared" si="320"/>
        <v>518</v>
      </c>
      <c r="F2526" t="str">
        <f>"13"</f>
        <v>13</v>
      </c>
    </row>
    <row r="2527" spans="1:6">
      <c r="A2527" t="str">
        <f>"E1093-192"</f>
        <v>E1093-192</v>
      </c>
      <c r="B2527" t="str">
        <f t="shared" si="321"/>
        <v>VIA GIULIO PASTORE  182-</v>
      </c>
      <c r="C2527" t="str">
        <f t="shared" si="316"/>
        <v>VOL</v>
      </c>
      <c r="D2527">
        <v>30</v>
      </c>
      <c r="E2527" t="str">
        <f t="shared" si="320"/>
        <v>518</v>
      </c>
      <c r="F2527" t="str">
        <f>"14"</f>
        <v>14</v>
      </c>
    </row>
    <row r="2528" spans="1:6">
      <c r="A2528" t="str">
        <f>"E1093-193"</f>
        <v>E1093-193</v>
      </c>
      <c r="B2528" t="str">
        <f t="shared" si="321"/>
        <v>VIA GIULIO PASTORE  182-</v>
      </c>
      <c r="C2528" t="str">
        <f t="shared" si="316"/>
        <v>VOL</v>
      </c>
      <c r="D2528">
        <v>30</v>
      </c>
      <c r="E2528" t="str">
        <f t="shared" si="320"/>
        <v>518</v>
      </c>
      <c r="F2528" t="str">
        <f>"15"</f>
        <v>15</v>
      </c>
    </row>
    <row r="2529" spans="1:6">
      <c r="A2529" t="str">
        <f>"E1093-194"</f>
        <v>E1093-194</v>
      </c>
      <c r="B2529" t="str">
        <f t="shared" si="321"/>
        <v>VIA GIULIO PASTORE  182-</v>
      </c>
      <c r="C2529" t="str">
        <f t="shared" si="316"/>
        <v>VOL</v>
      </c>
      <c r="D2529">
        <v>30</v>
      </c>
      <c r="E2529" t="str">
        <f t="shared" si="320"/>
        <v>518</v>
      </c>
      <c r="F2529" t="str">
        <f>"16"</f>
        <v>16</v>
      </c>
    </row>
    <row r="2530" spans="1:6">
      <c r="A2530" t="str">
        <f>"E1093-195"</f>
        <v>E1093-195</v>
      </c>
      <c r="B2530" t="str">
        <f t="shared" si="321"/>
        <v>VIA GIULIO PASTORE  182-</v>
      </c>
      <c r="C2530" t="str">
        <f t="shared" si="316"/>
        <v>VOL</v>
      </c>
      <c r="D2530">
        <v>30</v>
      </c>
      <c r="E2530" t="str">
        <f t="shared" si="320"/>
        <v>518</v>
      </c>
      <c r="F2530" t="str">
        <f>"17"</f>
        <v>17</v>
      </c>
    </row>
    <row r="2531" spans="1:6">
      <c r="A2531" t="str">
        <f>"E1093-196"</f>
        <v>E1093-196</v>
      </c>
      <c r="B2531" t="str">
        <f>"VIA GIULIO PASTORE  184-"</f>
        <v>VIA GIULIO PASTORE  184-</v>
      </c>
      <c r="C2531" t="str">
        <f t="shared" si="316"/>
        <v>VOL</v>
      </c>
      <c r="D2531">
        <v>30</v>
      </c>
      <c r="E2531" t="str">
        <f t="shared" si="320"/>
        <v>518</v>
      </c>
      <c r="F2531" t="str">
        <f>"19"</f>
        <v>19</v>
      </c>
    </row>
    <row r="2532" spans="1:6">
      <c r="A2532" t="str">
        <f>"E1093-197"</f>
        <v>E1093-197</v>
      </c>
      <c r="B2532" t="str">
        <f>"VIA GIULIO PASTORE  184-"</f>
        <v>VIA GIULIO PASTORE  184-</v>
      </c>
      <c r="C2532" t="str">
        <f t="shared" si="316"/>
        <v>VOL</v>
      </c>
      <c r="D2532">
        <v>30</v>
      </c>
      <c r="E2532" t="str">
        <f t="shared" si="320"/>
        <v>518</v>
      </c>
      <c r="F2532" t="str">
        <f>"20"</f>
        <v>20</v>
      </c>
    </row>
    <row r="2533" spans="1:6">
      <c r="A2533" t="str">
        <f>"E1093-198"</f>
        <v>E1093-198</v>
      </c>
      <c r="B2533" t="str">
        <f>"VIA GIULIO PASTORE  184-"</f>
        <v>VIA GIULIO PASTORE  184-</v>
      </c>
      <c r="C2533" t="str">
        <f t="shared" si="316"/>
        <v>VOL</v>
      </c>
      <c r="D2533">
        <v>30</v>
      </c>
      <c r="E2533" t="str">
        <f t="shared" si="320"/>
        <v>518</v>
      </c>
      <c r="F2533" t="str">
        <f>"21"</f>
        <v>21</v>
      </c>
    </row>
    <row r="2534" spans="1:6">
      <c r="A2534" t="str">
        <f>"E1093-199"</f>
        <v>E1093-199</v>
      </c>
      <c r="B2534" t="str">
        <f>"VIA GIULIO PASTORE  184-"</f>
        <v>VIA GIULIO PASTORE  184-</v>
      </c>
      <c r="C2534" t="str">
        <f t="shared" si="316"/>
        <v>VOL</v>
      </c>
      <c r="D2534">
        <v>30</v>
      </c>
      <c r="E2534" t="str">
        <f t="shared" si="320"/>
        <v>518</v>
      </c>
      <c r="F2534" t="str">
        <f>"22"</f>
        <v>22</v>
      </c>
    </row>
    <row r="2535" spans="1:6">
      <c r="A2535" t="str">
        <f>"E1093-200"</f>
        <v>E1093-200</v>
      </c>
      <c r="B2535" t="str">
        <f>"VIA GIULIO PASTORE  184-"</f>
        <v>VIA GIULIO PASTORE  184-</v>
      </c>
      <c r="C2535" t="str">
        <f t="shared" si="316"/>
        <v>VOL</v>
      </c>
      <c r="D2535">
        <v>30</v>
      </c>
      <c r="E2535" t="str">
        <f t="shared" si="320"/>
        <v>518</v>
      </c>
      <c r="F2535" t="str">
        <f>"23"</f>
        <v>23</v>
      </c>
    </row>
    <row r="2536" spans="1:6">
      <c r="A2536" t="str">
        <f>"E1094-1"</f>
        <v>E1094-1</v>
      </c>
      <c r="B2536" t="str">
        <f t="shared" ref="B2536:B2572" si="322">"VIA PIERO CALAMANDREI  103-"</f>
        <v>VIA PIERO CALAMANDREI  103-</v>
      </c>
      <c r="C2536" t="str">
        <f>"2"</f>
        <v>2</v>
      </c>
      <c r="D2536">
        <v>30</v>
      </c>
      <c r="E2536" t="str">
        <f>"157"</f>
        <v>157</v>
      </c>
      <c r="F2536" t="str">
        <f>"0000"</f>
        <v>0000</v>
      </c>
    </row>
    <row r="2537" spans="1:6">
      <c r="C2537" t="str">
        <f>"2"</f>
        <v>2</v>
      </c>
      <c r="D2537">
        <v>30</v>
      </c>
      <c r="E2537" t="str">
        <f>"262"</f>
        <v>262</v>
      </c>
      <c r="F2537" t="str">
        <f>"0000"</f>
        <v>0000</v>
      </c>
    </row>
    <row r="2538" spans="1:6">
      <c r="A2538" t="str">
        <f>"E1094-2"</f>
        <v>E1094-2</v>
      </c>
      <c r="B2538" t="str">
        <f t="shared" si="322"/>
        <v>VIA PIERO CALAMANDREI  103-</v>
      </c>
      <c r="C2538" t="str">
        <f t="shared" ref="C2538:C2569" si="323">"VOL"</f>
        <v>VOL</v>
      </c>
      <c r="D2538">
        <v>30</v>
      </c>
      <c r="E2538" t="str">
        <f t="shared" ref="E2538:E2569" si="324">"517"</f>
        <v>517</v>
      </c>
      <c r="F2538" t="str">
        <f>"4"</f>
        <v>4</v>
      </c>
    </row>
    <row r="2539" spans="1:6">
      <c r="A2539" t="str">
        <f>"E1094-3"</f>
        <v>E1094-3</v>
      </c>
      <c r="B2539" t="str">
        <f t="shared" si="322"/>
        <v>VIA PIERO CALAMANDREI  103-</v>
      </c>
      <c r="C2539" t="str">
        <f t="shared" si="323"/>
        <v>VOL</v>
      </c>
      <c r="D2539">
        <v>30</v>
      </c>
      <c r="E2539" t="str">
        <f t="shared" si="324"/>
        <v>517</v>
      </c>
      <c r="F2539" t="str">
        <f>"6"</f>
        <v>6</v>
      </c>
    </row>
    <row r="2540" spans="1:6">
      <c r="A2540" t="str">
        <f>"E1094-4"</f>
        <v>E1094-4</v>
      </c>
      <c r="B2540" t="str">
        <f t="shared" si="322"/>
        <v>VIA PIERO CALAMANDREI  103-</v>
      </c>
      <c r="C2540" t="str">
        <f t="shared" si="323"/>
        <v>VOL</v>
      </c>
      <c r="D2540">
        <v>30</v>
      </c>
      <c r="E2540" t="str">
        <f t="shared" si="324"/>
        <v>517</v>
      </c>
      <c r="F2540" t="str">
        <f>"7"</f>
        <v>7</v>
      </c>
    </row>
    <row r="2541" spans="1:6">
      <c r="A2541" t="str">
        <f>"E1094-5"</f>
        <v>E1094-5</v>
      </c>
      <c r="B2541" t="str">
        <f t="shared" si="322"/>
        <v>VIA PIERO CALAMANDREI  103-</v>
      </c>
      <c r="C2541" t="str">
        <f t="shared" si="323"/>
        <v>VOL</v>
      </c>
      <c r="D2541">
        <v>30</v>
      </c>
      <c r="E2541" t="str">
        <f t="shared" si="324"/>
        <v>517</v>
      </c>
      <c r="F2541" t="str">
        <f>"8"</f>
        <v>8</v>
      </c>
    </row>
    <row r="2542" spans="1:6">
      <c r="A2542" t="str">
        <f>"E1094-6"</f>
        <v>E1094-6</v>
      </c>
      <c r="B2542" t="str">
        <f t="shared" si="322"/>
        <v>VIA PIERO CALAMANDREI  103-</v>
      </c>
      <c r="C2542" t="str">
        <f t="shared" si="323"/>
        <v>VOL</v>
      </c>
      <c r="D2542">
        <v>30</v>
      </c>
      <c r="E2542" t="str">
        <f t="shared" si="324"/>
        <v>517</v>
      </c>
      <c r="F2542" t="str">
        <f>"9"</f>
        <v>9</v>
      </c>
    </row>
    <row r="2543" spans="1:6">
      <c r="A2543" t="str">
        <f>"E1094-7"</f>
        <v>E1094-7</v>
      </c>
      <c r="B2543" t="str">
        <f t="shared" si="322"/>
        <v>VIA PIERO CALAMANDREI  103-</v>
      </c>
      <c r="C2543" t="str">
        <f t="shared" si="323"/>
        <v>VOL</v>
      </c>
      <c r="D2543">
        <v>30</v>
      </c>
      <c r="E2543" t="str">
        <f t="shared" si="324"/>
        <v>517</v>
      </c>
      <c r="F2543" t="str">
        <f>"10"</f>
        <v>10</v>
      </c>
    </row>
    <row r="2544" spans="1:6">
      <c r="A2544" t="str">
        <f>"E1094-8"</f>
        <v>E1094-8</v>
      </c>
      <c r="B2544" t="str">
        <f t="shared" si="322"/>
        <v>VIA PIERO CALAMANDREI  103-</v>
      </c>
      <c r="C2544" t="str">
        <f t="shared" si="323"/>
        <v>VOL</v>
      </c>
      <c r="D2544">
        <v>30</v>
      </c>
      <c r="E2544" t="str">
        <f t="shared" si="324"/>
        <v>517</v>
      </c>
      <c r="F2544" t="str">
        <f>"11"</f>
        <v>11</v>
      </c>
    </row>
    <row r="2545" spans="1:6">
      <c r="A2545" t="str">
        <f>"E1094-9"</f>
        <v>E1094-9</v>
      </c>
      <c r="B2545" t="str">
        <f t="shared" si="322"/>
        <v>VIA PIERO CALAMANDREI  103-</v>
      </c>
      <c r="C2545" t="str">
        <f t="shared" si="323"/>
        <v>VOL</v>
      </c>
      <c r="D2545">
        <v>30</v>
      </c>
      <c r="E2545" t="str">
        <f t="shared" si="324"/>
        <v>517</v>
      </c>
      <c r="F2545" t="str">
        <f>"12"</f>
        <v>12</v>
      </c>
    </row>
    <row r="2546" spans="1:6">
      <c r="A2546" t="str">
        <f>"E1094-10"</f>
        <v>E1094-10</v>
      </c>
      <c r="B2546" t="str">
        <f t="shared" si="322"/>
        <v>VIA PIERO CALAMANDREI  103-</v>
      </c>
      <c r="C2546" t="str">
        <f t="shared" si="323"/>
        <v>VOL</v>
      </c>
      <c r="D2546">
        <v>30</v>
      </c>
      <c r="E2546" t="str">
        <f t="shared" si="324"/>
        <v>517</v>
      </c>
      <c r="F2546" t="str">
        <f>"13"</f>
        <v>13</v>
      </c>
    </row>
    <row r="2547" spans="1:6">
      <c r="A2547" t="str">
        <f>"E1094-11"</f>
        <v>E1094-11</v>
      </c>
      <c r="B2547" t="str">
        <f t="shared" si="322"/>
        <v>VIA PIERO CALAMANDREI  103-</v>
      </c>
      <c r="C2547" t="str">
        <f t="shared" si="323"/>
        <v>VOL</v>
      </c>
      <c r="D2547">
        <v>30</v>
      </c>
      <c r="E2547" t="str">
        <f t="shared" si="324"/>
        <v>517</v>
      </c>
      <c r="F2547" t="str">
        <f>"14"</f>
        <v>14</v>
      </c>
    </row>
    <row r="2548" spans="1:6">
      <c r="A2548" t="str">
        <f>"E1094-12"</f>
        <v>E1094-12</v>
      </c>
      <c r="B2548" t="str">
        <f t="shared" si="322"/>
        <v>VIA PIERO CALAMANDREI  103-</v>
      </c>
      <c r="C2548" t="str">
        <f t="shared" si="323"/>
        <v>VOL</v>
      </c>
      <c r="D2548">
        <v>30</v>
      </c>
      <c r="E2548" t="str">
        <f t="shared" si="324"/>
        <v>517</v>
      </c>
      <c r="F2548" t="str">
        <f>"15"</f>
        <v>15</v>
      </c>
    </row>
    <row r="2549" spans="1:6">
      <c r="A2549" t="str">
        <f>"E1094-13"</f>
        <v>E1094-13</v>
      </c>
      <c r="B2549" t="str">
        <f t="shared" si="322"/>
        <v>VIA PIERO CALAMANDREI  103-</v>
      </c>
      <c r="C2549" t="str">
        <f t="shared" si="323"/>
        <v>VOL</v>
      </c>
      <c r="D2549">
        <v>30</v>
      </c>
      <c r="E2549" t="str">
        <f t="shared" si="324"/>
        <v>517</v>
      </c>
      <c r="F2549" t="str">
        <f>"16"</f>
        <v>16</v>
      </c>
    </row>
    <row r="2550" spans="1:6">
      <c r="A2550" t="str">
        <f>"E1094-14"</f>
        <v>E1094-14</v>
      </c>
      <c r="B2550" t="str">
        <f t="shared" si="322"/>
        <v>VIA PIERO CALAMANDREI  103-</v>
      </c>
      <c r="C2550" t="str">
        <f t="shared" si="323"/>
        <v>VOL</v>
      </c>
      <c r="D2550">
        <v>30</v>
      </c>
      <c r="E2550" t="str">
        <f t="shared" si="324"/>
        <v>517</v>
      </c>
      <c r="F2550" t="str">
        <f>"17"</f>
        <v>17</v>
      </c>
    </row>
    <row r="2551" spans="1:6">
      <c r="A2551" t="str">
        <f>"E1094-15"</f>
        <v>E1094-15</v>
      </c>
      <c r="B2551" t="str">
        <f t="shared" si="322"/>
        <v>VIA PIERO CALAMANDREI  103-</v>
      </c>
      <c r="C2551" t="str">
        <f t="shared" si="323"/>
        <v>VOL</v>
      </c>
      <c r="D2551">
        <v>30</v>
      </c>
      <c r="E2551" t="str">
        <f t="shared" si="324"/>
        <v>517</v>
      </c>
      <c r="F2551" t="str">
        <f>"18"</f>
        <v>18</v>
      </c>
    </row>
    <row r="2552" spans="1:6">
      <c r="A2552" t="str">
        <f>"E1094-16"</f>
        <v>E1094-16</v>
      </c>
      <c r="B2552" t="str">
        <f t="shared" si="322"/>
        <v>VIA PIERO CALAMANDREI  103-</v>
      </c>
      <c r="C2552" t="str">
        <f t="shared" si="323"/>
        <v>VOL</v>
      </c>
      <c r="D2552">
        <v>30</v>
      </c>
      <c r="E2552" t="str">
        <f t="shared" si="324"/>
        <v>517</v>
      </c>
      <c r="F2552" t="str">
        <f>"19"</f>
        <v>19</v>
      </c>
    </row>
    <row r="2553" spans="1:6">
      <c r="A2553" t="str">
        <f>"E1094-17"</f>
        <v>E1094-17</v>
      </c>
      <c r="B2553" t="str">
        <f t="shared" si="322"/>
        <v>VIA PIERO CALAMANDREI  103-</v>
      </c>
      <c r="C2553" t="str">
        <f t="shared" si="323"/>
        <v>VOL</v>
      </c>
      <c r="D2553">
        <v>30</v>
      </c>
      <c r="E2553" t="str">
        <f t="shared" si="324"/>
        <v>517</v>
      </c>
      <c r="F2553" t="str">
        <f>"20"</f>
        <v>20</v>
      </c>
    </row>
    <row r="2554" spans="1:6">
      <c r="A2554" t="str">
        <f>"E1094-18"</f>
        <v>E1094-18</v>
      </c>
      <c r="B2554" t="str">
        <f t="shared" si="322"/>
        <v>VIA PIERO CALAMANDREI  103-</v>
      </c>
      <c r="C2554" t="str">
        <f t="shared" si="323"/>
        <v>VOL</v>
      </c>
      <c r="D2554">
        <v>30</v>
      </c>
      <c r="E2554" t="str">
        <f t="shared" si="324"/>
        <v>517</v>
      </c>
      <c r="F2554" t="str">
        <f>"21"</f>
        <v>21</v>
      </c>
    </row>
    <row r="2555" spans="1:6">
      <c r="A2555" t="str">
        <f>"E1094-19"</f>
        <v>E1094-19</v>
      </c>
      <c r="B2555" t="str">
        <f t="shared" si="322"/>
        <v>VIA PIERO CALAMANDREI  103-</v>
      </c>
      <c r="C2555" t="str">
        <f t="shared" si="323"/>
        <v>VOL</v>
      </c>
      <c r="D2555">
        <v>30</v>
      </c>
      <c r="E2555" t="str">
        <f t="shared" si="324"/>
        <v>517</v>
      </c>
      <c r="F2555" t="str">
        <f>"22"</f>
        <v>22</v>
      </c>
    </row>
    <row r="2556" spans="1:6">
      <c r="A2556" t="str">
        <f>"E1094-20"</f>
        <v>E1094-20</v>
      </c>
      <c r="B2556" t="str">
        <f t="shared" si="322"/>
        <v>VIA PIERO CALAMANDREI  103-</v>
      </c>
      <c r="C2556" t="str">
        <f t="shared" si="323"/>
        <v>VOL</v>
      </c>
      <c r="D2556">
        <v>30</v>
      </c>
      <c r="E2556" t="str">
        <f t="shared" si="324"/>
        <v>517</v>
      </c>
      <c r="F2556" t="str">
        <f>"23"</f>
        <v>23</v>
      </c>
    </row>
    <row r="2557" spans="1:6">
      <c r="A2557" t="str">
        <f>"E1094-22"</f>
        <v>E1094-22</v>
      </c>
      <c r="B2557" t="str">
        <f t="shared" si="322"/>
        <v>VIA PIERO CALAMANDREI  103-</v>
      </c>
      <c r="C2557" t="str">
        <f t="shared" si="323"/>
        <v>VOL</v>
      </c>
      <c r="D2557">
        <v>30</v>
      </c>
      <c r="E2557" t="str">
        <f t="shared" si="324"/>
        <v>517</v>
      </c>
      <c r="F2557" t="str">
        <f>"25"</f>
        <v>25</v>
      </c>
    </row>
    <row r="2558" spans="1:6">
      <c r="A2558" t="str">
        <f>"E1094-23"</f>
        <v>E1094-23</v>
      </c>
      <c r="B2558" t="str">
        <f t="shared" si="322"/>
        <v>VIA PIERO CALAMANDREI  103-</v>
      </c>
      <c r="C2558" t="str">
        <f t="shared" si="323"/>
        <v>VOL</v>
      </c>
      <c r="D2558">
        <v>30</v>
      </c>
      <c r="E2558" t="str">
        <f t="shared" si="324"/>
        <v>517</v>
      </c>
      <c r="F2558" t="str">
        <f>"26"</f>
        <v>26</v>
      </c>
    </row>
    <row r="2559" spans="1:6">
      <c r="A2559" t="str">
        <f>"E1094-24"</f>
        <v>E1094-24</v>
      </c>
      <c r="B2559" t="str">
        <f t="shared" si="322"/>
        <v>VIA PIERO CALAMANDREI  103-</v>
      </c>
      <c r="C2559" t="str">
        <f t="shared" si="323"/>
        <v>VOL</v>
      </c>
      <c r="D2559">
        <v>30</v>
      </c>
      <c r="E2559" t="str">
        <f t="shared" si="324"/>
        <v>517</v>
      </c>
      <c r="F2559" t="str">
        <f>"27"</f>
        <v>27</v>
      </c>
    </row>
    <row r="2560" spans="1:6">
      <c r="A2560" t="str">
        <f>"E1094-26"</f>
        <v>E1094-26</v>
      </c>
      <c r="B2560" t="str">
        <f t="shared" si="322"/>
        <v>VIA PIERO CALAMANDREI  103-</v>
      </c>
      <c r="C2560" t="str">
        <f t="shared" si="323"/>
        <v>VOL</v>
      </c>
      <c r="D2560">
        <v>30</v>
      </c>
      <c r="E2560" t="str">
        <f t="shared" si="324"/>
        <v>517</v>
      </c>
      <c r="F2560" t="str">
        <f>"29"</f>
        <v>29</v>
      </c>
    </row>
    <row r="2561" spans="1:6">
      <c r="A2561" t="str">
        <f>"E1094-27"</f>
        <v>E1094-27</v>
      </c>
      <c r="B2561" t="str">
        <f t="shared" si="322"/>
        <v>VIA PIERO CALAMANDREI  103-</v>
      </c>
      <c r="C2561" t="str">
        <f t="shared" si="323"/>
        <v>VOL</v>
      </c>
      <c r="D2561">
        <v>30</v>
      </c>
      <c r="E2561" t="str">
        <f t="shared" si="324"/>
        <v>517</v>
      </c>
      <c r="F2561" t="str">
        <f>"30"</f>
        <v>30</v>
      </c>
    </row>
    <row r="2562" spans="1:6">
      <c r="A2562" t="str">
        <f>"E1094-28"</f>
        <v>E1094-28</v>
      </c>
      <c r="B2562" t="str">
        <f t="shared" si="322"/>
        <v>VIA PIERO CALAMANDREI  103-</v>
      </c>
      <c r="C2562" t="str">
        <f t="shared" si="323"/>
        <v>VOL</v>
      </c>
      <c r="D2562">
        <v>30</v>
      </c>
      <c r="E2562" t="str">
        <f t="shared" si="324"/>
        <v>517</v>
      </c>
      <c r="F2562" t="str">
        <f>"31"</f>
        <v>31</v>
      </c>
    </row>
    <row r="2563" spans="1:6">
      <c r="A2563" t="str">
        <f>"E1094-29"</f>
        <v>E1094-29</v>
      </c>
      <c r="B2563" t="str">
        <f t="shared" si="322"/>
        <v>VIA PIERO CALAMANDREI  103-</v>
      </c>
      <c r="C2563" t="str">
        <f t="shared" si="323"/>
        <v>VOL</v>
      </c>
      <c r="D2563">
        <v>30</v>
      </c>
      <c r="E2563" t="str">
        <f t="shared" si="324"/>
        <v>517</v>
      </c>
      <c r="F2563" t="str">
        <f>"32"</f>
        <v>32</v>
      </c>
    </row>
    <row r="2564" spans="1:6">
      <c r="A2564" t="str">
        <f>"E1094-30"</f>
        <v>E1094-30</v>
      </c>
      <c r="B2564" t="str">
        <f t="shared" si="322"/>
        <v>VIA PIERO CALAMANDREI  103-</v>
      </c>
      <c r="C2564" t="str">
        <f t="shared" si="323"/>
        <v>VOL</v>
      </c>
      <c r="D2564">
        <v>30</v>
      </c>
      <c r="E2564" t="str">
        <f t="shared" si="324"/>
        <v>517</v>
      </c>
      <c r="F2564" t="str">
        <f>"33"</f>
        <v>33</v>
      </c>
    </row>
    <row r="2565" spans="1:6">
      <c r="A2565" t="str">
        <f>"E1094-31"</f>
        <v>E1094-31</v>
      </c>
      <c r="B2565" t="str">
        <f t="shared" si="322"/>
        <v>VIA PIERO CALAMANDREI  103-</v>
      </c>
      <c r="C2565" t="str">
        <f t="shared" si="323"/>
        <v>VOL</v>
      </c>
      <c r="D2565">
        <v>30</v>
      </c>
      <c r="E2565" t="str">
        <f t="shared" si="324"/>
        <v>517</v>
      </c>
      <c r="F2565" t="str">
        <f>"34"</f>
        <v>34</v>
      </c>
    </row>
    <row r="2566" spans="1:6">
      <c r="A2566" t="str">
        <f>"E1094-32"</f>
        <v>E1094-32</v>
      </c>
      <c r="B2566" t="str">
        <f t="shared" si="322"/>
        <v>VIA PIERO CALAMANDREI  103-</v>
      </c>
      <c r="C2566" t="str">
        <f t="shared" si="323"/>
        <v>VOL</v>
      </c>
      <c r="D2566">
        <v>30</v>
      </c>
      <c r="E2566" t="str">
        <f t="shared" si="324"/>
        <v>517</v>
      </c>
      <c r="F2566" t="str">
        <f>"35"</f>
        <v>35</v>
      </c>
    </row>
    <row r="2567" spans="1:6">
      <c r="A2567" t="str">
        <f>"E1094-33"</f>
        <v>E1094-33</v>
      </c>
      <c r="B2567" t="str">
        <f t="shared" si="322"/>
        <v>VIA PIERO CALAMANDREI  103-</v>
      </c>
      <c r="C2567" t="str">
        <f t="shared" si="323"/>
        <v>VOL</v>
      </c>
      <c r="D2567">
        <v>30</v>
      </c>
      <c r="E2567" t="str">
        <f t="shared" si="324"/>
        <v>517</v>
      </c>
      <c r="F2567" t="str">
        <f>"36"</f>
        <v>36</v>
      </c>
    </row>
    <row r="2568" spans="1:6">
      <c r="A2568" t="str">
        <f>"E1094-34"</f>
        <v>E1094-34</v>
      </c>
      <c r="B2568" t="str">
        <f t="shared" si="322"/>
        <v>VIA PIERO CALAMANDREI  103-</v>
      </c>
      <c r="C2568" t="str">
        <f t="shared" si="323"/>
        <v>VOL</v>
      </c>
      <c r="D2568">
        <v>30</v>
      </c>
      <c r="E2568" t="str">
        <f t="shared" si="324"/>
        <v>517</v>
      </c>
      <c r="F2568" t="str">
        <f>"37"</f>
        <v>37</v>
      </c>
    </row>
    <row r="2569" spans="1:6">
      <c r="A2569" t="str">
        <f>"E1094-35"</f>
        <v>E1094-35</v>
      </c>
      <c r="B2569" t="str">
        <f t="shared" si="322"/>
        <v>VIA PIERO CALAMANDREI  103-</v>
      </c>
      <c r="C2569" t="str">
        <f t="shared" si="323"/>
        <v>VOL</v>
      </c>
      <c r="D2569">
        <v>30</v>
      </c>
      <c r="E2569" t="str">
        <f t="shared" si="324"/>
        <v>517</v>
      </c>
      <c r="F2569" t="str">
        <f>"38"</f>
        <v>38</v>
      </c>
    </row>
    <row r="2570" spans="1:6">
      <c r="A2570" t="str">
        <f>"E1094-36"</f>
        <v>E1094-36</v>
      </c>
      <c r="B2570" t="str">
        <f t="shared" si="322"/>
        <v>VIA PIERO CALAMANDREI  103-</v>
      </c>
      <c r="C2570" t="str">
        <f t="shared" ref="C2570:C2601" si="325">"VOL"</f>
        <v>VOL</v>
      </c>
      <c r="D2570">
        <v>30</v>
      </c>
      <c r="E2570" t="str">
        <f t="shared" ref="E2570:E2592" si="326">"517"</f>
        <v>517</v>
      </c>
      <c r="F2570" t="str">
        <f>"39"</f>
        <v>39</v>
      </c>
    </row>
    <row r="2571" spans="1:6">
      <c r="A2571" t="str">
        <f>"E1094-37"</f>
        <v>E1094-37</v>
      </c>
      <c r="B2571" t="str">
        <f t="shared" si="322"/>
        <v>VIA PIERO CALAMANDREI  103-</v>
      </c>
      <c r="C2571" t="str">
        <f t="shared" si="325"/>
        <v>VOL</v>
      </c>
      <c r="D2571">
        <v>30</v>
      </c>
      <c r="E2571" t="str">
        <f t="shared" si="326"/>
        <v>517</v>
      </c>
      <c r="F2571" t="str">
        <f>"40"</f>
        <v>40</v>
      </c>
    </row>
    <row r="2572" spans="1:6">
      <c r="A2572" t="str">
        <f>"E1094-38"</f>
        <v>E1094-38</v>
      </c>
      <c r="B2572" t="str">
        <f t="shared" si="322"/>
        <v>VIA PIERO CALAMANDREI  103-</v>
      </c>
      <c r="C2572" t="str">
        <f t="shared" si="325"/>
        <v>VOL</v>
      </c>
      <c r="D2572">
        <v>30</v>
      </c>
      <c r="E2572" t="str">
        <f t="shared" si="326"/>
        <v>517</v>
      </c>
      <c r="F2572" t="str">
        <f>"41"</f>
        <v>41</v>
      </c>
    </row>
    <row r="2573" spans="1:6">
      <c r="A2573" t="str">
        <f>"E1094-39"</f>
        <v>E1094-39</v>
      </c>
      <c r="B2573" t="str">
        <f t="shared" ref="B2573:B2582" si="327">"VIA PIERO CALAMANDREI  105-"</f>
        <v>VIA PIERO CALAMANDREI  105-</v>
      </c>
      <c r="C2573" t="str">
        <f t="shared" si="325"/>
        <v>VOL</v>
      </c>
      <c r="D2573">
        <v>30</v>
      </c>
      <c r="E2573" t="str">
        <f t="shared" si="326"/>
        <v>517</v>
      </c>
      <c r="F2573" t="str">
        <f>"43"</f>
        <v>43</v>
      </c>
    </row>
    <row r="2574" spans="1:6">
      <c r="A2574" t="str">
        <f>"E1094-40"</f>
        <v>E1094-40</v>
      </c>
      <c r="B2574" t="str">
        <f t="shared" si="327"/>
        <v>VIA PIERO CALAMANDREI  105-</v>
      </c>
      <c r="C2574" t="str">
        <f t="shared" si="325"/>
        <v>VOL</v>
      </c>
      <c r="D2574">
        <v>30</v>
      </c>
      <c r="E2574" t="str">
        <f t="shared" si="326"/>
        <v>517</v>
      </c>
      <c r="F2574" t="str">
        <f>"44"</f>
        <v>44</v>
      </c>
    </row>
    <row r="2575" spans="1:6">
      <c r="A2575" t="str">
        <f>"E1094-41"</f>
        <v>E1094-41</v>
      </c>
      <c r="B2575" t="str">
        <f t="shared" si="327"/>
        <v>VIA PIERO CALAMANDREI  105-</v>
      </c>
      <c r="C2575" t="str">
        <f t="shared" si="325"/>
        <v>VOL</v>
      </c>
      <c r="D2575">
        <v>30</v>
      </c>
      <c r="E2575" t="str">
        <f t="shared" si="326"/>
        <v>517</v>
      </c>
      <c r="F2575" t="str">
        <f>"45"</f>
        <v>45</v>
      </c>
    </row>
    <row r="2576" spans="1:6">
      <c r="A2576" t="str">
        <f>"E1094-42"</f>
        <v>E1094-42</v>
      </c>
      <c r="B2576" t="str">
        <f t="shared" si="327"/>
        <v>VIA PIERO CALAMANDREI  105-</v>
      </c>
      <c r="C2576" t="str">
        <f t="shared" si="325"/>
        <v>VOL</v>
      </c>
      <c r="D2576">
        <v>30</v>
      </c>
      <c r="E2576" t="str">
        <f t="shared" si="326"/>
        <v>517</v>
      </c>
      <c r="F2576" t="str">
        <f>"46"</f>
        <v>46</v>
      </c>
    </row>
    <row r="2577" spans="1:6">
      <c r="A2577" t="str">
        <f>"E1094-43"</f>
        <v>E1094-43</v>
      </c>
      <c r="B2577" t="str">
        <f t="shared" si="327"/>
        <v>VIA PIERO CALAMANDREI  105-</v>
      </c>
      <c r="C2577" t="str">
        <f t="shared" si="325"/>
        <v>VOL</v>
      </c>
      <c r="D2577">
        <v>30</v>
      </c>
      <c r="E2577" t="str">
        <f t="shared" si="326"/>
        <v>517</v>
      </c>
      <c r="F2577" t="str">
        <f>"47"</f>
        <v>47</v>
      </c>
    </row>
    <row r="2578" spans="1:6">
      <c r="A2578" t="str">
        <f>"E1094-44"</f>
        <v>E1094-44</v>
      </c>
      <c r="B2578" t="str">
        <f t="shared" si="327"/>
        <v>VIA PIERO CALAMANDREI  105-</v>
      </c>
      <c r="C2578" t="str">
        <f t="shared" si="325"/>
        <v>VOL</v>
      </c>
      <c r="D2578">
        <v>30</v>
      </c>
      <c r="E2578" t="str">
        <f t="shared" si="326"/>
        <v>517</v>
      </c>
      <c r="F2578" t="str">
        <f>"48"</f>
        <v>48</v>
      </c>
    </row>
    <row r="2579" spans="1:6">
      <c r="A2579" t="str">
        <f>"E1094-45"</f>
        <v>E1094-45</v>
      </c>
      <c r="B2579" t="str">
        <f t="shared" si="327"/>
        <v>VIA PIERO CALAMANDREI  105-</v>
      </c>
      <c r="C2579" t="str">
        <f t="shared" si="325"/>
        <v>VOL</v>
      </c>
      <c r="D2579">
        <v>30</v>
      </c>
      <c r="E2579" t="str">
        <f t="shared" si="326"/>
        <v>517</v>
      </c>
      <c r="F2579" t="str">
        <f>"49"</f>
        <v>49</v>
      </c>
    </row>
    <row r="2580" spans="1:6">
      <c r="A2580" t="str">
        <f>"E1094-46"</f>
        <v>E1094-46</v>
      </c>
      <c r="B2580" t="str">
        <f t="shared" si="327"/>
        <v>VIA PIERO CALAMANDREI  105-</v>
      </c>
      <c r="C2580" t="str">
        <f t="shared" si="325"/>
        <v>VOL</v>
      </c>
      <c r="D2580">
        <v>30</v>
      </c>
      <c r="E2580" t="str">
        <f t="shared" si="326"/>
        <v>517</v>
      </c>
      <c r="F2580" t="str">
        <f>"50"</f>
        <v>50</v>
      </c>
    </row>
    <row r="2581" spans="1:6">
      <c r="A2581" t="str">
        <f>"E1094-47"</f>
        <v>E1094-47</v>
      </c>
      <c r="B2581" t="str">
        <f t="shared" si="327"/>
        <v>VIA PIERO CALAMANDREI  105-</v>
      </c>
      <c r="C2581" t="str">
        <f t="shared" si="325"/>
        <v>VOL</v>
      </c>
      <c r="D2581">
        <v>30</v>
      </c>
      <c r="E2581" t="str">
        <f t="shared" si="326"/>
        <v>517</v>
      </c>
      <c r="F2581" t="str">
        <f>"51"</f>
        <v>51</v>
      </c>
    </row>
    <row r="2582" spans="1:6">
      <c r="A2582" t="str">
        <f>"E1094-48"</f>
        <v>E1094-48</v>
      </c>
      <c r="B2582" t="str">
        <f t="shared" si="327"/>
        <v>VIA PIERO CALAMANDREI  105-</v>
      </c>
      <c r="C2582" t="str">
        <f t="shared" si="325"/>
        <v>VOL</v>
      </c>
      <c r="D2582">
        <v>30</v>
      </c>
      <c r="E2582" t="str">
        <f t="shared" si="326"/>
        <v>517</v>
      </c>
      <c r="F2582" t="str">
        <f>"52"</f>
        <v>52</v>
      </c>
    </row>
    <row r="2583" spans="1:6">
      <c r="A2583" t="str">
        <f>"E1094-49"</f>
        <v>E1094-49</v>
      </c>
      <c r="B2583" t="str">
        <f t="shared" ref="B2583:B2592" si="328">"VIA PIERO CALAMANDREI  107-"</f>
        <v>VIA PIERO CALAMANDREI  107-</v>
      </c>
      <c r="C2583" t="str">
        <f t="shared" si="325"/>
        <v>VOL</v>
      </c>
      <c r="D2583">
        <v>30</v>
      </c>
      <c r="E2583" t="str">
        <f t="shared" si="326"/>
        <v>517</v>
      </c>
      <c r="F2583" t="str">
        <f>"54"</f>
        <v>54</v>
      </c>
    </row>
    <row r="2584" spans="1:6">
      <c r="A2584" t="str">
        <f>"E1094-50"</f>
        <v>E1094-50</v>
      </c>
      <c r="B2584" t="str">
        <f t="shared" si="328"/>
        <v>VIA PIERO CALAMANDREI  107-</v>
      </c>
      <c r="C2584" t="str">
        <f t="shared" si="325"/>
        <v>VOL</v>
      </c>
      <c r="D2584">
        <v>30</v>
      </c>
      <c r="E2584" t="str">
        <f t="shared" si="326"/>
        <v>517</v>
      </c>
      <c r="F2584" t="str">
        <f>"55"</f>
        <v>55</v>
      </c>
    </row>
    <row r="2585" spans="1:6">
      <c r="A2585" t="str">
        <f>"E1094-51"</f>
        <v>E1094-51</v>
      </c>
      <c r="B2585" t="str">
        <f t="shared" si="328"/>
        <v>VIA PIERO CALAMANDREI  107-</v>
      </c>
      <c r="C2585" t="str">
        <f t="shared" si="325"/>
        <v>VOL</v>
      </c>
      <c r="D2585">
        <v>30</v>
      </c>
      <c r="E2585" t="str">
        <f t="shared" si="326"/>
        <v>517</v>
      </c>
      <c r="F2585" t="str">
        <f>"56"</f>
        <v>56</v>
      </c>
    </row>
    <row r="2586" spans="1:6">
      <c r="A2586" t="str">
        <f>"E1094-52"</f>
        <v>E1094-52</v>
      </c>
      <c r="B2586" t="str">
        <f t="shared" si="328"/>
        <v>VIA PIERO CALAMANDREI  107-</v>
      </c>
      <c r="C2586" t="str">
        <f t="shared" si="325"/>
        <v>VOL</v>
      </c>
      <c r="D2586">
        <v>30</v>
      </c>
      <c r="E2586" t="str">
        <f t="shared" si="326"/>
        <v>517</v>
      </c>
      <c r="F2586" t="str">
        <f>"57"</f>
        <v>57</v>
      </c>
    </row>
    <row r="2587" spans="1:6">
      <c r="A2587" t="str">
        <f>"E1094-53"</f>
        <v>E1094-53</v>
      </c>
      <c r="B2587" t="str">
        <f t="shared" si="328"/>
        <v>VIA PIERO CALAMANDREI  107-</v>
      </c>
      <c r="C2587" t="str">
        <f t="shared" si="325"/>
        <v>VOL</v>
      </c>
      <c r="D2587">
        <v>30</v>
      </c>
      <c r="E2587" t="str">
        <f t="shared" si="326"/>
        <v>517</v>
      </c>
      <c r="F2587" t="str">
        <f>"58"</f>
        <v>58</v>
      </c>
    </row>
    <row r="2588" spans="1:6">
      <c r="A2588" t="str">
        <f>"E1094-54"</f>
        <v>E1094-54</v>
      </c>
      <c r="B2588" t="str">
        <f t="shared" si="328"/>
        <v>VIA PIERO CALAMANDREI  107-</v>
      </c>
      <c r="C2588" t="str">
        <f t="shared" si="325"/>
        <v>VOL</v>
      </c>
      <c r="D2588">
        <v>30</v>
      </c>
      <c r="E2588" t="str">
        <f t="shared" si="326"/>
        <v>517</v>
      </c>
      <c r="F2588" t="str">
        <f>"59"</f>
        <v>59</v>
      </c>
    </row>
    <row r="2589" spans="1:6">
      <c r="A2589" t="str">
        <f>"E1094-55"</f>
        <v>E1094-55</v>
      </c>
      <c r="B2589" t="str">
        <f t="shared" si="328"/>
        <v>VIA PIERO CALAMANDREI  107-</v>
      </c>
      <c r="C2589" t="str">
        <f t="shared" si="325"/>
        <v>VOL</v>
      </c>
      <c r="D2589">
        <v>30</v>
      </c>
      <c r="E2589" t="str">
        <f t="shared" si="326"/>
        <v>517</v>
      </c>
      <c r="F2589" t="str">
        <f>"60"</f>
        <v>60</v>
      </c>
    </row>
    <row r="2590" spans="1:6">
      <c r="A2590" t="str">
        <f>"E1094-56"</f>
        <v>E1094-56</v>
      </c>
      <c r="B2590" t="str">
        <f t="shared" si="328"/>
        <v>VIA PIERO CALAMANDREI  107-</v>
      </c>
      <c r="C2590" t="str">
        <f t="shared" si="325"/>
        <v>VOL</v>
      </c>
      <c r="D2590">
        <v>30</v>
      </c>
      <c r="E2590" t="str">
        <f t="shared" si="326"/>
        <v>517</v>
      </c>
      <c r="F2590" t="str">
        <f>"61"</f>
        <v>61</v>
      </c>
    </row>
    <row r="2591" spans="1:6">
      <c r="A2591" t="str">
        <f>"E1094-57"</f>
        <v>E1094-57</v>
      </c>
      <c r="B2591" t="str">
        <f t="shared" si="328"/>
        <v>VIA PIERO CALAMANDREI  107-</v>
      </c>
      <c r="C2591" t="str">
        <f t="shared" si="325"/>
        <v>VOL</v>
      </c>
      <c r="D2591">
        <v>30</v>
      </c>
      <c r="E2591" t="str">
        <f t="shared" si="326"/>
        <v>517</v>
      </c>
      <c r="F2591" t="str">
        <f>"62"</f>
        <v>62</v>
      </c>
    </row>
    <row r="2592" spans="1:6">
      <c r="A2592" t="str">
        <f>"E1094-58"</f>
        <v>E1094-58</v>
      </c>
      <c r="B2592" t="str">
        <f t="shared" si="328"/>
        <v>VIA PIERO CALAMANDREI  107-</v>
      </c>
      <c r="C2592" t="str">
        <f t="shared" si="325"/>
        <v>VOL</v>
      </c>
      <c r="D2592">
        <v>30</v>
      </c>
      <c r="E2592" t="str">
        <f t="shared" si="326"/>
        <v>517</v>
      </c>
      <c r="F2592" t="str">
        <f>"63"</f>
        <v>63</v>
      </c>
    </row>
    <row r="2593" spans="1:6">
      <c r="A2593" t="str">
        <f>"E1095-1"</f>
        <v>E1095-1</v>
      </c>
      <c r="B2593" t="str">
        <f>"VIA PIERO CALAMANDREI  73-"</f>
        <v>VIA PIERO CALAMANDREI  73-</v>
      </c>
      <c r="C2593" t="str">
        <f t="shared" si="325"/>
        <v>VOL</v>
      </c>
      <c r="D2593">
        <v>30</v>
      </c>
      <c r="E2593" t="str">
        <f t="shared" ref="E2593:E2624" si="329">"520"</f>
        <v>520</v>
      </c>
      <c r="F2593" t="str">
        <f>"3"</f>
        <v>3</v>
      </c>
    </row>
    <row r="2594" spans="1:6">
      <c r="A2594" t="str">
        <f>"E1095-2"</f>
        <v>E1095-2</v>
      </c>
      <c r="B2594" t="str">
        <f>"VIA PIERO CALAMANDREI  73-"</f>
        <v>VIA PIERO CALAMANDREI  73-</v>
      </c>
      <c r="C2594" t="str">
        <f t="shared" si="325"/>
        <v>VOL</v>
      </c>
      <c r="D2594">
        <v>30</v>
      </c>
      <c r="E2594" t="str">
        <f t="shared" si="329"/>
        <v>520</v>
      </c>
      <c r="F2594" t="str">
        <f>"4"</f>
        <v>4</v>
      </c>
    </row>
    <row r="2595" spans="1:6">
      <c r="A2595" t="str">
        <f>"E1095-4"</f>
        <v>E1095-4</v>
      </c>
      <c r="B2595" t="str">
        <f>"VIA PIERO CALAMANDREI  73-"</f>
        <v>VIA PIERO CALAMANDREI  73-</v>
      </c>
      <c r="C2595" t="str">
        <f t="shared" si="325"/>
        <v>VOL</v>
      </c>
      <c r="D2595">
        <v>30</v>
      </c>
      <c r="E2595" t="str">
        <f t="shared" si="329"/>
        <v>520</v>
      </c>
      <c r="F2595" t="str">
        <f>"6"</f>
        <v>6</v>
      </c>
    </row>
    <row r="2596" spans="1:6">
      <c r="A2596" t="str">
        <f>"E1095-5"</f>
        <v>E1095-5</v>
      </c>
      <c r="B2596" t="str">
        <f>"VIA PIERO CALAMANDREI  75-"</f>
        <v>VIA PIERO CALAMANDREI  75-</v>
      </c>
      <c r="C2596" t="str">
        <f t="shared" si="325"/>
        <v>VOL</v>
      </c>
      <c r="D2596">
        <v>30</v>
      </c>
      <c r="E2596" t="str">
        <f t="shared" si="329"/>
        <v>520</v>
      </c>
      <c r="F2596" t="str">
        <f>"8"</f>
        <v>8</v>
      </c>
    </row>
    <row r="2597" spans="1:6">
      <c r="A2597" t="str">
        <f>"E1095-6"</f>
        <v>E1095-6</v>
      </c>
      <c r="B2597" t="str">
        <f>"VIA PIERO CALAMANDREI  75-"</f>
        <v>VIA PIERO CALAMANDREI  75-</v>
      </c>
      <c r="C2597" t="str">
        <f t="shared" si="325"/>
        <v>VOL</v>
      </c>
      <c r="D2597">
        <v>30</v>
      </c>
      <c r="E2597" t="str">
        <f t="shared" si="329"/>
        <v>520</v>
      </c>
      <c r="F2597" t="str">
        <f>"9"</f>
        <v>9</v>
      </c>
    </row>
    <row r="2598" spans="1:6">
      <c r="A2598" t="str">
        <f>"E1095-7"</f>
        <v>E1095-7</v>
      </c>
      <c r="B2598" t="str">
        <f>"VIA PIERO CALAMANDREI  75-"</f>
        <v>VIA PIERO CALAMANDREI  75-</v>
      </c>
      <c r="C2598" t="str">
        <f t="shared" si="325"/>
        <v>VOL</v>
      </c>
      <c r="D2598">
        <v>30</v>
      </c>
      <c r="E2598" t="str">
        <f t="shared" si="329"/>
        <v>520</v>
      </c>
      <c r="F2598" t="str">
        <f>"10"</f>
        <v>10</v>
      </c>
    </row>
    <row r="2599" spans="1:6">
      <c r="A2599" t="str">
        <f>"E1095-8"</f>
        <v>E1095-8</v>
      </c>
      <c r="B2599" t="str">
        <f>"VIA PIERO CALAMANDREI  75-"</f>
        <v>VIA PIERO CALAMANDREI  75-</v>
      </c>
      <c r="C2599" t="str">
        <f t="shared" si="325"/>
        <v>VOL</v>
      </c>
      <c r="D2599">
        <v>30</v>
      </c>
      <c r="E2599" t="str">
        <f t="shared" si="329"/>
        <v>520</v>
      </c>
      <c r="F2599" t="str">
        <f>"11"</f>
        <v>11</v>
      </c>
    </row>
    <row r="2600" spans="1:6">
      <c r="A2600" t="str">
        <f>"E1095-9"</f>
        <v>E1095-9</v>
      </c>
      <c r="B2600" t="str">
        <f>"VIA PIERO CALAMANDREI  75-"</f>
        <v>VIA PIERO CALAMANDREI  75-</v>
      </c>
      <c r="C2600" t="str">
        <f t="shared" si="325"/>
        <v>VOL</v>
      </c>
      <c r="D2600">
        <v>30</v>
      </c>
      <c r="E2600" t="str">
        <f t="shared" si="329"/>
        <v>520</v>
      </c>
      <c r="F2600" t="str">
        <f>"12"</f>
        <v>12</v>
      </c>
    </row>
    <row r="2601" spans="1:6">
      <c r="A2601" t="str">
        <f>"E1095-10"</f>
        <v>E1095-10</v>
      </c>
      <c r="B2601" t="str">
        <f t="shared" ref="B2601:B2606" si="330">"VIA PIERO CALAMANDREI  77-"</f>
        <v>VIA PIERO CALAMANDREI  77-</v>
      </c>
      <c r="C2601" t="str">
        <f t="shared" si="325"/>
        <v>VOL</v>
      </c>
      <c r="D2601">
        <v>30</v>
      </c>
      <c r="E2601" t="str">
        <f t="shared" si="329"/>
        <v>520</v>
      </c>
      <c r="F2601" t="str">
        <f>"14"</f>
        <v>14</v>
      </c>
    </row>
    <row r="2602" spans="1:6">
      <c r="A2602" t="str">
        <f>"E1095-11"</f>
        <v>E1095-11</v>
      </c>
      <c r="B2602" t="str">
        <f t="shared" si="330"/>
        <v>VIA PIERO CALAMANDREI  77-</v>
      </c>
      <c r="C2602" t="str">
        <f t="shared" ref="C2602:C2633" si="331">"VOL"</f>
        <v>VOL</v>
      </c>
      <c r="D2602">
        <v>30</v>
      </c>
      <c r="E2602" t="str">
        <f t="shared" si="329"/>
        <v>520</v>
      </c>
      <c r="F2602" t="str">
        <f>"15"</f>
        <v>15</v>
      </c>
    </row>
    <row r="2603" spans="1:6">
      <c r="A2603" t="str">
        <f>"E1095-12"</f>
        <v>E1095-12</v>
      </c>
      <c r="B2603" t="str">
        <f t="shared" si="330"/>
        <v>VIA PIERO CALAMANDREI  77-</v>
      </c>
      <c r="C2603" t="str">
        <f t="shared" si="331"/>
        <v>VOL</v>
      </c>
      <c r="D2603">
        <v>30</v>
      </c>
      <c r="E2603" t="str">
        <f t="shared" si="329"/>
        <v>520</v>
      </c>
      <c r="F2603" t="str">
        <f>"16"</f>
        <v>16</v>
      </c>
    </row>
    <row r="2604" spans="1:6">
      <c r="A2604" t="str">
        <f>"E1095-13"</f>
        <v>E1095-13</v>
      </c>
      <c r="B2604" t="str">
        <f t="shared" si="330"/>
        <v>VIA PIERO CALAMANDREI  77-</v>
      </c>
      <c r="C2604" t="str">
        <f t="shared" si="331"/>
        <v>VOL</v>
      </c>
      <c r="D2604">
        <v>30</v>
      </c>
      <c r="E2604" t="str">
        <f t="shared" si="329"/>
        <v>520</v>
      </c>
      <c r="F2604" t="str">
        <f>"17"</f>
        <v>17</v>
      </c>
    </row>
    <row r="2605" spans="1:6">
      <c r="A2605" t="str">
        <f>"E1095-14"</f>
        <v>E1095-14</v>
      </c>
      <c r="B2605" t="str">
        <f t="shared" si="330"/>
        <v>VIA PIERO CALAMANDREI  77-</v>
      </c>
      <c r="C2605" t="str">
        <f t="shared" si="331"/>
        <v>VOL</v>
      </c>
      <c r="D2605">
        <v>30</v>
      </c>
      <c r="E2605" t="str">
        <f t="shared" si="329"/>
        <v>520</v>
      </c>
      <c r="F2605" t="str">
        <f>"18"</f>
        <v>18</v>
      </c>
    </row>
    <row r="2606" spans="1:6">
      <c r="A2606" t="str">
        <f>"E1095-15"</f>
        <v>E1095-15</v>
      </c>
      <c r="B2606" t="str">
        <f t="shared" si="330"/>
        <v>VIA PIERO CALAMANDREI  77-</v>
      </c>
      <c r="C2606" t="str">
        <f t="shared" si="331"/>
        <v>VOL</v>
      </c>
      <c r="D2606">
        <v>30</v>
      </c>
      <c r="E2606" t="str">
        <f t="shared" si="329"/>
        <v>520</v>
      </c>
      <c r="F2606" t="str">
        <f>"19"</f>
        <v>19</v>
      </c>
    </row>
    <row r="2607" spans="1:6">
      <c r="A2607" t="str">
        <f>"E1095-16"</f>
        <v>E1095-16</v>
      </c>
      <c r="B2607" t="str">
        <f t="shared" ref="B2607:B2612" si="332">"VIA PIERO CALAMANDREI  79-"</f>
        <v>VIA PIERO CALAMANDREI  79-</v>
      </c>
      <c r="C2607" t="str">
        <f t="shared" si="331"/>
        <v>VOL</v>
      </c>
      <c r="D2607">
        <v>30</v>
      </c>
      <c r="E2607" t="str">
        <f t="shared" si="329"/>
        <v>520</v>
      </c>
      <c r="F2607" t="str">
        <f>"21"</f>
        <v>21</v>
      </c>
    </row>
    <row r="2608" spans="1:6">
      <c r="A2608" t="str">
        <f>"E1095-17"</f>
        <v>E1095-17</v>
      </c>
      <c r="B2608" t="str">
        <f t="shared" si="332"/>
        <v>VIA PIERO CALAMANDREI  79-</v>
      </c>
      <c r="C2608" t="str">
        <f t="shared" si="331"/>
        <v>VOL</v>
      </c>
      <c r="D2608">
        <v>30</v>
      </c>
      <c r="E2608" t="str">
        <f t="shared" si="329"/>
        <v>520</v>
      </c>
      <c r="F2608" t="str">
        <f>"22"</f>
        <v>22</v>
      </c>
    </row>
    <row r="2609" spans="1:6">
      <c r="A2609" t="str">
        <f>"E1095-18"</f>
        <v>E1095-18</v>
      </c>
      <c r="B2609" t="str">
        <f t="shared" si="332"/>
        <v>VIA PIERO CALAMANDREI  79-</v>
      </c>
      <c r="C2609" t="str">
        <f t="shared" si="331"/>
        <v>VOL</v>
      </c>
      <c r="D2609">
        <v>30</v>
      </c>
      <c r="E2609" t="str">
        <f t="shared" si="329"/>
        <v>520</v>
      </c>
      <c r="F2609" t="str">
        <f>"23"</f>
        <v>23</v>
      </c>
    </row>
    <row r="2610" spans="1:6">
      <c r="A2610" t="str">
        <f>"E1095-19"</f>
        <v>E1095-19</v>
      </c>
      <c r="B2610" t="str">
        <f t="shared" si="332"/>
        <v>VIA PIERO CALAMANDREI  79-</v>
      </c>
      <c r="C2610" t="str">
        <f t="shared" si="331"/>
        <v>VOL</v>
      </c>
      <c r="D2610">
        <v>30</v>
      </c>
      <c r="E2610" t="str">
        <f t="shared" si="329"/>
        <v>520</v>
      </c>
      <c r="F2610" t="str">
        <f>"24"</f>
        <v>24</v>
      </c>
    </row>
    <row r="2611" spans="1:6">
      <c r="A2611" t="str">
        <f>"E1095-20"</f>
        <v>E1095-20</v>
      </c>
      <c r="B2611" t="str">
        <f t="shared" si="332"/>
        <v>VIA PIERO CALAMANDREI  79-</v>
      </c>
      <c r="C2611" t="str">
        <f t="shared" si="331"/>
        <v>VOL</v>
      </c>
      <c r="D2611">
        <v>30</v>
      </c>
      <c r="E2611" t="str">
        <f t="shared" si="329"/>
        <v>520</v>
      </c>
      <c r="F2611" t="str">
        <f>"25"</f>
        <v>25</v>
      </c>
    </row>
    <row r="2612" spans="1:6">
      <c r="A2612" t="str">
        <f>"E1095-21"</f>
        <v>E1095-21</v>
      </c>
      <c r="B2612" t="str">
        <f t="shared" si="332"/>
        <v>VIA PIERO CALAMANDREI  79-</v>
      </c>
      <c r="C2612" t="str">
        <f t="shared" si="331"/>
        <v>VOL</v>
      </c>
      <c r="D2612">
        <v>30</v>
      </c>
      <c r="E2612" t="str">
        <f t="shared" si="329"/>
        <v>520</v>
      </c>
      <c r="F2612" t="str">
        <f>"26"</f>
        <v>26</v>
      </c>
    </row>
    <row r="2613" spans="1:6">
      <c r="A2613" t="str">
        <f>"E1095-22"</f>
        <v>E1095-22</v>
      </c>
      <c r="B2613" t="str">
        <f t="shared" ref="B2613:B2618" si="333">"VIA PIERO CALAMANDREI  81-"</f>
        <v>VIA PIERO CALAMANDREI  81-</v>
      </c>
      <c r="C2613" t="str">
        <f t="shared" si="331"/>
        <v>VOL</v>
      </c>
      <c r="D2613">
        <v>30</v>
      </c>
      <c r="E2613" t="str">
        <f t="shared" si="329"/>
        <v>520</v>
      </c>
      <c r="F2613" t="str">
        <f>"28"</f>
        <v>28</v>
      </c>
    </row>
    <row r="2614" spans="1:6">
      <c r="A2614" t="str">
        <f>"E1095-23"</f>
        <v>E1095-23</v>
      </c>
      <c r="B2614" t="str">
        <f t="shared" si="333"/>
        <v>VIA PIERO CALAMANDREI  81-</v>
      </c>
      <c r="C2614" t="str">
        <f t="shared" si="331"/>
        <v>VOL</v>
      </c>
      <c r="D2614">
        <v>30</v>
      </c>
      <c r="E2614" t="str">
        <f t="shared" si="329"/>
        <v>520</v>
      </c>
      <c r="F2614" t="str">
        <f>"29"</f>
        <v>29</v>
      </c>
    </row>
    <row r="2615" spans="1:6">
      <c r="A2615" t="str">
        <f>"E1095-24"</f>
        <v>E1095-24</v>
      </c>
      <c r="B2615" t="str">
        <f t="shared" si="333"/>
        <v>VIA PIERO CALAMANDREI  81-</v>
      </c>
      <c r="C2615" t="str">
        <f t="shared" si="331"/>
        <v>VOL</v>
      </c>
      <c r="D2615">
        <v>30</v>
      </c>
      <c r="E2615" t="str">
        <f t="shared" si="329"/>
        <v>520</v>
      </c>
      <c r="F2615" t="str">
        <f>"30"</f>
        <v>30</v>
      </c>
    </row>
    <row r="2616" spans="1:6">
      <c r="A2616" t="str">
        <f>"E1095-25"</f>
        <v>E1095-25</v>
      </c>
      <c r="B2616" t="str">
        <f t="shared" si="333"/>
        <v>VIA PIERO CALAMANDREI  81-</v>
      </c>
      <c r="C2616" t="str">
        <f t="shared" si="331"/>
        <v>VOL</v>
      </c>
      <c r="D2616">
        <v>30</v>
      </c>
      <c r="E2616" t="str">
        <f t="shared" si="329"/>
        <v>520</v>
      </c>
      <c r="F2616" t="str">
        <f>"31"</f>
        <v>31</v>
      </c>
    </row>
    <row r="2617" spans="1:6">
      <c r="A2617" t="str">
        <f>"E1095-26"</f>
        <v>E1095-26</v>
      </c>
      <c r="B2617" t="str">
        <f t="shared" si="333"/>
        <v>VIA PIERO CALAMANDREI  81-</v>
      </c>
      <c r="C2617" t="str">
        <f t="shared" si="331"/>
        <v>VOL</v>
      </c>
      <c r="D2617">
        <v>30</v>
      </c>
      <c r="E2617" t="str">
        <f t="shared" si="329"/>
        <v>520</v>
      </c>
      <c r="F2617" t="str">
        <f>"32"</f>
        <v>32</v>
      </c>
    </row>
    <row r="2618" spans="1:6">
      <c r="A2618" t="str">
        <f>"E1095-27"</f>
        <v>E1095-27</v>
      </c>
      <c r="B2618" t="str">
        <f t="shared" si="333"/>
        <v>VIA PIERO CALAMANDREI  81-</v>
      </c>
      <c r="C2618" t="str">
        <f t="shared" si="331"/>
        <v>VOL</v>
      </c>
      <c r="D2618">
        <v>30</v>
      </c>
      <c r="E2618" t="str">
        <f t="shared" si="329"/>
        <v>520</v>
      </c>
      <c r="F2618" t="str">
        <f>"33"</f>
        <v>33</v>
      </c>
    </row>
    <row r="2619" spans="1:6">
      <c r="A2619" t="str">
        <f>"E1095-28"</f>
        <v>E1095-28</v>
      </c>
      <c r="B2619" t="str">
        <f t="shared" ref="B2619:B2624" si="334">"VIA PIERO CALAMANDREI  83-"</f>
        <v>VIA PIERO CALAMANDREI  83-</v>
      </c>
      <c r="C2619" t="str">
        <f t="shared" si="331"/>
        <v>VOL</v>
      </c>
      <c r="D2619">
        <v>30</v>
      </c>
      <c r="E2619" t="str">
        <f t="shared" si="329"/>
        <v>520</v>
      </c>
      <c r="F2619" t="str">
        <f>"35"</f>
        <v>35</v>
      </c>
    </row>
    <row r="2620" spans="1:6">
      <c r="A2620" t="str">
        <f>"E1095-29"</f>
        <v>E1095-29</v>
      </c>
      <c r="B2620" t="str">
        <f t="shared" si="334"/>
        <v>VIA PIERO CALAMANDREI  83-</v>
      </c>
      <c r="C2620" t="str">
        <f t="shared" si="331"/>
        <v>VOL</v>
      </c>
      <c r="D2620">
        <v>30</v>
      </c>
      <c r="E2620" t="str">
        <f t="shared" si="329"/>
        <v>520</v>
      </c>
      <c r="F2620" t="str">
        <f>"36"</f>
        <v>36</v>
      </c>
    </row>
    <row r="2621" spans="1:6">
      <c r="A2621" t="str">
        <f>"E1095-30"</f>
        <v>E1095-30</v>
      </c>
      <c r="B2621" t="str">
        <f t="shared" si="334"/>
        <v>VIA PIERO CALAMANDREI  83-</v>
      </c>
      <c r="C2621" t="str">
        <f t="shared" si="331"/>
        <v>VOL</v>
      </c>
      <c r="D2621">
        <v>30</v>
      </c>
      <c r="E2621" t="str">
        <f t="shared" si="329"/>
        <v>520</v>
      </c>
      <c r="F2621" t="str">
        <f>"37"</f>
        <v>37</v>
      </c>
    </row>
    <row r="2622" spans="1:6">
      <c r="A2622" t="str">
        <f>"E1095-31"</f>
        <v>E1095-31</v>
      </c>
      <c r="B2622" t="str">
        <f t="shared" si="334"/>
        <v>VIA PIERO CALAMANDREI  83-</v>
      </c>
      <c r="C2622" t="str">
        <f t="shared" si="331"/>
        <v>VOL</v>
      </c>
      <c r="D2622">
        <v>30</v>
      </c>
      <c r="E2622" t="str">
        <f t="shared" si="329"/>
        <v>520</v>
      </c>
      <c r="F2622" t="str">
        <f>"38"</f>
        <v>38</v>
      </c>
    </row>
    <row r="2623" spans="1:6">
      <c r="A2623" t="str">
        <f>"E1095-32"</f>
        <v>E1095-32</v>
      </c>
      <c r="B2623" t="str">
        <f t="shared" si="334"/>
        <v>VIA PIERO CALAMANDREI  83-</v>
      </c>
      <c r="C2623" t="str">
        <f t="shared" si="331"/>
        <v>VOL</v>
      </c>
      <c r="D2623">
        <v>30</v>
      </c>
      <c r="E2623" t="str">
        <f t="shared" si="329"/>
        <v>520</v>
      </c>
      <c r="F2623" t="str">
        <f>"39"</f>
        <v>39</v>
      </c>
    </row>
    <row r="2624" spans="1:6">
      <c r="A2624" t="str">
        <f>"E1095-33"</f>
        <v>E1095-33</v>
      </c>
      <c r="B2624" t="str">
        <f t="shared" si="334"/>
        <v>VIA PIERO CALAMANDREI  83-</v>
      </c>
      <c r="C2624" t="str">
        <f t="shared" si="331"/>
        <v>VOL</v>
      </c>
      <c r="D2624">
        <v>30</v>
      </c>
      <c r="E2624" t="str">
        <f t="shared" si="329"/>
        <v>520</v>
      </c>
      <c r="F2624" t="str">
        <f>"40"</f>
        <v>40</v>
      </c>
    </row>
    <row r="2625" spans="1:6">
      <c r="A2625" t="str">
        <f>"E1095-34"</f>
        <v>E1095-34</v>
      </c>
      <c r="B2625" t="str">
        <f>"VIA PIERO CALAMANDREI  85-"</f>
        <v>VIA PIERO CALAMANDREI  85-</v>
      </c>
      <c r="C2625" t="str">
        <f t="shared" si="331"/>
        <v>VOL</v>
      </c>
      <c r="D2625">
        <v>30</v>
      </c>
      <c r="E2625" t="str">
        <f t="shared" ref="E2625:E2654" si="335">"520"</f>
        <v>520</v>
      </c>
      <c r="F2625" t="str">
        <f>"42"</f>
        <v>42</v>
      </c>
    </row>
    <row r="2626" spans="1:6">
      <c r="A2626" t="str">
        <f>"E1095-35"</f>
        <v>E1095-35</v>
      </c>
      <c r="B2626" t="str">
        <f>"VIA PIERO CALAMANDREI  85-"</f>
        <v>VIA PIERO CALAMANDREI  85-</v>
      </c>
      <c r="C2626" t="str">
        <f t="shared" si="331"/>
        <v>VOL</v>
      </c>
      <c r="D2626">
        <v>30</v>
      </c>
      <c r="E2626" t="str">
        <f t="shared" si="335"/>
        <v>520</v>
      </c>
      <c r="F2626" t="str">
        <f>"43"</f>
        <v>43</v>
      </c>
    </row>
    <row r="2627" spans="1:6">
      <c r="A2627" t="str">
        <f>"E1095-36"</f>
        <v>E1095-36</v>
      </c>
      <c r="B2627" t="str">
        <f>"VIA PIERO CALAMANDREI  85-"</f>
        <v>VIA PIERO CALAMANDREI  85-</v>
      </c>
      <c r="C2627" t="str">
        <f t="shared" si="331"/>
        <v>VOL</v>
      </c>
      <c r="D2627">
        <v>30</v>
      </c>
      <c r="E2627" t="str">
        <f t="shared" si="335"/>
        <v>520</v>
      </c>
      <c r="F2627" t="str">
        <f>"44"</f>
        <v>44</v>
      </c>
    </row>
    <row r="2628" spans="1:6">
      <c r="A2628" t="str">
        <f>"E1095-37"</f>
        <v>E1095-37</v>
      </c>
      <c r="B2628" t="str">
        <f>"VIA PIERO CALAMANDREI  85-"</f>
        <v>VIA PIERO CALAMANDREI  85-</v>
      </c>
      <c r="C2628" t="str">
        <f t="shared" si="331"/>
        <v>VOL</v>
      </c>
      <c r="D2628">
        <v>30</v>
      </c>
      <c r="E2628" t="str">
        <f t="shared" si="335"/>
        <v>520</v>
      </c>
      <c r="F2628" t="str">
        <f>"45"</f>
        <v>45</v>
      </c>
    </row>
    <row r="2629" spans="1:6">
      <c r="A2629" t="str">
        <f>"E1095-38"</f>
        <v>E1095-38</v>
      </c>
      <c r="B2629" t="str">
        <f>"VIA PIERO CALAMANDREI  85-"</f>
        <v>VIA PIERO CALAMANDREI  85-</v>
      </c>
      <c r="C2629" t="str">
        <f t="shared" si="331"/>
        <v>VOL</v>
      </c>
      <c r="D2629">
        <v>30</v>
      </c>
      <c r="E2629" t="str">
        <f t="shared" si="335"/>
        <v>520</v>
      </c>
      <c r="F2629" t="str">
        <f>"46"</f>
        <v>46</v>
      </c>
    </row>
    <row r="2630" spans="1:6">
      <c r="A2630" t="str">
        <f>"E1095-40"</f>
        <v>E1095-40</v>
      </c>
      <c r="B2630" t="str">
        <f t="shared" ref="B2630:B2635" si="336">"VIA PIERO CALAMANDREI  87-"</f>
        <v>VIA PIERO CALAMANDREI  87-</v>
      </c>
      <c r="C2630" t="str">
        <f t="shared" si="331"/>
        <v>VOL</v>
      </c>
      <c r="D2630">
        <v>30</v>
      </c>
      <c r="E2630" t="str">
        <f t="shared" si="335"/>
        <v>520</v>
      </c>
      <c r="F2630" t="str">
        <f>"49"</f>
        <v>49</v>
      </c>
    </row>
    <row r="2631" spans="1:6">
      <c r="A2631" t="str">
        <f>"E1095-41"</f>
        <v>E1095-41</v>
      </c>
      <c r="B2631" t="str">
        <f t="shared" si="336"/>
        <v>VIA PIERO CALAMANDREI  87-</v>
      </c>
      <c r="C2631" t="str">
        <f t="shared" si="331"/>
        <v>VOL</v>
      </c>
      <c r="D2631">
        <v>30</v>
      </c>
      <c r="E2631" t="str">
        <f t="shared" si="335"/>
        <v>520</v>
      </c>
      <c r="F2631" t="str">
        <f>"50"</f>
        <v>50</v>
      </c>
    </row>
    <row r="2632" spans="1:6">
      <c r="A2632" t="str">
        <f>"E1095-42"</f>
        <v>E1095-42</v>
      </c>
      <c r="B2632" t="str">
        <f t="shared" si="336"/>
        <v>VIA PIERO CALAMANDREI  87-</v>
      </c>
      <c r="C2632" t="str">
        <f t="shared" si="331"/>
        <v>VOL</v>
      </c>
      <c r="D2632">
        <v>30</v>
      </c>
      <c r="E2632" t="str">
        <f t="shared" si="335"/>
        <v>520</v>
      </c>
      <c r="F2632" t="str">
        <f>"51"</f>
        <v>51</v>
      </c>
    </row>
    <row r="2633" spans="1:6">
      <c r="A2633" t="str">
        <f>"E1095-43"</f>
        <v>E1095-43</v>
      </c>
      <c r="B2633" t="str">
        <f t="shared" si="336"/>
        <v>VIA PIERO CALAMANDREI  87-</v>
      </c>
      <c r="C2633" t="str">
        <f t="shared" si="331"/>
        <v>VOL</v>
      </c>
      <c r="D2633">
        <v>30</v>
      </c>
      <c r="E2633" t="str">
        <f t="shared" si="335"/>
        <v>520</v>
      </c>
      <c r="F2633" t="str">
        <f>"52"</f>
        <v>52</v>
      </c>
    </row>
    <row r="2634" spans="1:6">
      <c r="A2634" t="str">
        <f>"E1095-44"</f>
        <v>E1095-44</v>
      </c>
      <c r="B2634" t="str">
        <f t="shared" si="336"/>
        <v>VIA PIERO CALAMANDREI  87-</v>
      </c>
      <c r="C2634" t="str">
        <f t="shared" ref="C2634:C2654" si="337">"VOL"</f>
        <v>VOL</v>
      </c>
      <c r="D2634">
        <v>30</v>
      </c>
      <c r="E2634" t="str">
        <f t="shared" si="335"/>
        <v>520</v>
      </c>
      <c r="F2634" t="str">
        <f>"53"</f>
        <v>53</v>
      </c>
    </row>
    <row r="2635" spans="1:6">
      <c r="A2635" t="str">
        <f>"E1095-45"</f>
        <v>E1095-45</v>
      </c>
      <c r="B2635" t="str">
        <f t="shared" si="336"/>
        <v>VIA PIERO CALAMANDREI  87-</v>
      </c>
      <c r="C2635" t="str">
        <f t="shared" si="337"/>
        <v>VOL</v>
      </c>
      <c r="D2635">
        <v>30</v>
      </c>
      <c r="E2635" t="str">
        <f t="shared" si="335"/>
        <v>520</v>
      </c>
      <c r="F2635" t="str">
        <f>"54"</f>
        <v>54</v>
      </c>
    </row>
    <row r="2636" spans="1:6">
      <c r="A2636" t="str">
        <f>"E1095-46"</f>
        <v>E1095-46</v>
      </c>
      <c r="B2636" t="str">
        <f t="shared" ref="B2636:B2641" si="338">"VIA PIERO CALAMANDREI  89-"</f>
        <v>VIA PIERO CALAMANDREI  89-</v>
      </c>
      <c r="C2636" t="str">
        <f t="shared" si="337"/>
        <v>VOL</v>
      </c>
      <c r="D2636">
        <v>30</v>
      </c>
      <c r="E2636" t="str">
        <f t="shared" si="335"/>
        <v>520</v>
      </c>
      <c r="F2636" t="str">
        <f>"56"</f>
        <v>56</v>
      </c>
    </row>
    <row r="2637" spans="1:6">
      <c r="A2637" t="str">
        <f>"E1095-47"</f>
        <v>E1095-47</v>
      </c>
      <c r="B2637" t="str">
        <f t="shared" si="338"/>
        <v>VIA PIERO CALAMANDREI  89-</v>
      </c>
      <c r="C2637" t="str">
        <f t="shared" si="337"/>
        <v>VOL</v>
      </c>
      <c r="D2637">
        <v>30</v>
      </c>
      <c r="E2637" t="str">
        <f t="shared" si="335"/>
        <v>520</v>
      </c>
      <c r="F2637" t="str">
        <f>"57"</f>
        <v>57</v>
      </c>
    </row>
    <row r="2638" spans="1:6">
      <c r="A2638" t="str">
        <f>"E1095-48"</f>
        <v>E1095-48</v>
      </c>
      <c r="B2638" t="str">
        <f t="shared" si="338"/>
        <v>VIA PIERO CALAMANDREI  89-</v>
      </c>
      <c r="C2638" t="str">
        <f t="shared" si="337"/>
        <v>VOL</v>
      </c>
      <c r="D2638">
        <v>30</v>
      </c>
      <c r="E2638" t="str">
        <f t="shared" si="335"/>
        <v>520</v>
      </c>
      <c r="F2638" t="str">
        <f>"58"</f>
        <v>58</v>
      </c>
    </row>
    <row r="2639" spans="1:6">
      <c r="A2639" t="str">
        <f>"E1095-49"</f>
        <v>E1095-49</v>
      </c>
      <c r="B2639" t="str">
        <f t="shared" si="338"/>
        <v>VIA PIERO CALAMANDREI  89-</v>
      </c>
      <c r="C2639" t="str">
        <f t="shared" si="337"/>
        <v>VOL</v>
      </c>
      <c r="D2639">
        <v>30</v>
      </c>
      <c r="E2639" t="str">
        <f t="shared" si="335"/>
        <v>520</v>
      </c>
      <c r="F2639" t="str">
        <f>"59"</f>
        <v>59</v>
      </c>
    </row>
    <row r="2640" spans="1:6">
      <c r="A2640" t="str">
        <f>"E1095-50"</f>
        <v>E1095-50</v>
      </c>
      <c r="B2640" t="str">
        <f t="shared" si="338"/>
        <v>VIA PIERO CALAMANDREI  89-</v>
      </c>
      <c r="C2640" t="str">
        <f t="shared" si="337"/>
        <v>VOL</v>
      </c>
      <c r="D2640">
        <v>30</v>
      </c>
      <c r="E2640" t="str">
        <f t="shared" si="335"/>
        <v>520</v>
      </c>
      <c r="F2640" t="str">
        <f>"60"</f>
        <v>60</v>
      </c>
    </row>
    <row r="2641" spans="1:6">
      <c r="A2641" t="str">
        <f>"E1095-51"</f>
        <v>E1095-51</v>
      </c>
      <c r="B2641" t="str">
        <f t="shared" si="338"/>
        <v>VIA PIERO CALAMANDREI  89-</v>
      </c>
      <c r="C2641" t="str">
        <f t="shared" si="337"/>
        <v>VOL</v>
      </c>
      <c r="D2641">
        <v>30</v>
      </c>
      <c r="E2641" t="str">
        <f t="shared" si="335"/>
        <v>520</v>
      </c>
      <c r="F2641" t="str">
        <f>"61"</f>
        <v>61</v>
      </c>
    </row>
    <row r="2642" spans="1:6">
      <c r="A2642" t="str">
        <f>"E1095-52"</f>
        <v>E1095-52</v>
      </c>
      <c r="B2642" t="str">
        <f>"VIA PIERO CALAMANDREI  91-"</f>
        <v>VIA PIERO CALAMANDREI  91-</v>
      </c>
      <c r="C2642" t="str">
        <f t="shared" si="337"/>
        <v>VOL</v>
      </c>
      <c r="D2642">
        <v>30</v>
      </c>
      <c r="E2642" t="str">
        <f t="shared" si="335"/>
        <v>520</v>
      </c>
      <c r="F2642" t="str">
        <f>"63"</f>
        <v>63</v>
      </c>
    </row>
    <row r="2643" spans="1:6">
      <c r="A2643" t="str">
        <f>"E1095-53"</f>
        <v>E1095-53</v>
      </c>
      <c r="B2643" t="str">
        <f>"VIA PIERO CALAMANDREI  91-"</f>
        <v>VIA PIERO CALAMANDREI  91-</v>
      </c>
      <c r="C2643" t="str">
        <f t="shared" si="337"/>
        <v>VOL</v>
      </c>
      <c r="D2643">
        <v>30</v>
      </c>
      <c r="E2643" t="str">
        <f t="shared" si="335"/>
        <v>520</v>
      </c>
      <c r="F2643" t="str">
        <f>"64"</f>
        <v>64</v>
      </c>
    </row>
    <row r="2644" spans="1:6">
      <c r="A2644" t="str">
        <f>"E1095-54"</f>
        <v>E1095-54</v>
      </c>
      <c r="B2644" t="str">
        <f>"VIA PIERO CALAMANDREI  91-"</f>
        <v>VIA PIERO CALAMANDREI  91-</v>
      </c>
      <c r="C2644" t="str">
        <f t="shared" si="337"/>
        <v>VOL</v>
      </c>
      <c r="D2644">
        <v>30</v>
      </c>
      <c r="E2644" t="str">
        <f t="shared" si="335"/>
        <v>520</v>
      </c>
      <c r="F2644" t="str">
        <f>"65"</f>
        <v>65</v>
      </c>
    </row>
    <row r="2645" spans="1:6">
      <c r="A2645" t="str">
        <f>"E1095-55"</f>
        <v>E1095-55</v>
      </c>
      <c r="B2645" t="str">
        <f>"VIA PIERO CALAMANDREI  91-"</f>
        <v>VIA PIERO CALAMANDREI  91-</v>
      </c>
      <c r="C2645" t="str">
        <f t="shared" si="337"/>
        <v>VOL</v>
      </c>
      <c r="D2645">
        <v>30</v>
      </c>
      <c r="E2645" t="str">
        <f t="shared" si="335"/>
        <v>520</v>
      </c>
      <c r="F2645" t="str">
        <f>"66"</f>
        <v>66</v>
      </c>
    </row>
    <row r="2646" spans="1:6">
      <c r="A2646" t="str">
        <f>"E1095-56"</f>
        <v>E1095-56</v>
      </c>
      <c r="B2646" t="str">
        <f>"VIA GIULIO PASTORE  21-"</f>
        <v>VIA GIULIO PASTORE  21-</v>
      </c>
      <c r="C2646" t="str">
        <f t="shared" si="337"/>
        <v>VOL</v>
      </c>
      <c r="D2646">
        <v>30</v>
      </c>
      <c r="E2646" t="str">
        <f t="shared" si="335"/>
        <v>520</v>
      </c>
      <c r="F2646" t="str">
        <f>"67"</f>
        <v>67</v>
      </c>
    </row>
    <row r="2647" spans="1:6">
      <c r="A2647" t="str">
        <f>"E1095-57"</f>
        <v>E1095-57</v>
      </c>
      <c r="B2647" t="str">
        <f>"VIA GIULIO PASTORE  27-"</f>
        <v>VIA GIULIO PASTORE  27-</v>
      </c>
      <c r="C2647" t="str">
        <f t="shared" si="337"/>
        <v>VOL</v>
      </c>
      <c r="D2647">
        <v>30</v>
      </c>
      <c r="E2647" t="str">
        <f t="shared" si="335"/>
        <v>520</v>
      </c>
      <c r="F2647" t="str">
        <f>"68"</f>
        <v>68</v>
      </c>
    </row>
    <row r="2648" spans="1:6">
      <c r="A2648" t="str">
        <f>"E1095-60"</f>
        <v>E1095-60</v>
      </c>
      <c r="B2648" t="str">
        <f>"VIA PIERO CALAMANDREI  93-"</f>
        <v>VIA PIERO CALAMANDREI  93-</v>
      </c>
      <c r="C2648" t="str">
        <f t="shared" si="337"/>
        <v>VOL</v>
      </c>
      <c r="D2648">
        <v>30</v>
      </c>
      <c r="E2648" t="str">
        <f t="shared" si="335"/>
        <v>520</v>
      </c>
      <c r="F2648" t="str">
        <f>"72"</f>
        <v>72</v>
      </c>
    </row>
    <row r="2649" spans="1:6">
      <c r="A2649" t="str">
        <f>"E1095-61"</f>
        <v>E1095-61</v>
      </c>
      <c r="B2649" t="str">
        <f>"VIA PIERO CALAMANDREI  93-"</f>
        <v>VIA PIERO CALAMANDREI  93-</v>
      </c>
      <c r="C2649" t="str">
        <f t="shared" si="337"/>
        <v>VOL</v>
      </c>
      <c r="D2649">
        <v>30</v>
      </c>
      <c r="E2649" t="str">
        <f t="shared" si="335"/>
        <v>520</v>
      </c>
      <c r="F2649" t="str">
        <f>"73"</f>
        <v>73</v>
      </c>
    </row>
    <row r="2650" spans="1:6">
      <c r="A2650" t="str">
        <f>"E1095-62"</f>
        <v>E1095-62</v>
      </c>
      <c r="B2650" t="str">
        <f>"VIA GIULIO PASTORE  31-"</f>
        <v>VIA GIULIO PASTORE  31-</v>
      </c>
      <c r="C2650" t="str">
        <f t="shared" si="337"/>
        <v>VOL</v>
      </c>
      <c r="D2650">
        <v>30</v>
      </c>
      <c r="E2650" t="str">
        <f t="shared" si="335"/>
        <v>520</v>
      </c>
      <c r="F2650" t="str">
        <f>"74"</f>
        <v>74</v>
      </c>
    </row>
    <row r="2651" spans="1:6">
      <c r="A2651" t="str">
        <f>"E1095-63"</f>
        <v>E1095-63</v>
      </c>
      <c r="B2651" t="str">
        <f>"VIA GIULIO PASTORE  37-"</f>
        <v>VIA GIULIO PASTORE  37-</v>
      </c>
      <c r="C2651" t="str">
        <f t="shared" si="337"/>
        <v>VOL</v>
      </c>
      <c r="D2651">
        <v>30</v>
      </c>
      <c r="E2651" t="str">
        <f t="shared" si="335"/>
        <v>520</v>
      </c>
      <c r="F2651" t="str">
        <f>"75"</f>
        <v>75</v>
      </c>
    </row>
    <row r="2652" spans="1:6">
      <c r="A2652" t="str">
        <f>"E1095-67"</f>
        <v>E1095-67</v>
      </c>
      <c r="B2652" t="str">
        <f>"VIA PIERO CALAMANDREI  95-"</f>
        <v>VIA PIERO CALAMANDREI  95-</v>
      </c>
      <c r="C2652" t="str">
        <f t="shared" si="337"/>
        <v>VOL</v>
      </c>
      <c r="D2652">
        <v>30</v>
      </c>
      <c r="E2652" t="str">
        <f t="shared" si="335"/>
        <v>520</v>
      </c>
      <c r="F2652" t="str">
        <f>"80"</f>
        <v>80</v>
      </c>
    </row>
    <row r="2653" spans="1:6">
      <c r="A2653" t="str">
        <f>"E1095-68"</f>
        <v>E1095-68</v>
      </c>
      <c r="B2653" t="str">
        <f>"VIA PIERO CALAMANDREI  95-"</f>
        <v>VIA PIERO CALAMANDREI  95-</v>
      </c>
      <c r="C2653" t="str">
        <f t="shared" si="337"/>
        <v>VOL</v>
      </c>
      <c r="D2653">
        <v>30</v>
      </c>
      <c r="E2653" t="str">
        <f t="shared" si="335"/>
        <v>520</v>
      </c>
      <c r="F2653" t="str">
        <f>"81"</f>
        <v>81</v>
      </c>
    </row>
    <row r="2654" spans="1:6">
      <c r="A2654" t="str">
        <f>"E1095-69"</f>
        <v>E1095-69</v>
      </c>
      <c r="B2654" t="str">
        <f>"VIA PIERO CALAMANDREI  95-"</f>
        <v>VIA PIERO CALAMANDREI  95-</v>
      </c>
      <c r="C2654" t="str">
        <f t="shared" si="337"/>
        <v>VOL</v>
      </c>
      <c r="D2654">
        <v>30</v>
      </c>
      <c r="E2654" t="str">
        <f t="shared" si="335"/>
        <v>520</v>
      </c>
      <c r="F2654" t="str">
        <f>"82"</f>
        <v>82</v>
      </c>
    </row>
    <row r="2655" spans="1:6">
      <c r="A2655" t="str">
        <f>"E1155-1"</f>
        <v>E1155-1</v>
      </c>
      <c r="B2655" t="str">
        <f t="shared" ref="B2655:B2662" si="339">"VIA IGNAZIO PALLAVICINI  11-"</f>
        <v>VIA IGNAZIO PALLAVICINI  11-</v>
      </c>
      <c r="C2655" t="str">
        <f t="shared" ref="C2655:C2662" si="340">"PEG"</f>
        <v>PEG</v>
      </c>
      <c r="D2655">
        <v>42</v>
      </c>
      <c r="E2655" t="str">
        <f>"354"</f>
        <v>354</v>
      </c>
      <c r="F2655" t="str">
        <f t="shared" ref="F2655:F2668" si="341">"0000"</f>
        <v>0000</v>
      </c>
    </row>
    <row r="2656" spans="1:6">
      <c r="A2656" t="str">
        <f>"E1156-1"</f>
        <v>E1156-1</v>
      </c>
      <c r="B2656" t="str">
        <f t="shared" si="339"/>
        <v>VIA IGNAZIO PALLAVICINI  11-</v>
      </c>
      <c r="C2656" t="str">
        <f t="shared" si="340"/>
        <v>PEG</v>
      </c>
      <c r="D2656">
        <v>42</v>
      </c>
      <c r="E2656" t="str">
        <f>"355"</f>
        <v>355</v>
      </c>
      <c r="F2656" t="str">
        <f t="shared" si="341"/>
        <v>0000</v>
      </c>
    </row>
    <row r="2657" spans="1:6">
      <c r="A2657" t="str">
        <f>"E1157-1"</f>
        <v>E1157-1</v>
      </c>
      <c r="B2657" t="str">
        <f t="shared" si="339"/>
        <v>VIA IGNAZIO PALLAVICINI  11-</v>
      </c>
      <c r="C2657" t="str">
        <f t="shared" si="340"/>
        <v>PEG</v>
      </c>
      <c r="D2657">
        <v>42</v>
      </c>
      <c r="E2657" t="str">
        <f>"356"</f>
        <v>356</v>
      </c>
      <c r="F2657" t="str">
        <f t="shared" si="341"/>
        <v>0000</v>
      </c>
    </row>
    <row r="2658" spans="1:6">
      <c r="A2658" t="str">
        <f>"E1158-1"</f>
        <v>E1158-1</v>
      </c>
      <c r="B2658" t="str">
        <f t="shared" si="339"/>
        <v>VIA IGNAZIO PALLAVICINI  11-</v>
      </c>
      <c r="C2658" t="str">
        <f t="shared" si="340"/>
        <v>PEG</v>
      </c>
      <c r="D2658">
        <v>42</v>
      </c>
      <c r="E2658" t="str">
        <f>"357"</f>
        <v>357</v>
      </c>
      <c r="F2658" t="str">
        <f t="shared" si="341"/>
        <v>0000</v>
      </c>
    </row>
    <row r="2659" spans="1:6">
      <c r="A2659" t="str">
        <f>"E1159-1"</f>
        <v>E1159-1</v>
      </c>
      <c r="B2659" t="str">
        <f t="shared" si="339"/>
        <v>VIA IGNAZIO PALLAVICINI  11-</v>
      </c>
      <c r="C2659" t="str">
        <f t="shared" si="340"/>
        <v>PEG</v>
      </c>
      <c r="D2659">
        <v>42</v>
      </c>
      <c r="E2659" t="str">
        <f>"358"</f>
        <v>358</v>
      </c>
      <c r="F2659" t="str">
        <f t="shared" si="341"/>
        <v>0000</v>
      </c>
    </row>
    <row r="2660" spans="1:6">
      <c r="A2660" t="str">
        <f>"E1160-1"</f>
        <v>E1160-1</v>
      </c>
      <c r="B2660" t="str">
        <f t="shared" si="339"/>
        <v>VIA IGNAZIO PALLAVICINI  11-</v>
      </c>
      <c r="C2660" t="str">
        <f t="shared" si="340"/>
        <v>PEG</v>
      </c>
      <c r="D2660">
        <v>42</v>
      </c>
      <c r="E2660" t="str">
        <f>"359"</f>
        <v>359</v>
      </c>
      <c r="F2660" t="str">
        <f t="shared" si="341"/>
        <v>0000</v>
      </c>
    </row>
    <row r="2661" spans="1:6">
      <c r="A2661" t="str">
        <f>"E1161-1"</f>
        <v>E1161-1</v>
      </c>
      <c r="B2661" t="str">
        <f t="shared" si="339"/>
        <v>VIA IGNAZIO PALLAVICINI  11-</v>
      </c>
      <c r="C2661" t="str">
        <f t="shared" si="340"/>
        <v>PEG</v>
      </c>
      <c r="D2661">
        <v>42</v>
      </c>
      <c r="E2661" t="str">
        <f>"360"</f>
        <v>360</v>
      </c>
      <c r="F2661" t="str">
        <f t="shared" si="341"/>
        <v>0000</v>
      </c>
    </row>
    <row r="2662" spans="1:6">
      <c r="A2662" t="str">
        <f>"E1162-1"</f>
        <v>E1162-1</v>
      </c>
      <c r="B2662" t="str">
        <f t="shared" si="339"/>
        <v>VIA IGNAZIO PALLAVICINI  11-</v>
      </c>
      <c r="C2662" t="str">
        <f t="shared" si="340"/>
        <v>PEG</v>
      </c>
      <c r="D2662">
        <v>42</v>
      </c>
      <c r="E2662" t="str">
        <f>"361"</f>
        <v>361</v>
      </c>
      <c r="F2662" t="str">
        <f t="shared" si="341"/>
        <v>0000</v>
      </c>
    </row>
    <row r="2663" spans="1:6">
      <c r="A2663" t="str">
        <f>"E1199-1"</f>
        <v>E1199-1</v>
      </c>
      <c r="B2663" t="str">
        <f>"VIA BRANEGA  20-"</f>
        <v>VIA BRANEGA  20-</v>
      </c>
      <c r="C2663" t="str">
        <f>"3"</f>
        <v>3</v>
      </c>
      <c r="D2663">
        <v>11</v>
      </c>
      <c r="E2663" t="str">
        <f>"116"</f>
        <v>116</v>
      </c>
      <c r="F2663" t="str">
        <f t="shared" si="341"/>
        <v>0000</v>
      </c>
    </row>
    <row r="2664" spans="1:6">
      <c r="C2664" t="str">
        <f>"3"</f>
        <v>3</v>
      </c>
      <c r="D2664">
        <v>11</v>
      </c>
      <c r="E2664" t="str">
        <f>"206"</f>
        <v>206</v>
      </c>
      <c r="F2664" t="str">
        <f t="shared" si="341"/>
        <v>0000</v>
      </c>
    </row>
    <row r="2665" spans="1:6">
      <c r="A2665" t="str">
        <f>"E1347-1"</f>
        <v>E1347-1</v>
      </c>
      <c r="B2665" t="str">
        <f>"VIA CAMPEGGIO VILLA DORIA  15-"</f>
        <v>VIA CAMPEGGIO VILLA DORIA  15-</v>
      </c>
      <c r="C2665" t="str">
        <f>"PEG"</f>
        <v>PEG</v>
      </c>
      <c r="D2665">
        <v>42</v>
      </c>
      <c r="E2665" t="str">
        <f>"862"</f>
        <v>862</v>
      </c>
      <c r="F2665" t="str">
        <f t="shared" si="341"/>
        <v>0000</v>
      </c>
    </row>
    <row r="2666" spans="1:6">
      <c r="A2666" t="str">
        <f>"E1420-1"</f>
        <v>E1420-1</v>
      </c>
      <c r="B2666" t="str">
        <f>"VICO NICOLO DA CORTE VICINO AL 4-"</f>
        <v>VICO NICOLO DA CORTE VICINO AL 4-</v>
      </c>
      <c r="C2666" t="str">
        <f>"2"</f>
        <v>2</v>
      </c>
      <c r="D2666">
        <v>30</v>
      </c>
      <c r="E2666" t="str">
        <f>"442"</f>
        <v>442</v>
      </c>
      <c r="F2666" t="str">
        <f t="shared" si="341"/>
        <v>0000</v>
      </c>
    </row>
    <row r="2667" spans="1:6">
      <c r="A2667" t="str">
        <f>"E1421-1"</f>
        <v>E1421-1</v>
      </c>
      <c r="B2667" t="str">
        <f>"VICO NICOLO DA CORTE VICINO AL 4-"</f>
        <v>VICO NICOLO DA CORTE VICINO AL 4-</v>
      </c>
      <c r="C2667" t="str">
        <f>"2"</f>
        <v>2</v>
      </c>
      <c r="D2667">
        <v>30</v>
      </c>
      <c r="E2667" t="str">
        <f>"439"</f>
        <v>439</v>
      </c>
      <c r="F2667" t="str">
        <f t="shared" si="341"/>
        <v>0000</v>
      </c>
    </row>
    <row r="2668" spans="1:6">
      <c r="A2668" t="str">
        <f>"E1422-1"</f>
        <v>E1422-1</v>
      </c>
      <c r="B2668" t="str">
        <f>"VICO NICOLO DA CORTE  4A-"</f>
        <v>VICO NICOLO DA CORTE  4A-</v>
      </c>
      <c r="C2668" t="str">
        <f>"2"</f>
        <v>2</v>
      </c>
      <c r="D2668">
        <v>30</v>
      </c>
      <c r="E2668" t="str">
        <f>"443"</f>
        <v>443</v>
      </c>
      <c r="F2668" t="str">
        <f t="shared" si="341"/>
        <v>0000</v>
      </c>
    </row>
    <row r="2669" spans="1:6">
      <c r="A2669" t="str">
        <f>"E1830-1"</f>
        <v>E1830-1</v>
      </c>
      <c r="B2669" t="str">
        <f>"VIA SAPELLO  2-"</f>
        <v>VIA SAPELLO  2-</v>
      </c>
      <c r="C2669" t="str">
        <f>"PRA"</f>
        <v>PRA</v>
      </c>
      <c r="D2669">
        <v>13</v>
      </c>
      <c r="E2669" t="str">
        <f>"195"</f>
        <v>195</v>
      </c>
      <c r="F2669" t="str">
        <f>"25"</f>
        <v>25</v>
      </c>
    </row>
    <row r="2670" spans="1:6">
      <c r="A2670" t="str">
        <f>"E1831-1"</f>
        <v>E1831-1</v>
      </c>
      <c r="B2670" t="str">
        <f>"LUNGOMARE DI PEGLI  239R-"</f>
        <v>LUNGOMARE DI PEGLI  239R-</v>
      </c>
      <c r="C2670" t="str">
        <f>"PEG"</f>
        <v>PEG</v>
      </c>
      <c r="D2670">
        <v>45</v>
      </c>
      <c r="E2670" t="str">
        <f>"259"</f>
        <v>259</v>
      </c>
      <c r="F2670" t="str">
        <f>"7"</f>
        <v>7</v>
      </c>
    </row>
    <row r="2671" spans="1:6">
      <c r="A2671" t="str">
        <f>"E1831-2"</f>
        <v>E1831-2</v>
      </c>
      <c r="B2671" t="str">
        <f>"LUNGOMARE DI PEGLI  67-"</f>
        <v>LUNGOMARE DI PEGLI  67-</v>
      </c>
      <c r="C2671" t="str">
        <f>"PEG"</f>
        <v>PEG</v>
      </c>
      <c r="D2671">
        <v>45</v>
      </c>
      <c r="E2671" t="str">
        <f>"259"</f>
        <v>259</v>
      </c>
      <c r="F2671" t="str">
        <f>"9"</f>
        <v>9</v>
      </c>
    </row>
    <row r="2672" spans="1:6">
      <c r="A2672" t="str">
        <f>"E1831-3"</f>
        <v>E1831-3</v>
      </c>
      <c r="B2672" t="str">
        <f>"LUNGOMARE DI PEGLI  67-"</f>
        <v>LUNGOMARE DI PEGLI  67-</v>
      </c>
      <c r="C2672" t="str">
        <f>"PEG"</f>
        <v>PEG</v>
      </c>
      <c r="D2672">
        <v>45</v>
      </c>
      <c r="E2672" t="str">
        <f>"259"</f>
        <v>259</v>
      </c>
      <c r="F2672" t="str">
        <f>"8"</f>
        <v>8</v>
      </c>
    </row>
    <row r="2673" spans="1:6">
      <c r="A2673" t="str">
        <f>"E1852-1"</f>
        <v>E1852-1</v>
      </c>
      <c r="B2673" t="str">
        <f>"VIA EVASIO MONTANELLA  4-"</f>
        <v>VIA EVASIO MONTANELLA  4-</v>
      </c>
      <c r="C2673" t="str">
        <f>"PRA"</f>
        <v>PRA</v>
      </c>
      <c r="D2673">
        <v>10</v>
      </c>
      <c r="E2673" t="str">
        <f>"545"</f>
        <v>545</v>
      </c>
      <c r="F2673" t="str">
        <f>"71"</f>
        <v>71</v>
      </c>
    </row>
    <row r="2674" spans="1:6">
      <c r="A2674" t="str">
        <f>"E1856-1"</f>
        <v>E1856-1</v>
      </c>
      <c r="B2674" t="str">
        <f>"VIA PIERO CALAMANDREI  65C-"</f>
        <v>VIA PIERO CALAMANDREI  65C-</v>
      </c>
      <c r="C2674" t="str">
        <f>"VOL"</f>
        <v>VOL</v>
      </c>
      <c r="D2674">
        <v>30</v>
      </c>
      <c r="E2674" t="str">
        <f>"1321"</f>
        <v>1321</v>
      </c>
      <c r="F2674" t="str">
        <f>"0000"</f>
        <v>0000</v>
      </c>
    </row>
    <row r="2675" spans="1:6">
      <c r="A2675" t="str">
        <f>"E1869-1"</f>
        <v>E1869-1</v>
      </c>
      <c r="B2675" t="str">
        <f>"VIA PRA  116CR-"</f>
        <v>VIA PRA  116CR-</v>
      </c>
      <c r="C2675" t="str">
        <f>"PRA"</f>
        <v>PRA</v>
      </c>
      <c r="D2675">
        <v>13</v>
      </c>
      <c r="E2675" t="str">
        <f>"711"</f>
        <v>711</v>
      </c>
      <c r="F2675" t="str">
        <f>"0000"</f>
        <v>0000</v>
      </c>
    </row>
    <row r="2676" spans="1:6">
      <c r="A2676" t="str">
        <f>"E1877-1"</f>
        <v>E1877-1</v>
      </c>
      <c r="B2676" t="str">
        <f>"VIA CARLO CAMOZZINI VICINO AL 146R-"</f>
        <v>VIA CARLO CAMOZZINI VICINO AL 146R-</v>
      </c>
      <c r="C2676" t="str">
        <f>"2"</f>
        <v>2</v>
      </c>
      <c r="D2676">
        <v>31</v>
      </c>
      <c r="E2676" t="str">
        <f>"432"</f>
        <v>432</v>
      </c>
      <c r="F2676" t="str">
        <f>"0000"</f>
        <v>0000</v>
      </c>
    </row>
    <row r="2677" spans="1:6">
      <c r="A2677" t="str">
        <f>"E1884-1"</f>
        <v>E1884-1</v>
      </c>
      <c r="B2677" t="str">
        <f>"VIA PRA  43B-"</f>
        <v>VIA PRA  43B-</v>
      </c>
      <c r="C2677" t="str">
        <f>"3"</f>
        <v>3</v>
      </c>
      <c r="D2677">
        <v>14</v>
      </c>
      <c r="E2677" t="str">
        <f>"687"</f>
        <v>687</v>
      </c>
      <c r="F2677" t="str">
        <f>"0000"</f>
        <v>0000</v>
      </c>
    </row>
    <row r="2678" spans="1:6">
      <c r="A2678" t="str">
        <f>"E1889-1"</f>
        <v>E1889-1</v>
      </c>
      <c r="B2678" t="str">
        <f>"VIA SAN REMO  122-"</f>
        <v>VIA SAN REMO  122-</v>
      </c>
      <c r="C2678" t="str">
        <f>"PRA"</f>
        <v>PRA</v>
      </c>
      <c r="D2678">
        <v>12</v>
      </c>
      <c r="E2678" t="str">
        <f>"362"</f>
        <v>362</v>
      </c>
      <c r="F2678" t="str">
        <f>"79"</f>
        <v>79</v>
      </c>
    </row>
    <row r="2679" spans="1:6">
      <c r="C2679" t="str">
        <f>"PRA"</f>
        <v>PRA</v>
      </c>
      <c r="D2679">
        <v>12</v>
      </c>
      <c r="E2679" t="str">
        <f>"375"</f>
        <v>375</v>
      </c>
      <c r="F2679" t="str">
        <f>"2"</f>
        <v>2</v>
      </c>
    </row>
    <row r="2680" spans="1:6">
      <c r="A2680" t="str">
        <f>"E1931-1"</f>
        <v>E1931-1</v>
      </c>
      <c r="B2680" t="str">
        <f>"VIA PRA  61-"</f>
        <v>VIA PRA  61-</v>
      </c>
      <c r="C2680" t="str">
        <f>"PRA"</f>
        <v>PRA</v>
      </c>
      <c r="D2680">
        <v>12</v>
      </c>
      <c r="E2680" t="str">
        <f>"153"</f>
        <v>153</v>
      </c>
      <c r="F2680" t="str">
        <f>"14"</f>
        <v>14</v>
      </c>
    </row>
    <row r="2681" spans="1:6">
      <c r="C2681" t="str">
        <f>"PRA"</f>
        <v>PRA</v>
      </c>
      <c r="D2681">
        <v>12</v>
      </c>
      <c r="E2681" t="str">
        <f>"154"</f>
        <v>154</v>
      </c>
      <c r="F2681" t="str">
        <f>"3"</f>
        <v>3</v>
      </c>
    </row>
    <row r="2682" spans="1:6">
      <c r="A2682" t="str">
        <f>"E1967-1"</f>
        <v>E1967-1</v>
      </c>
      <c r="B2682" t="str">
        <f>"VICO PELLEGRO MARUFFO  1-"</f>
        <v>VICO PELLEGRO MARUFFO  1-</v>
      </c>
      <c r="C2682" t="str">
        <f>"VOL"</f>
        <v>VOL</v>
      </c>
      <c r="D2682">
        <v>31</v>
      </c>
      <c r="E2682" t="str">
        <f>"441"</f>
        <v>441</v>
      </c>
      <c r="F2682" t="str">
        <f>"17"</f>
        <v>17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36"/>
  <sheetViews>
    <sheetView workbookViewId="0"/>
  </sheetViews>
  <sheetFormatPr defaultRowHeight="12.75"/>
  <cols>
    <col min="1" max="1" width="19.5703125" bestFit="1" customWidth="1"/>
    <col min="2" max="2" width="42.710937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"E117-1"</f>
        <v>E117-1</v>
      </c>
      <c r="B2" t="str">
        <f>"VIA ALBERTO LIRI  8-"</f>
        <v>VIA ALBERTO LIRI  8-</v>
      </c>
      <c r="C2" t="str">
        <f>"1"</f>
        <v>1</v>
      </c>
      <c r="D2">
        <v>88</v>
      </c>
      <c r="E2" t="str">
        <f>"219"</f>
        <v>219</v>
      </c>
      <c r="F2" t="str">
        <f>"0000"</f>
        <v>0000</v>
      </c>
    </row>
    <row r="4" spans="1:6">
      <c r="A4" t="str">
        <f>"E127-1"</f>
        <v>E127-1</v>
      </c>
      <c r="B4" t="str">
        <f>"VIA FELICE CAVALLOTTI  10-"</f>
        <v>VIA FELICE CAVALLOTTI  10-</v>
      </c>
      <c r="C4" t="str">
        <f>"1"</f>
        <v>1</v>
      </c>
      <c r="D4">
        <v>93</v>
      </c>
      <c r="E4" t="str">
        <f>"1063"</f>
        <v>1063</v>
      </c>
      <c r="F4" t="str">
        <f>"0000"</f>
        <v>0000</v>
      </c>
    </row>
    <row r="5" spans="1:6">
      <c r="C5" t="str">
        <f>"1"</f>
        <v>1</v>
      </c>
      <c r="D5">
        <v>93</v>
      </c>
      <c r="E5" t="str">
        <f>"643"</f>
        <v>643</v>
      </c>
      <c r="F5" t="str">
        <f>"0000"</f>
        <v>0000</v>
      </c>
    </row>
    <row r="6" spans="1:6">
      <c r="A6" t="str">
        <f>"E167-2"</f>
        <v>E167-2</v>
      </c>
      <c r="B6" t="str">
        <f>"VIA AURORA  8R-"</f>
        <v>VIA AURORA  8R-</v>
      </c>
      <c r="C6" t="str">
        <f>"GEB"</f>
        <v>GEB</v>
      </c>
      <c r="D6">
        <v>72</v>
      </c>
      <c r="E6" t="str">
        <f>"399"</f>
        <v>399</v>
      </c>
      <c r="F6" t="str">
        <f>"1"</f>
        <v>1</v>
      </c>
    </row>
    <row r="7" spans="1:6">
      <c r="A7" t="str">
        <f>"E168-1"</f>
        <v>E168-1</v>
      </c>
      <c r="B7" t="str">
        <f>"V MEDAGLIE D'ORO DI LUNGA  2-"</f>
        <v>V MEDAGLIE D'ORO DI LUNGA  2-</v>
      </c>
      <c r="C7" t="str">
        <f>"GEB"</f>
        <v>GEB</v>
      </c>
      <c r="D7">
        <v>68</v>
      </c>
      <c r="E7" t="str">
        <f>"568"</f>
        <v>568</v>
      </c>
      <c r="F7" t="str">
        <f>"0000"</f>
        <v>0000</v>
      </c>
    </row>
    <row r="8" spans="1:6">
      <c r="A8" t="str">
        <f>"E169-1"</f>
        <v>E169-1</v>
      </c>
      <c r="B8" t="str">
        <f>"VIA CESARE BATTISTI  6-"</f>
        <v>VIA CESARE BATTISTI  6-</v>
      </c>
      <c r="C8" t="str">
        <f>"GEB"</f>
        <v>GEB</v>
      </c>
      <c r="D8">
        <v>66</v>
      </c>
      <c r="E8" t="str">
        <f>"766"</f>
        <v>766</v>
      </c>
      <c r="F8" t="str">
        <f>"1"</f>
        <v>1</v>
      </c>
    </row>
    <row r="9" spans="1:6">
      <c r="A9" t="str">
        <f>"E169-2"</f>
        <v>E169-2</v>
      </c>
      <c r="B9" t="str">
        <f>"VIA CADORE  1-"</f>
        <v>VIA CADORE  1-</v>
      </c>
      <c r="C9" t="str">
        <f>"1"</f>
        <v>1</v>
      </c>
      <c r="D9">
        <v>87</v>
      </c>
      <c r="E9" t="str">
        <f>"469"</f>
        <v>469</v>
      </c>
      <c r="F9" t="str">
        <f>"0000"</f>
        <v>0000</v>
      </c>
    </row>
    <row r="10" spans="1:6">
      <c r="C10" t="str">
        <f>"1"</f>
        <v>1</v>
      </c>
      <c r="D10">
        <v>87</v>
      </c>
      <c r="E10" t="str">
        <f>"532"</f>
        <v>532</v>
      </c>
      <c r="F10" t="str">
        <f>"0000"</f>
        <v>0000</v>
      </c>
    </row>
    <row r="11" spans="1:6">
      <c r="A11" t="str">
        <f>"E173-1"</f>
        <v>E173-1</v>
      </c>
      <c r="B11" t="str">
        <f>"CORSO ITALIA  18R-"</f>
        <v>CORSO ITALIA  18R-</v>
      </c>
      <c r="C11" t="str">
        <f>"GEB"</f>
        <v>GEB</v>
      </c>
      <c r="D11">
        <v>68</v>
      </c>
      <c r="E11" t="str">
        <f>"124"</f>
        <v>124</v>
      </c>
      <c r="F11" t="str">
        <f>"1"</f>
        <v>1</v>
      </c>
    </row>
    <row r="12" spans="1:6">
      <c r="A12" t="str">
        <f>"E173-2"</f>
        <v>E173-2</v>
      </c>
      <c r="B12" t="str">
        <f>"CORSO ITALIA VICINO AL 20-"</f>
        <v>CORSO ITALIA VICINO AL 20-</v>
      </c>
      <c r="C12" t="str">
        <f>"GEB"</f>
        <v>GEB</v>
      </c>
      <c r="D12">
        <v>68</v>
      </c>
      <c r="E12" t="str">
        <f>"124"</f>
        <v>124</v>
      </c>
      <c r="F12" t="str">
        <f>"2"</f>
        <v>2</v>
      </c>
    </row>
    <row r="13" spans="1:6">
      <c r="A13" t="str">
        <f>"E174-1"</f>
        <v>E174-1</v>
      </c>
      <c r="B13" t="str">
        <f>"VIA BOCCADASSE VICINO AL 33-"</f>
        <v>VIA BOCCADASSE VICINO AL 33-</v>
      </c>
      <c r="C13" t="str">
        <f t="shared" ref="C13:C18" si="0">"1"</f>
        <v>1</v>
      </c>
      <c r="D13">
        <v>93</v>
      </c>
      <c r="E13" t="str">
        <f>"99999"</f>
        <v>99999</v>
      </c>
      <c r="F13" t="str">
        <f t="shared" ref="F13:F18" si="1">"0000"</f>
        <v>0000</v>
      </c>
    </row>
    <row r="14" spans="1:6">
      <c r="A14" t="str">
        <f>"E177-1"</f>
        <v>E177-1</v>
      </c>
      <c r="B14" t="str">
        <f>"VIA FEDERICO RICCI  1-"</f>
        <v>VIA FEDERICO RICCI  1-</v>
      </c>
      <c r="C14" t="str">
        <f t="shared" si="0"/>
        <v>1</v>
      </c>
      <c r="D14">
        <v>90</v>
      </c>
      <c r="E14" t="str">
        <f>"117"</f>
        <v>117</v>
      </c>
      <c r="F14" t="str">
        <f t="shared" si="1"/>
        <v>0000</v>
      </c>
    </row>
    <row r="15" spans="1:6">
      <c r="C15" t="str">
        <f t="shared" si="0"/>
        <v>1</v>
      </c>
      <c r="D15">
        <v>90</v>
      </c>
      <c r="E15" t="str">
        <f>"447"</f>
        <v>447</v>
      </c>
      <c r="F15" t="str">
        <f t="shared" si="1"/>
        <v>0000</v>
      </c>
    </row>
    <row r="16" spans="1:6">
      <c r="C16" t="str">
        <f t="shared" si="0"/>
        <v>1</v>
      </c>
      <c r="D16">
        <v>90</v>
      </c>
      <c r="E16" t="str">
        <f>"58"</f>
        <v>58</v>
      </c>
      <c r="F16" t="str">
        <f t="shared" si="1"/>
        <v>0000</v>
      </c>
    </row>
    <row r="17" spans="1:6">
      <c r="C17" t="str">
        <f t="shared" si="0"/>
        <v>1</v>
      </c>
      <c r="D17">
        <v>90</v>
      </c>
      <c r="E17" t="str">
        <f>"61"</f>
        <v>61</v>
      </c>
      <c r="F17" t="str">
        <f t="shared" si="1"/>
        <v>0000</v>
      </c>
    </row>
    <row r="18" spans="1:6">
      <c r="C18" t="str">
        <f t="shared" si="0"/>
        <v>1</v>
      </c>
      <c r="D18">
        <v>90</v>
      </c>
      <c r="E18" t="str">
        <f>"446"</f>
        <v>446</v>
      </c>
      <c r="F18" t="str">
        <f t="shared" si="1"/>
        <v>0000</v>
      </c>
    </row>
    <row r="19" spans="1:6">
      <c r="A19" t="str">
        <f>"E180-1"</f>
        <v>E180-1</v>
      </c>
      <c r="B19" t="str">
        <f>"VIALE NAZARIO SAURO VICINO AL 2-"</f>
        <v>VIALE NAZARIO SAURO VICINO AL 2-</v>
      </c>
      <c r="C19" t="str">
        <f t="shared" ref="C19:C38" si="2">"GEB"</f>
        <v>GEB</v>
      </c>
      <c r="D19">
        <v>69</v>
      </c>
      <c r="E19" t="str">
        <f>"201"</f>
        <v>201</v>
      </c>
      <c r="F19" t="str">
        <f>"1"</f>
        <v>1</v>
      </c>
    </row>
    <row r="20" spans="1:6">
      <c r="A20" t="str">
        <f>"E180-2"</f>
        <v>E180-2</v>
      </c>
      <c r="B20" t="str">
        <f>"VIALE NAZARIO SAURO VICINO AL 2-"</f>
        <v>VIALE NAZARIO SAURO VICINO AL 2-</v>
      </c>
      <c r="C20" t="str">
        <f t="shared" si="2"/>
        <v>GEB</v>
      </c>
      <c r="D20">
        <v>69</v>
      </c>
      <c r="E20" t="str">
        <f>"201"</f>
        <v>201</v>
      </c>
      <c r="F20" t="str">
        <f>"2"</f>
        <v>2</v>
      </c>
    </row>
    <row r="21" spans="1:6">
      <c r="A21" t="str">
        <f>"E181-3"</f>
        <v>E181-3</v>
      </c>
      <c r="B21" t="str">
        <f>"VIA NIZZA  23R-"</f>
        <v>VIA NIZZA  23R-</v>
      </c>
      <c r="C21" t="str">
        <f t="shared" si="2"/>
        <v>GEB</v>
      </c>
      <c r="D21">
        <v>66</v>
      </c>
      <c r="E21" t="str">
        <f>"406"</f>
        <v>406</v>
      </c>
      <c r="F21" t="str">
        <f>"1"</f>
        <v>1</v>
      </c>
    </row>
    <row r="22" spans="1:6">
      <c r="A22" t="str">
        <f>"E182-2"</f>
        <v>E182-2</v>
      </c>
      <c r="B22" t="str">
        <f>"VIALE FRANCESCO GAMBARO VICINO AL 21-"</f>
        <v>VIALE FRANCESCO GAMBARO VICINO AL 21-</v>
      </c>
      <c r="C22" t="str">
        <f t="shared" si="2"/>
        <v>GEB</v>
      </c>
      <c r="D22">
        <v>61</v>
      </c>
      <c r="E22" t="str">
        <f>"882"</f>
        <v>882</v>
      </c>
      <c r="F22" t="str">
        <f t="shared" ref="F22:F27" si="3">"0000"</f>
        <v>0000</v>
      </c>
    </row>
    <row r="23" spans="1:6">
      <c r="A23" t="str">
        <f>"E183-1"</f>
        <v>E183-1</v>
      </c>
      <c r="B23" t="str">
        <f>"VIALE FRANCESCO GAMBARO VICINO AL 50-"</f>
        <v>VIALE FRANCESCO GAMBARO VICINO AL 50-</v>
      </c>
      <c r="C23" t="str">
        <f t="shared" si="2"/>
        <v>GEB</v>
      </c>
      <c r="D23">
        <v>61</v>
      </c>
      <c r="E23" t="str">
        <f>"882"</f>
        <v>882</v>
      </c>
      <c r="F23" t="str">
        <f t="shared" si="3"/>
        <v>0000</v>
      </c>
    </row>
    <row r="24" spans="1:6">
      <c r="A24" t="str">
        <f>"E184-1"</f>
        <v>E184-1</v>
      </c>
      <c r="B24" t="str">
        <f>"VIALE FRANCESCO GAMBARO VICINO AL 21-"</f>
        <v>VIALE FRANCESCO GAMBARO VICINO AL 21-</v>
      </c>
      <c r="C24" t="str">
        <f t="shared" si="2"/>
        <v>GEB</v>
      </c>
      <c r="D24">
        <v>61</v>
      </c>
      <c r="E24" t="str">
        <f>"150"</f>
        <v>150</v>
      </c>
      <c r="F24" t="str">
        <f t="shared" si="3"/>
        <v>0000</v>
      </c>
    </row>
    <row r="25" spans="1:6">
      <c r="C25" t="str">
        <f t="shared" si="2"/>
        <v>GEB</v>
      </c>
      <c r="D25">
        <v>61</v>
      </c>
      <c r="E25" t="str">
        <f>"162"</f>
        <v>162</v>
      </c>
      <c r="F25" t="str">
        <f t="shared" si="3"/>
        <v>0000</v>
      </c>
    </row>
    <row r="26" spans="1:6">
      <c r="A26" t="str">
        <f>"E186-1"</f>
        <v>E186-1</v>
      </c>
      <c r="B26" t="str">
        <f>"VIALE FRANCESCO GAMBARO VICINO AL 21-"</f>
        <v>VIALE FRANCESCO GAMBARO VICINO AL 21-</v>
      </c>
      <c r="C26" t="str">
        <f t="shared" si="2"/>
        <v>GEB</v>
      </c>
      <c r="D26">
        <v>61</v>
      </c>
      <c r="E26" t="str">
        <f>"880"</f>
        <v>880</v>
      </c>
      <c r="F26" t="str">
        <f t="shared" si="3"/>
        <v>0000</v>
      </c>
    </row>
    <row r="27" spans="1:6">
      <c r="C27" t="str">
        <f t="shared" si="2"/>
        <v>GEB</v>
      </c>
      <c r="D27">
        <v>60</v>
      </c>
      <c r="E27" t="str">
        <f>"160"</f>
        <v>160</v>
      </c>
      <c r="F27" t="str">
        <f t="shared" si="3"/>
        <v>0000</v>
      </c>
    </row>
    <row r="28" spans="1:6">
      <c r="A28" t="str">
        <f>"E188-1"</f>
        <v>E188-1</v>
      </c>
      <c r="B28" t="str">
        <f>"VIA MONTALLEGRO  1-"</f>
        <v>VIA MONTALLEGRO  1-</v>
      </c>
      <c r="C28" t="str">
        <f t="shared" si="2"/>
        <v>GEB</v>
      </c>
      <c r="D28">
        <v>60</v>
      </c>
      <c r="E28" t="str">
        <f>"164"</f>
        <v>164</v>
      </c>
      <c r="F28" t="str">
        <f>"1"</f>
        <v>1</v>
      </c>
    </row>
    <row r="29" spans="1:6">
      <c r="C29" t="str">
        <f t="shared" si="2"/>
        <v>GEB</v>
      </c>
      <c r="D29">
        <v>60</v>
      </c>
      <c r="E29" t="str">
        <f>"174"</f>
        <v>174</v>
      </c>
      <c r="F29" t="str">
        <f>"0000"</f>
        <v>0000</v>
      </c>
    </row>
    <row r="30" spans="1:6">
      <c r="C30" t="str">
        <f t="shared" si="2"/>
        <v>GEB</v>
      </c>
      <c r="D30">
        <v>60</v>
      </c>
      <c r="E30" t="str">
        <f>"175"</f>
        <v>175</v>
      </c>
      <c r="F30" t="str">
        <f>"0000"</f>
        <v>0000</v>
      </c>
    </row>
    <row r="31" spans="1:6">
      <c r="C31" t="str">
        <f t="shared" si="2"/>
        <v>GEB</v>
      </c>
      <c r="D31">
        <v>60</v>
      </c>
      <c r="E31" t="str">
        <f>"173"</f>
        <v>173</v>
      </c>
      <c r="F31" t="str">
        <f>"0000"</f>
        <v>0000</v>
      </c>
    </row>
    <row r="32" spans="1:6">
      <c r="C32" t="str">
        <f t="shared" si="2"/>
        <v>GEB</v>
      </c>
      <c r="D32">
        <v>60</v>
      </c>
      <c r="E32" t="str">
        <f>"161"</f>
        <v>161</v>
      </c>
      <c r="F32" t="str">
        <f>"3"</f>
        <v>3</v>
      </c>
    </row>
    <row r="33" spans="1:6">
      <c r="C33" t="str">
        <f t="shared" si="2"/>
        <v>GEB</v>
      </c>
      <c r="D33">
        <v>60</v>
      </c>
      <c r="E33" t="str">
        <f>"162"</f>
        <v>162</v>
      </c>
      <c r="F33" t="str">
        <f>"3"</f>
        <v>3</v>
      </c>
    </row>
    <row r="34" spans="1:6">
      <c r="A34" t="str">
        <f>"E188-2"</f>
        <v>E188-2</v>
      </c>
      <c r="B34" t="str">
        <f>"VIA MONTALLEGRO  1-"</f>
        <v>VIA MONTALLEGRO  1-</v>
      </c>
      <c r="C34" t="str">
        <f t="shared" si="2"/>
        <v>GEB</v>
      </c>
      <c r="D34">
        <v>60</v>
      </c>
      <c r="E34" t="str">
        <f>"161"</f>
        <v>161</v>
      </c>
      <c r="F34" t="str">
        <f>"1"</f>
        <v>1</v>
      </c>
    </row>
    <row r="35" spans="1:6">
      <c r="C35" t="str">
        <f t="shared" si="2"/>
        <v>GEB</v>
      </c>
      <c r="D35">
        <v>60</v>
      </c>
      <c r="E35" t="str">
        <f>"162"</f>
        <v>162</v>
      </c>
      <c r="F35" t="str">
        <f>"2"</f>
        <v>2</v>
      </c>
    </row>
    <row r="36" spans="1:6">
      <c r="A36" t="str">
        <f>"E188-3"</f>
        <v>E188-3</v>
      </c>
      <c r="B36" t="str">
        <f>"VIA MONTALLEGRO  1-"</f>
        <v>VIA MONTALLEGRO  1-</v>
      </c>
      <c r="C36" t="str">
        <f t="shared" si="2"/>
        <v>GEB</v>
      </c>
      <c r="D36">
        <v>60</v>
      </c>
      <c r="E36" t="str">
        <f>"161"</f>
        <v>161</v>
      </c>
      <c r="F36" t="str">
        <f>"2"</f>
        <v>2</v>
      </c>
    </row>
    <row r="37" spans="1:6">
      <c r="C37" t="str">
        <f t="shared" si="2"/>
        <v>GEB</v>
      </c>
      <c r="D37">
        <v>60</v>
      </c>
      <c r="E37" t="str">
        <f>"162"</f>
        <v>162</v>
      </c>
      <c r="F37" t="str">
        <f>"1"</f>
        <v>1</v>
      </c>
    </row>
    <row r="38" spans="1:6">
      <c r="A38" t="str">
        <f>"E188-4"</f>
        <v>E188-4</v>
      </c>
      <c r="B38" t="str">
        <f>"VIA MONTALLEGRO  1-"</f>
        <v>VIA MONTALLEGRO  1-</v>
      </c>
      <c r="C38" t="str">
        <f t="shared" si="2"/>
        <v>GEB</v>
      </c>
      <c r="D38">
        <v>60</v>
      </c>
      <c r="E38" t="str">
        <f>"164"</f>
        <v>164</v>
      </c>
      <c r="F38" t="str">
        <f>"2"</f>
        <v>2</v>
      </c>
    </row>
    <row r="39" spans="1:6">
      <c r="A39" t="str">
        <f>"E188-5"</f>
        <v>E188-5</v>
      </c>
      <c r="B39" t="str">
        <f>"VIA MONTALLEGRO  1-"</f>
        <v>VIA MONTALLEGRO  1-</v>
      </c>
      <c r="C39" t="str">
        <f t="shared" ref="C39:C74" si="4">"1"</f>
        <v>1</v>
      </c>
      <c r="D39">
        <v>74</v>
      </c>
      <c r="E39" t="str">
        <f>"165"</f>
        <v>165</v>
      </c>
      <c r="F39" t="str">
        <f t="shared" ref="F39:F74" si="5">"0000"</f>
        <v>0000</v>
      </c>
    </row>
    <row r="40" spans="1:6">
      <c r="C40" t="str">
        <f t="shared" si="4"/>
        <v>1</v>
      </c>
      <c r="D40">
        <v>74</v>
      </c>
      <c r="E40" t="str">
        <f>"320"</f>
        <v>320</v>
      </c>
      <c r="F40" t="str">
        <f t="shared" si="5"/>
        <v>0000</v>
      </c>
    </row>
    <row r="41" spans="1:6">
      <c r="C41" t="str">
        <f t="shared" si="4"/>
        <v>1</v>
      </c>
      <c r="D41">
        <v>74</v>
      </c>
      <c r="E41" t="str">
        <f>"423"</f>
        <v>423</v>
      </c>
      <c r="F41" t="str">
        <f t="shared" si="5"/>
        <v>0000</v>
      </c>
    </row>
    <row r="42" spans="1:6">
      <c r="C42" t="str">
        <f t="shared" si="4"/>
        <v>1</v>
      </c>
      <c r="D42">
        <v>74</v>
      </c>
      <c r="E42" t="str">
        <f>"425"</f>
        <v>425</v>
      </c>
      <c r="F42" t="str">
        <f t="shared" si="5"/>
        <v>0000</v>
      </c>
    </row>
    <row r="43" spans="1:6">
      <c r="C43" t="str">
        <f t="shared" si="4"/>
        <v>1</v>
      </c>
      <c r="D43">
        <v>74</v>
      </c>
      <c r="E43" t="str">
        <f>"424"</f>
        <v>424</v>
      </c>
      <c r="F43" t="str">
        <f t="shared" si="5"/>
        <v>0000</v>
      </c>
    </row>
    <row r="44" spans="1:6">
      <c r="C44" t="str">
        <f t="shared" si="4"/>
        <v>1</v>
      </c>
      <c r="D44">
        <v>74</v>
      </c>
      <c r="E44" t="str">
        <f>"422"</f>
        <v>422</v>
      </c>
      <c r="F44" t="str">
        <f t="shared" si="5"/>
        <v>0000</v>
      </c>
    </row>
    <row r="45" spans="1:6">
      <c r="C45" t="str">
        <f t="shared" si="4"/>
        <v>1</v>
      </c>
      <c r="D45">
        <v>74</v>
      </c>
      <c r="E45" t="str">
        <f>"180"</f>
        <v>180</v>
      </c>
      <c r="F45" t="str">
        <f t="shared" si="5"/>
        <v>0000</v>
      </c>
    </row>
    <row r="46" spans="1:6">
      <c r="C46" t="str">
        <f t="shared" si="4"/>
        <v>1</v>
      </c>
      <c r="D46">
        <v>74</v>
      </c>
      <c r="E46" t="str">
        <f>"175"</f>
        <v>175</v>
      </c>
      <c r="F46" t="str">
        <f t="shared" si="5"/>
        <v>0000</v>
      </c>
    </row>
    <row r="47" spans="1:6">
      <c r="C47" t="str">
        <f t="shared" si="4"/>
        <v>1</v>
      </c>
      <c r="D47">
        <v>74</v>
      </c>
      <c r="E47" t="str">
        <f>"177"</f>
        <v>177</v>
      </c>
      <c r="F47" t="str">
        <f t="shared" si="5"/>
        <v>0000</v>
      </c>
    </row>
    <row r="48" spans="1:6">
      <c r="C48" t="str">
        <f t="shared" si="4"/>
        <v>1</v>
      </c>
      <c r="D48">
        <v>74</v>
      </c>
      <c r="E48" t="str">
        <f>"179"</f>
        <v>179</v>
      </c>
      <c r="F48" t="str">
        <f t="shared" si="5"/>
        <v>0000</v>
      </c>
    </row>
    <row r="49" spans="1:6">
      <c r="C49" t="str">
        <f t="shared" si="4"/>
        <v>1</v>
      </c>
      <c r="D49">
        <v>74</v>
      </c>
      <c r="E49" t="str">
        <f>"178"</f>
        <v>178</v>
      </c>
      <c r="F49" t="str">
        <f t="shared" si="5"/>
        <v>0000</v>
      </c>
    </row>
    <row r="50" spans="1:6">
      <c r="C50" t="str">
        <f t="shared" si="4"/>
        <v>1</v>
      </c>
      <c r="D50">
        <v>74</v>
      </c>
      <c r="E50" t="str">
        <f>"174"</f>
        <v>174</v>
      </c>
      <c r="F50" t="str">
        <f t="shared" si="5"/>
        <v>0000</v>
      </c>
    </row>
    <row r="51" spans="1:6">
      <c r="A51" t="str">
        <f>"E188-6"</f>
        <v>E188-6</v>
      </c>
      <c r="B51" t="str">
        <f>"VIA MONTALLEGRO  1-"</f>
        <v>VIA MONTALLEGRO  1-</v>
      </c>
      <c r="C51" t="str">
        <f t="shared" si="4"/>
        <v>1</v>
      </c>
      <c r="D51">
        <v>74</v>
      </c>
      <c r="E51" t="str">
        <f>"165"</f>
        <v>165</v>
      </c>
      <c r="F51" t="str">
        <f t="shared" si="5"/>
        <v>0000</v>
      </c>
    </row>
    <row r="52" spans="1:6">
      <c r="C52" t="str">
        <f t="shared" si="4"/>
        <v>1</v>
      </c>
      <c r="D52">
        <v>74</v>
      </c>
      <c r="E52" t="str">
        <f>"177"</f>
        <v>177</v>
      </c>
      <c r="F52" t="str">
        <f t="shared" si="5"/>
        <v>0000</v>
      </c>
    </row>
    <row r="53" spans="1:6">
      <c r="C53" t="str">
        <f t="shared" si="4"/>
        <v>1</v>
      </c>
      <c r="D53">
        <v>74</v>
      </c>
      <c r="E53" t="str">
        <f>"179"</f>
        <v>179</v>
      </c>
      <c r="F53" t="str">
        <f t="shared" si="5"/>
        <v>0000</v>
      </c>
    </row>
    <row r="54" spans="1:6">
      <c r="C54" t="str">
        <f t="shared" si="4"/>
        <v>1</v>
      </c>
      <c r="D54">
        <v>74</v>
      </c>
      <c r="E54" t="str">
        <f>"320"</f>
        <v>320</v>
      </c>
      <c r="F54" t="str">
        <f t="shared" si="5"/>
        <v>0000</v>
      </c>
    </row>
    <row r="55" spans="1:6">
      <c r="C55" t="str">
        <f t="shared" si="4"/>
        <v>1</v>
      </c>
      <c r="D55">
        <v>74</v>
      </c>
      <c r="E55" t="str">
        <f>"423"</f>
        <v>423</v>
      </c>
      <c r="F55" t="str">
        <f t="shared" si="5"/>
        <v>0000</v>
      </c>
    </row>
    <row r="56" spans="1:6">
      <c r="C56" t="str">
        <f t="shared" si="4"/>
        <v>1</v>
      </c>
      <c r="D56">
        <v>74</v>
      </c>
      <c r="E56" t="str">
        <f>"425"</f>
        <v>425</v>
      </c>
      <c r="F56" t="str">
        <f t="shared" si="5"/>
        <v>0000</v>
      </c>
    </row>
    <row r="57" spans="1:6">
      <c r="C57" t="str">
        <f t="shared" si="4"/>
        <v>1</v>
      </c>
      <c r="D57">
        <v>74</v>
      </c>
      <c r="E57" t="str">
        <f>"424"</f>
        <v>424</v>
      </c>
      <c r="F57" t="str">
        <f t="shared" si="5"/>
        <v>0000</v>
      </c>
    </row>
    <row r="58" spans="1:6">
      <c r="C58" t="str">
        <f t="shared" si="4"/>
        <v>1</v>
      </c>
      <c r="D58">
        <v>74</v>
      </c>
      <c r="E58" t="str">
        <f>"422"</f>
        <v>422</v>
      </c>
      <c r="F58" t="str">
        <f t="shared" si="5"/>
        <v>0000</v>
      </c>
    </row>
    <row r="59" spans="1:6">
      <c r="C59" t="str">
        <f t="shared" si="4"/>
        <v>1</v>
      </c>
      <c r="D59">
        <v>74</v>
      </c>
      <c r="E59" t="str">
        <f>"180"</f>
        <v>180</v>
      </c>
      <c r="F59" t="str">
        <f t="shared" si="5"/>
        <v>0000</v>
      </c>
    </row>
    <row r="60" spans="1:6">
      <c r="C60" t="str">
        <f t="shared" si="4"/>
        <v>1</v>
      </c>
      <c r="D60">
        <v>74</v>
      </c>
      <c r="E60" t="str">
        <f>"178"</f>
        <v>178</v>
      </c>
      <c r="F60" t="str">
        <f t="shared" si="5"/>
        <v>0000</v>
      </c>
    </row>
    <row r="61" spans="1:6">
      <c r="C61" t="str">
        <f t="shared" si="4"/>
        <v>1</v>
      </c>
      <c r="D61">
        <v>74</v>
      </c>
      <c r="E61" t="str">
        <f>"174"</f>
        <v>174</v>
      </c>
      <c r="F61" t="str">
        <f t="shared" si="5"/>
        <v>0000</v>
      </c>
    </row>
    <row r="62" spans="1:6">
      <c r="C62" t="str">
        <f t="shared" si="4"/>
        <v>1</v>
      </c>
      <c r="D62">
        <v>74</v>
      </c>
      <c r="E62" t="str">
        <f>"175"</f>
        <v>175</v>
      </c>
      <c r="F62" t="str">
        <f t="shared" si="5"/>
        <v>0000</v>
      </c>
    </row>
    <row r="63" spans="1:6">
      <c r="A63" t="str">
        <f>"E188-7"</f>
        <v>E188-7</v>
      </c>
      <c r="B63" t="str">
        <f>"VIA MONTALLEGRO  1-"</f>
        <v>VIA MONTALLEGRO  1-</v>
      </c>
      <c r="C63" t="str">
        <f t="shared" si="4"/>
        <v>1</v>
      </c>
      <c r="D63">
        <v>74</v>
      </c>
      <c r="E63" t="str">
        <f>"165"</f>
        <v>165</v>
      </c>
      <c r="F63" t="str">
        <f t="shared" si="5"/>
        <v>0000</v>
      </c>
    </row>
    <row r="64" spans="1:6">
      <c r="C64" t="str">
        <f t="shared" si="4"/>
        <v>1</v>
      </c>
      <c r="D64">
        <v>74</v>
      </c>
      <c r="E64" t="str">
        <f>"320"</f>
        <v>320</v>
      </c>
      <c r="F64" t="str">
        <f t="shared" si="5"/>
        <v>0000</v>
      </c>
    </row>
    <row r="65" spans="1:6">
      <c r="C65" t="str">
        <f t="shared" si="4"/>
        <v>1</v>
      </c>
      <c r="D65">
        <v>74</v>
      </c>
      <c r="E65" t="str">
        <f>"423"</f>
        <v>423</v>
      </c>
      <c r="F65" t="str">
        <f t="shared" si="5"/>
        <v>0000</v>
      </c>
    </row>
    <row r="66" spans="1:6">
      <c r="C66" t="str">
        <f t="shared" si="4"/>
        <v>1</v>
      </c>
      <c r="D66">
        <v>74</v>
      </c>
      <c r="E66" t="str">
        <f>"425"</f>
        <v>425</v>
      </c>
      <c r="F66" t="str">
        <f t="shared" si="5"/>
        <v>0000</v>
      </c>
    </row>
    <row r="67" spans="1:6">
      <c r="C67" t="str">
        <f t="shared" si="4"/>
        <v>1</v>
      </c>
      <c r="D67">
        <v>74</v>
      </c>
      <c r="E67" t="str">
        <f>"424"</f>
        <v>424</v>
      </c>
      <c r="F67" t="str">
        <f t="shared" si="5"/>
        <v>0000</v>
      </c>
    </row>
    <row r="68" spans="1:6">
      <c r="C68" t="str">
        <f t="shared" si="4"/>
        <v>1</v>
      </c>
      <c r="D68">
        <v>74</v>
      </c>
      <c r="E68" t="str">
        <f>"422"</f>
        <v>422</v>
      </c>
      <c r="F68" t="str">
        <f t="shared" si="5"/>
        <v>0000</v>
      </c>
    </row>
    <row r="69" spans="1:6">
      <c r="C69" t="str">
        <f t="shared" si="4"/>
        <v>1</v>
      </c>
      <c r="D69">
        <v>74</v>
      </c>
      <c r="E69" t="str">
        <f>"180"</f>
        <v>180</v>
      </c>
      <c r="F69" t="str">
        <f t="shared" si="5"/>
        <v>0000</v>
      </c>
    </row>
    <row r="70" spans="1:6">
      <c r="C70" t="str">
        <f t="shared" si="4"/>
        <v>1</v>
      </c>
      <c r="D70">
        <v>74</v>
      </c>
      <c r="E70" t="str">
        <f>"175"</f>
        <v>175</v>
      </c>
      <c r="F70" t="str">
        <f t="shared" si="5"/>
        <v>0000</v>
      </c>
    </row>
    <row r="71" spans="1:6">
      <c r="C71" t="str">
        <f t="shared" si="4"/>
        <v>1</v>
      </c>
      <c r="D71">
        <v>74</v>
      </c>
      <c r="E71" t="str">
        <f>"177"</f>
        <v>177</v>
      </c>
      <c r="F71" t="str">
        <f t="shared" si="5"/>
        <v>0000</v>
      </c>
    </row>
    <row r="72" spans="1:6">
      <c r="C72" t="str">
        <f t="shared" si="4"/>
        <v>1</v>
      </c>
      <c r="D72">
        <v>74</v>
      </c>
      <c r="E72" t="str">
        <f>"179"</f>
        <v>179</v>
      </c>
      <c r="F72" t="str">
        <f t="shared" si="5"/>
        <v>0000</v>
      </c>
    </row>
    <row r="73" spans="1:6">
      <c r="C73" t="str">
        <f t="shared" si="4"/>
        <v>1</v>
      </c>
      <c r="D73">
        <v>74</v>
      </c>
      <c r="E73" t="str">
        <f>"178"</f>
        <v>178</v>
      </c>
      <c r="F73" t="str">
        <f t="shared" si="5"/>
        <v>0000</v>
      </c>
    </row>
    <row r="74" spans="1:6">
      <c r="C74" t="str">
        <f t="shared" si="4"/>
        <v>1</v>
      </c>
      <c r="D74">
        <v>74</v>
      </c>
      <c r="E74" t="str">
        <f>"174"</f>
        <v>174</v>
      </c>
      <c r="F74" t="str">
        <f t="shared" si="5"/>
        <v>0000</v>
      </c>
    </row>
    <row r="75" spans="1:6">
      <c r="A75" t="str">
        <f>"E189-1"</f>
        <v>E189-1</v>
      </c>
      <c r="B75" t="str">
        <f>"VIA DELLA VESPA  8-"</f>
        <v>VIA DELLA VESPA  8-</v>
      </c>
      <c r="C75" t="str">
        <f t="shared" ref="C75:C99" si="6">"GEB"</f>
        <v>GEB</v>
      </c>
      <c r="D75">
        <v>64</v>
      </c>
      <c r="E75" t="str">
        <f>"212"</f>
        <v>212</v>
      </c>
      <c r="F75" t="str">
        <f>"9"</f>
        <v>9</v>
      </c>
    </row>
    <row r="76" spans="1:6">
      <c r="A76" t="str">
        <f>"E194-1"</f>
        <v>E194-1</v>
      </c>
      <c r="B76" t="str">
        <f>"VIA MONTE ZOVETTO  5-"</f>
        <v>VIA MONTE ZOVETTO  5-</v>
      </c>
      <c r="C76" t="str">
        <f t="shared" si="6"/>
        <v>GEB</v>
      </c>
      <c r="D76">
        <v>60</v>
      </c>
      <c r="E76" t="str">
        <f>"203"</f>
        <v>203</v>
      </c>
      <c r="F76" t="str">
        <f>"1"</f>
        <v>1</v>
      </c>
    </row>
    <row r="77" spans="1:6">
      <c r="A77" t="str">
        <f>"E194-3"</f>
        <v>E194-3</v>
      </c>
      <c r="B77" t="str">
        <f>"VIA MONTE ZOVETTO  5-"</f>
        <v>VIA MONTE ZOVETTO  5-</v>
      </c>
      <c r="C77" t="str">
        <f t="shared" si="6"/>
        <v>GEB</v>
      </c>
      <c r="D77">
        <v>60</v>
      </c>
      <c r="E77" t="str">
        <f>"203"</f>
        <v>203</v>
      </c>
      <c r="F77" t="str">
        <f>"3"</f>
        <v>3</v>
      </c>
    </row>
    <row r="78" spans="1:6">
      <c r="A78" t="str">
        <f>"E194-4"</f>
        <v>E194-4</v>
      </c>
      <c r="B78" t="str">
        <f>"VIA MONTE ZOVETTO  7-"</f>
        <v>VIA MONTE ZOVETTO  7-</v>
      </c>
      <c r="C78" t="str">
        <f t="shared" si="6"/>
        <v>GEB</v>
      </c>
      <c r="D78">
        <v>60</v>
      </c>
      <c r="E78" t="str">
        <f>"203"</f>
        <v>203</v>
      </c>
      <c r="F78" t="str">
        <f>"2"</f>
        <v>2</v>
      </c>
    </row>
    <row r="79" spans="1:6">
      <c r="A79" t="str">
        <f>"E195-1"</f>
        <v>E195-1</v>
      </c>
      <c r="B79" t="str">
        <f>"VIA MONTE ZOVETTO  7A-"</f>
        <v>VIA MONTE ZOVETTO  7A-</v>
      </c>
      <c r="C79" t="str">
        <f t="shared" si="6"/>
        <v>GEB</v>
      </c>
      <c r="D79">
        <v>60</v>
      </c>
      <c r="E79" t="str">
        <f>"762"</f>
        <v>762</v>
      </c>
      <c r="F79" t="str">
        <f>"0000"</f>
        <v>0000</v>
      </c>
    </row>
    <row r="80" spans="1:6">
      <c r="A80" t="str">
        <f>"E196-3"</f>
        <v>E196-3</v>
      </c>
      <c r="B80" t="str">
        <f>"VIA CESARE BATTISTI  5-"</f>
        <v>VIA CESARE BATTISTI  5-</v>
      </c>
      <c r="C80" t="str">
        <f t="shared" si="6"/>
        <v>GEB</v>
      </c>
      <c r="D80">
        <v>66</v>
      </c>
      <c r="E80" t="str">
        <f>"360"</f>
        <v>360</v>
      </c>
      <c r="F80" t="str">
        <f>"3"</f>
        <v>3</v>
      </c>
    </row>
    <row r="81" spans="1:6">
      <c r="A81" t="str">
        <f>"E198-1"</f>
        <v>E198-1</v>
      </c>
      <c r="B81" t="str">
        <f>"PIAZZA PALERMO VICINO AL 15-"</f>
        <v>PIAZZA PALERMO VICINO AL 15-</v>
      </c>
      <c r="C81" t="str">
        <f t="shared" si="6"/>
        <v>GEB</v>
      </c>
      <c r="D81">
        <v>64</v>
      </c>
      <c r="E81" t="str">
        <f>"329"</f>
        <v>329</v>
      </c>
      <c r="F81" t="str">
        <f>"0000"</f>
        <v>0000</v>
      </c>
    </row>
    <row r="82" spans="1:6">
      <c r="A82" t="str">
        <f>"E198-2"</f>
        <v>E198-2</v>
      </c>
      <c r="B82" t="str">
        <f>"PIAZZA PALERMO VICINO AL 15-"</f>
        <v>PIAZZA PALERMO VICINO AL 15-</v>
      </c>
      <c r="C82" t="str">
        <f t="shared" si="6"/>
        <v>GEB</v>
      </c>
      <c r="D82">
        <v>64</v>
      </c>
      <c r="E82" t="str">
        <f>"330"</f>
        <v>330</v>
      </c>
      <c r="F82" t="str">
        <f>"0000"</f>
        <v>0000</v>
      </c>
    </row>
    <row r="83" spans="1:6">
      <c r="A83" t="str">
        <f>"E198-3"</f>
        <v>E198-3</v>
      </c>
      <c r="B83" t="str">
        <f>"PIAZZA PALERMO VICINO AL 15-"</f>
        <v>PIAZZA PALERMO VICINO AL 15-</v>
      </c>
      <c r="C83" t="str">
        <f t="shared" si="6"/>
        <v>GEB</v>
      </c>
      <c r="D83">
        <v>64</v>
      </c>
      <c r="E83" t="str">
        <f>"433"</f>
        <v>433</v>
      </c>
      <c r="F83" t="str">
        <f>"0000"</f>
        <v>0000</v>
      </c>
    </row>
    <row r="84" spans="1:6">
      <c r="A84" t="str">
        <f>"E201-1"</f>
        <v>E201-1</v>
      </c>
      <c r="B84" t="str">
        <f>"VIA ALBERTO LIRI  9-"</f>
        <v>VIA ALBERTO LIRI  9-</v>
      </c>
      <c r="C84" t="str">
        <f t="shared" si="6"/>
        <v>GEB</v>
      </c>
      <c r="D84">
        <v>67</v>
      </c>
      <c r="E84" t="str">
        <f>"95"</f>
        <v>95</v>
      </c>
      <c r="F84" t="str">
        <f>"0000"</f>
        <v>0000</v>
      </c>
    </row>
    <row r="85" spans="1:6">
      <c r="C85" t="str">
        <f t="shared" si="6"/>
        <v>GEB</v>
      </c>
      <c r="D85">
        <v>67</v>
      </c>
      <c r="E85" t="str">
        <f>"96"</f>
        <v>96</v>
      </c>
      <c r="F85" t="str">
        <f>"0000"</f>
        <v>0000</v>
      </c>
    </row>
    <row r="86" spans="1:6">
      <c r="A86" t="str">
        <f>"E202-1"</f>
        <v>E202-1</v>
      </c>
      <c r="B86" t="str">
        <f>"VIA MERANI VICINO AL 8R-"</f>
        <v>VIA MERANI VICINO AL 8R-</v>
      </c>
      <c r="C86" t="str">
        <f t="shared" si="6"/>
        <v>GEB</v>
      </c>
      <c r="D86">
        <v>64</v>
      </c>
      <c r="E86" t="str">
        <f>"928"</f>
        <v>928</v>
      </c>
      <c r="F86" t="str">
        <f>"1"</f>
        <v>1</v>
      </c>
    </row>
    <row r="87" spans="1:6">
      <c r="A87" t="str">
        <f>"E222-2"</f>
        <v>E222-2</v>
      </c>
      <c r="B87" t="str">
        <f>"CORSO ITALIA  11-"</f>
        <v>CORSO ITALIA  11-</v>
      </c>
      <c r="C87" t="str">
        <f t="shared" si="6"/>
        <v>GEB</v>
      </c>
      <c r="D87">
        <v>72</v>
      </c>
      <c r="E87" t="str">
        <f>"500"</f>
        <v>500</v>
      </c>
      <c r="F87" t="str">
        <f>"3"</f>
        <v>3</v>
      </c>
    </row>
    <row r="88" spans="1:6">
      <c r="C88" t="str">
        <f t="shared" si="6"/>
        <v>GEB</v>
      </c>
      <c r="D88">
        <v>72</v>
      </c>
      <c r="E88" t="str">
        <f>"500"</f>
        <v>500</v>
      </c>
      <c r="F88" t="str">
        <f>"4"</f>
        <v>4</v>
      </c>
    </row>
    <row r="89" spans="1:6">
      <c r="A89" t="str">
        <f>"E222-3"</f>
        <v>E222-3</v>
      </c>
      <c r="B89" t="str">
        <f>"CORSO ITALIA  11-"</f>
        <v>CORSO ITALIA  11-</v>
      </c>
      <c r="C89" t="str">
        <f t="shared" si="6"/>
        <v>GEB</v>
      </c>
      <c r="D89">
        <v>71</v>
      </c>
      <c r="E89" t="str">
        <f>"252"</f>
        <v>252</v>
      </c>
      <c r="F89" t="str">
        <f>"3"</f>
        <v>3</v>
      </c>
    </row>
    <row r="90" spans="1:6">
      <c r="A90" t="str">
        <f>"E223-1"</f>
        <v>E223-1</v>
      </c>
      <c r="B90" t="str">
        <f>"CORSO ITALIA  15-"</f>
        <v>CORSO ITALIA  15-</v>
      </c>
      <c r="C90" t="str">
        <f t="shared" si="6"/>
        <v>GEB</v>
      </c>
      <c r="D90">
        <v>70</v>
      </c>
      <c r="E90" t="str">
        <f>"481"</f>
        <v>481</v>
      </c>
      <c r="F90" t="str">
        <f>"0000"</f>
        <v>0000</v>
      </c>
    </row>
    <row r="91" spans="1:6">
      <c r="A91" t="str">
        <f>"E230-1"</f>
        <v>E230-1</v>
      </c>
      <c r="B91" t="str">
        <f>"PIAZZA HENRY DUNANT  4-"</f>
        <v>PIAZZA HENRY DUNANT  4-</v>
      </c>
      <c r="C91" t="str">
        <f t="shared" si="6"/>
        <v>GEB</v>
      </c>
      <c r="D91">
        <v>70</v>
      </c>
      <c r="E91" t="str">
        <f>"63"</f>
        <v>63</v>
      </c>
      <c r="F91" t="str">
        <f>"2"</f>
        <v>2</v>
      </c>
    </row>
    <row r="92" spans="1:6">
      <c r="A92" t="str">
        <f>"E230-2"</f>
        <v>E230-2</v>
      </c>
      <c r="B92" t="str">
        <f>"PIAZZA HENRY DUNANT  4-"</f>
        <v>PIAZZA HENRY DUNANT  4-</v>
      </c>
      <c r="C92" t="str">
        <f t="shared" si="6"/>
        <v>GEB</v>
      </c>
      <c r="D92">
        <v>70</v>
      </c>
      <c r="E92" t="str">
        <f>"169"</f>
        <v>169</v>
      </c>
      <c r="F92" t="str">
        <f>"0000"</f>
        <v>0000</v>
      </c>
    </row>
    <row r="93" spans="1:6">
      <c r="C93" t="str">
        <f t="shared" si="6"/>
        <v>GEB</v>
      </c>
      <c r="D93">
        <v>70</v>
      </c>
      <c r="E93" t="str">
        <f>"210"</f>
        <v>210</v>
      </c>
      <c r="F93" t="str">
        <f>"0000"</f>
        <v>0000</v>
      </c>
    </row>
    <row r="94" spans="1:6">
      <c r="C94" t="str">
        <f t="shared" si="6"/>
        <v>GEB</v>
      </c>
      <c r="D94">
        <v>70</v>
      </c>
      <c r="E94" t="str">
        <f>"63"</f>
        <v>63</v>
      </c>
      <c r="F94" t="str">
        <f>"1"</f>
        <v>1</v>
      </c>
    </row>
    <row r="95" spans="1:6">
      <c r="C95" t="str">
        <f t="shared" si="6"/>
        <v>GEB</v>
      </c>
      <c r="D95">
        <v>70</v>
      </c>
      <c r="E95" t="str">
        <f>"64"</f>
        <v>64</v>
      </c>
      <c r="F95" t="str">
        <f t="shared" ref="F95:F105" si="7">"0000"</f>
        <v>0000</v>
      </c>
    </row>
    <row r="96" spans="1:6">
      <c r="C96" t="str">
        <f t="shared" si="6"/>
        <v>GEB</v>
      </c>
      <c r="D96">
        <v>70</v>
      </c>
      <c r="E96" t="str">
        <f>"211"</f>
        <v>211</v>
      </c>
      <c r="F96" t="str">
        <f t="shared" si="7"/>
        <v>0000</v>
      </c>
    </row>
    <row r="97" spans="1:6">
      <c r="C97" t="str">
        <f t="shared" si="6"/>
        <v>GEB</v>
      </c>
      <c r="D97">
        <v>70</v>
      </c>
      <c r="E97" t="str">
        <f>"209"</f>
        <v>209</v>
      </c>
      <c r="F97" t="str">
        <f t="shared" si="7"/>
        <v>0000</v>
      </c>
    </row>
    <row r="98" spans="1:6">
      <c r="C98" t="str">
        <f t="shared" si="6"/>
        <v>GEB</v>
      </c>
      <c r="D98">
        <v>70</v>
      </c>
      <c r="E98" t="str">
        <f>"170"</f>
        <v>170</v>
      </c>
      <c r="F98" t="str">
        <f t="shared" si="7"/>
        <v>0000</v>
      </c>
    </row>
    <row r="99" spans="1:6">
      <c r="C99" t="str">
        <f t="shared" si="6"/>
        <v>GEB</v>
      </c>
      <c r="D99">
        <v>70</v>
      </c>
      <c r="E99" t="str">
        <f>"208"</f>
        <v>208</v>
      </c>
      <c r="F99" t="str">
        <f t="shared" si="7"/>
        <v>0000</v>
      </c>
    </row>
    <row r="100" spans="1:6">
      <c r="A100" t="str">
        <f>"E230-3"</f>
        <v>E230-3</v>
      </c>
      <c r="B100" t="str">
        <f>"PIAZZA HENRY DUNANT  4-"</f>
        <v>PIAZZA HENRY DUNANT  4-</v>
      </c>
      <c r="C100" t="str">
        <f t="shared" ref="C100:C105" si="8">"1"</f>
        <v>1</v>
      </c>
      <c r="D100">
        <v>91</v>
      </c>
      <c r="E100" t="str">
        <f>"169"</f>
        <v>169</v>
      </c>
      <c r="F100" t="str">
        <f t="shared" si="7"/>
        <v>0000</v>
      </c>
    </row>
    <row r="101" spans="1:6">
      <c r="C101" t="str">
        <f t="shared" si="8"/>
        <v>1</v>
      </c>
      <c r="D101">
        <v>91</v>
      </c>
      <c r="E101" t="str">
        <f>"80"</f>
        <v>80</v>
      </c>
      <c r="F101" t="str">
        <f t="shared" si="7"/>
        <v>0000</v>
      </c>
    </row>
    <row r="102" spans="1:6">
      <c r="C102" t="str">
        <f t="shared" si="8"/>
        <v>1</v>
      </c>
      <c r="D102">
        <v>91</v>
      </c>
      <c r="E102" t="str">
        <f>"81"</f>
        <v>81</v>
      </c>
      <c r="F102" t="str">
        <f t="shared" si="7"/>
        <v>0000</v>
      </c>
    </row>
    <row r="103" spans="1:6">
      <c r="C103" t="str">
        <f t="shared" si="8"/>
        <v>1</v>
      </c>
      <c r="D103">
        <v>91</v>
      </c>
      <c r="E103" t="str">
        <f>"79"</f>
        <v>79</v>
      </c>
      <c r="F103" t="str">
        <f t="shared" si="7"/>
        <v>0000</v>
      </c>
    </row>
    <row r="104" spans="1:6">
      <c r="C104" t="str">
        <f t="shared" si="8"/>
        <v>1</v>
      </c>
      <c r="D104">
        <v>91</v>
      </c>
      <c r="E104" t="str">
        <f>"173"</f>
        <v>173</v>
      </c>
      <c r="F104" t="str">
        <f t="shared" si="7"/>
        <v>0000</v>
      </c>
    </row>
    <row r="105" spans="1:6">
      <c r="C105" t="str">
        <f t="shared" si="8"/>
        <v>1</v>
      </c>
      <c r="D105">
        <v>91</v>
      </c>
      <c r="E105" t="str">
        <f>"486"</f>
        <v>486</v>
      </c>
      <c r="F105" t="str">
        <f t="shared" si="7"/>
        <v>0000</v>
      </c>
    </row>
    <row r="106" spans="1:6">
      <c r="A106" t="str">
        <f>"E236-1"</f>
        <v>E236-1</v>
      </c>
      <c r="B106" t="str">
        <f>"VIA TOMASO CAMPANELLA  4-"</f>
        <v>VIA TOMASO CAMPANELLA  4-</v>
      </c>
      <c r="C106" t="str">
        <f t="shared" ref="C106:C118" si="9">"GEB"</f>
        <v>GEB</v>
      </c>
      <c r="D106">
        <v>70</v>
      </c>
      <c r="E106" t="str">
        <f>"168"</f>
        <v>168</v>
      </c>
      <c r="F106" t="str">
        <f>"1"</f>
        <v>1</v>
      </c>
    </row>
    <row r="107" spans="1:6">
      <c r="C107" t="str">
        <f t="shared" si="9"/>
        <v>GEB</v>
      </c>
      <c r="D107">
        <v>70</v>
      </c>
      <c r="E107" t="str">
        <f>"222"</f>
        <v>222</v>
      </c>
      <c r="F107" t="str">
        <f t="shared" ref="F107:F114" si="10">"0000"</f>
        <v>0000</v>
      </c>
    </row>
    <row r="108" spans="1:6">
      <c r="C108" t="str">
        <f t="shared" si="9"/>
        <v>GEB</v>
      </c>
      <c r="D108">
        <v>70</v>
      </c>
      <c r="E108" t="str">
        <f>"223"</f>
        <v>223</v>
      </c>
      <c r="F108" t="str">
        <f t="shared" si="10"/>
        <v>0000</v>
      </c>
    </row>
    <row r="109" spans="1:6">
      <c r="C109" t="str">
        <f t="shared" si="9"/>
        <v>GEB</v>
      </c>
      <c r="D109">
        <v>70</v>
      </c>
      <c r="E109" t="str">
        <f>"225"</f>
        <v>225</v>
      </c>
      <c r="F109" t="str">
        <f t="shared" si="10"/>
        <v>0000</v>
      </c>
    </row>
    <row r="110" spans="1:6">
      <c r="C110" t="str">
        <f t="shared" si="9"/>
        <v>GEB</v>
      </c>
      <c r="D110">
        <v>70</v>
      </c>
      <c r="E110" t="str">
        <f>"224"</f>
        <v>224</v>
      </c>
      <c r="F110" t="str">
        <f t="shared" si="10"/>
        <v>0000</v>
      </c>
    </row>
    <row r="111" spans="1:6">
      <c r="C111" t="str">
        <f t="shared" si="9"/>
        <v>GEB</v>
      </c>
      <c r="D111">
        <v>70</v>
      </c>
      <c r="E111" t="str">
        <f>"220"</f>
        <v>220</v>
      </c>
      <c r="F111" t="str">
        <f t="shared" si="10"/>
        <v>0000</v>
      </c>
    </row>
    <row r="112" spans="1:6">
      <c r="C112" t="str">
        <f t="shared" si="9"/>
        <v>GEB</v>
      </c>
      <c r="D112">
        <v>70</v>
      </c>
      <c r="E112" t="str">
        <f>"221"</f>
        <v>221</v>
      </c>
      <c r="F112" t="str">
        <f t="shared" si="10"/>
        <v>0000</v>
      </c>
    </row>
    <row r="113" spans="1:6">
      <c r="A113" t="str">
        <f>"E277-1"</f>
        <v>E277-1</v>
      </c>
      <c r="B113" t="str">
        <f>"PIAZZA PALERMO  13-"</f>
        <v>PIAZZA PALERMO  13-</v>
      </c>
      <c r="C113" t="str">
        <f t="shared" si="9"/>
        <v>GEB</v>
      </c>
      <c r="D113">
        <v>64</v>
      </c>
      <c r="E113" t="str">
        <f>"192"</f>
        <v>192</v>
      </c>
      <c r="F113" t="str">
        <f t="shared" si="10"/>
        <v>0000</v>
      </c>
    </row>
    <row r="114" spans="1:6">
      <c r="C114" t="str">
        <f t="shared" si="9"/>
        <v>GEB</v>
      </c>
      <c r="D114">
        <v>64</v>
      </c>
      <c r="E114" t="str">
        <f>"447"</f>
        <v>447</v>
      </c>
      <c r="F114" t="str">
        <f t="shared" si="10"/>
        <v>0000</v>
      </c>
    </row>
    <row r="115" spans="1:6">
      <c r="C115" t="str">
        <f t="shared" si="9"/>
        <v>GEB</v>
      </c>
      <c r="D115">
        <v>64</v>
      </c>
      <c r="E115" t="str">
        <f>"193"</f>
        <v>193</v>
      </c>
      <c r="F115" t="str">
        <f>"2"</f>
        <v>2</v>
      </c>
    </row>
    <row r="116" spans="1:6">
      <c r="A116" t="str">
        <f>"E277-2"</f>
        <v>E277-2</v>
      </c>
      <c r="B116" t="str">
        <f>"PIAZZA PALERMO  13-"</f>
        <v>PIAZZA PALERMO  13-</v>
      </c>
      <c r="C116" t="str">
        <f t="shared" si="9"/>
        <v>GEB</v>
      </c>
      <c r="D116">
        <v>64</v>
      </c>
      <c r="E116" t="str">
        <f>"193"</f>
        <v>193</v>
      </c>
      <c r="F116" t="str">
        <f>"1"</f>
        <v>1</v>
      </c>
    </row>
    <row r="117" spans="1:6">
      <c r="A117" t="str">
        <f>"E278-1"</f>
        <v>E278-1</v>
      </c>
      <c r="B117" t="str">
        <f>"PIAZZA PALERMO  25R-"</f>
        <v>PIAZZA PALERMO  25R-</v>
      </c>
      <c r="C117" t="str">
        <f t="shared" si="9"/>
        <v>GEB</v>
      </c>
      <c r="D117">
        <v>64</v>
      </c>
      <c r="E117" t="str">
        <f>"327"</f>
        <v>327</v>
      </c>
      <c r="F117" t="str">
        <f>"1"</f>
        <v>1</v>
      </c>
    </row>
    <row r="118" spans="1:6">
      <c r="C118" t="str">
        <f t="shared" si="9"/>
        <v>GEB</v>
      </c>
      <c r="D118">
        <v>64</v>
      </c>
      <c r="E118" t="str">
        <f>"328"</f>
        <v>328</v>
      </c>
      <c r="F118" t="str">
        <f>"0000"</f>
        <v>0000</v>
      </c>
    </row>
    <row r="119" spans="1:6">
      <c r="A119" t="str">
        <f>"E279-1"</f>
        <v>E279-1</v>
      </c>
      <c r="B119" t="str">
        <f>"PIAZZA PALERMO  11-"</f>
        <v>PIAZZA PALERMO  11-</v>
      </c>
      <c r="C119" t="str">
        <f>"1"</f>
        <v>1</v>
      </c>
      <c r="D119">
        <v>86</v>
      </c>
      <c r="E119" t="str">
        <f>"531"</f>
        <v>531</v>
      </c>
      <c r="F119" t="str">
        <f>"0000"</f>
        <v>0000</v>
      </c>
    </row>
    <row r="120" spans="1:6">
      <c r="A120" t="str">
        <f>"E281-1"</f>
        <v>E281-1</v>
      </c>
      <c r="B120" t="str">
        <f>"PIAZZA PALERMO  11-"</f>
        <v>PIAZZA PALERMO  11-</v>
      </c>
      <c r="C120" t="str">
        <f t="shared" ref="C120:C126" si="11">"GEB"</f>
        <v>GEB</v>
      </c>
      <c r="D120">
        <v>64</v>
      </c>
      <c r="E120" t="str">
        <f>"191"</f>
        <v>191</v>
      </c>
      <c r="F120" t="str">
        <f>"1"</f>
        <v>1</v>
      </c>
    </row>
    <row r="121" spans="1:6">
      <c r="A121" t="str">
        <f>"E281-2"</f>
        <v>E281-2</v>
      </c>
      <c r="B121" t="str">
        <f>"PIAZZA PALERMO  11-"</f>
        <v>PIAZZA PALERMO  11-</v>
      </c>
      <c r="C121" t="str">
        <f t="shared" si="11"/>
        <v>GEB</v>
      </c>
      <c r="D121">
        <v>64</v>
      </c>
      <c r="E121" t="str">
        <f>"191"</f>
        <v>191</v>
      </c>
      <c r="F121" t="str">
        <f>"2"</f>
        <v>2</v>
      </c>
    </row>
    <row r="122" spans="1:6">
      <c r="A122" t="str">
        <f>"E282-1"</f>
        <v>E282-1</v>
      </c>
      <c r="B122" t="str">
        <f>"CORSO TORINO  11-"</f>
        <v>CORSO TORINO  11-</v>
      </c>
      <c r="C122" t="str">
        <f t="shared" si="11"/>
        <v>GEB</v>
      </c>
      <c r="D122">
        <v>64</v>
      </c>
      <c r="E122" t="str">
        <f>"55"</f>
        <v>55</v>
      </c>
      <c r="F122" t="str">
        <f>"1"</f>
        <v>1</v>
      </c>
    </row>
    <row r="123" spans="1:6">
      <c r="A123" t="str">
        <f>"E283-1"</f>
        <v>E283-1</v>
      </c>
      <c r="B123" t="str">
        <f>"CORSO TORINO  1-"</f>
        <v>CORSO TORINO  1-</v>
      </c>
      <c r="C123" t="str">
        <f t="shared" si="11"/>
        <v>GEB</v>
      </c>
      <c r="D123">
        <v>57</v>
      </c>
      <c r="E123" t="str">
        <f>"21"</f>
        <v>21</v>
      </c>
      <c r="F123" t="str">
        <f>"24"</f>
        <v>24</v>
      </c>
    </row>
    <row r="124" spans="1:6">
      <c r="A124" t="str">
        <f>"E287-1"</f>
        <v>E287-1</v>
      </c>
      <c r="B124" t="str">
        <f>"VIA ARMANDO DIAZ  8-"</f>
        <v>VIA ARMANDO DIAZ  8-</v>
      </c>
      <c r="C124" t="str">
        <f t="shared" si="11"/>
        <v>GEB</v>
      </c>
      <c r="D124">
        <v>65</v>
      </c>
      <c r="E124" t="str">
        <f>"269"</f>
        <v>269</v>
      </c>
      <c r="F124" t="str">
        <f>"0000"</f>
        <v>0000</v>
      </c>
    </row>
    <row r="125" spans="1:6">
      <c r="C125" t="str">
        <f t="shared" si="11"/>
        <v>GEB</v>
      </c>
      <c r="D125">
        <v>65</v>
      </c>
      <c r="E125" t="str">
        <f>"49"</f>
        <v>49</v>
      </c>
      <c r="F125" t="str">
        <f>"1"</f>
        <v>1</v>
      </c>
    </row>
    <row r="126" spans="1:6">
      <c r="A126" t="str">
        <f>"E287-2"</f>
        <v>E287-2</v>
      </c>
      <c r="B126" t="str">
        <f>"VIA ARMANDO DIAZ  8-"</f>
        <v>VIA ARMANDO DIAZ  8-</v>
      </c>
      <c r="C126" t="str">
        <f t="shared" si="11"/>
        <v>GEB</v>
      </c>
      <c r="D126">
        <v>65</v>
      </c>
      <c r="E126" t="str">
        <f>"49"</f>
        <v>49</v>
      </c>
      <c r="F126" t="str">
        <f>"2"</f>
        <v>2</v>
      </c>
    </row>
    <row r="127" spans="1:6">
      <c r="A127" t="str">
        <f>"E288-2"</f>
        <v>E288-2</v>
      </c>
      <c r="B127" t="str">
        <f>"VIA DEI PESCATORI  23-"</f>
        <v>VIA DEI PESCATORI  23-</v>
      </c>
      <c r="C127" t="str">
        <f>"1"</f>
        <v>1</v>
      </c>
      <c r="D127">
        <v>95</v>
      </c>
      <c r="E127" t="str">
        <f>"2"</f>
        <v>2</v>
      </c>
      <c r="F127" t="str">
        <f>"0000"</f>
        <v>0000</v>
      </c>
    </row>
    <row r="128" spans="1:6">
      <c r="A128" t="str">
        <f>"E288-3"</f>
        <v>E288-3</v>
      </c>
      <c r="B128" t="str">
        <f>"VIA DEI PESCATORI  23-"</f>
        <v>VIA DEI PESCATORI  23-</v>
      </c>
      <c r="C128" t="str">
        <f>"1"</f>
        <v>1</v>
      </c>
      <c r="D128">
        <v>95</v>
      </c>
      <c r="E128" t="str">
        <f>"2"</f>
        <v>2</v>
      </c>
      <c r="F128" t="str">
        <f>"0000"</f>
        <v>0000</v>
      </c>
    </row>
    <row r="129" spans="1:6">
      <c r="A129" t="str">
        <f>"E288-4"</f>
        <v>E288-4</v>
      </c>
      <c r="B129" t="str">
        <f>"VIA DEI PESCATORI  23-"</f>
        <v>VIA DEI PESCATORI  23-</v>
      </c>
      <c r="C129" t="str">
        <f>"1"</f>
        <v>1</v>
      </c>
      <c r="D129">
        <v>95</v>
      </c>
      <c r="E129" t="str">
        <f>"2"</f>
        <v>2</v>
      </c>
      <c r="F129" t="str">
        <f>"0000"</f>
        <v>0000</v>
      </c>
    </row>
    <row r="130" spans="1:6">
      <c r="A130" t="str">
        <f>"E288-5"</f>
        <v>E288-5</v>
      </c>
      <c r="B130" t="str">
        <f>"VIA DEI PESCATORI  23-"</f>
        <v>VIA DEI PESCATORI  23-</v>
      </c>
      <c r="C130" t="str">
        <f>"1"</f>
        <v>1</v>
      </c>
      <c r="D130">
        <v>95</v>
      </c>
      <c r="E130" t="str">
        <f>"2"</f>
        <v>2</v>
      </c>
      <c r="F130" t="str">
        <f>"0000"</f>
        <v>0000</v>
      </c>
    </row>
    <row r="131" spans="1:6">
      <c r="A131" t="str">
        <f>"E289-1"</f>
        <v>E289-1</v>
      </c>
      <c r="B131" t="str">
        <f>"CORSO AURELIO SAFFI  1-"</f>
        <v>CORSO AURELIO SAFFI  1-</v>
      </c>
      <c r="C131" t="str">
        <f>"GEB"</f>
        <v>GEB</v>
      </c>
      <c r="D131">
        <v>65</v>
      </c>
      <c r="E131" t="str">
        <f>"125"</f>
        <v>125</v>
      </c>
      <c r="F131" t="str">
        <f>"2"</f>
        <v>2</v>
      </c>
    </row>
    <row r="132" spans="1:6">
      <c r="A132" t="str">
        <f>"E290-1"</f>
        <v>E290-1</v>
      </c>
      <c r="B132" t="str">
        <f>"CORSO ITALIA VICINO AL 1R-"</f>
        <v>CORSO ITALIA VICINO AL 1R-</v>
      </c>
      <c r="C132" t="str">
        <f>"1"</f>
        <v>1</v>
      </c>
      <c r="D132">
        <v>89</v>
      </c>
      <c r="E132" t="str">
        <f>"99999"</f>
        <v>99999</v>
      </c>
      <c r="F132" t="str">
        <f>"0000"</f>
        <v>0000</v>
      </c>
    </row>
    <row r="133" spans="1:6">
      <c r="A133" t="str">
        <f>"E297-2"</f>
        <v>E297-2</v>
      </c>
      <c r="B133" t="str">
        <f>"VIA MONTEVIDEO  43R-"</f>
        <v>VIA MONTEVIDEO  43R-</v>
      </c>
      <c r="C133" t="str">
        <f t="shared" ref="C133:C153" si="12">"GEB"</f>
        <v>GEB</v>
      </c>
      <c r="D133">
        <v>58</v>
      </c>
      <c r="E133" t="str">
        <f>"387"</f>
        <v>387</v>
      </c>
      <c r="F133" t="str">
        <f>"1"</f>
        <v>1</v>
      </c>
    </row>
    <row r="134" spans="1:6">
      <c r="A134" t="str">
        <f>"E297-3"</f>
        <v>E297-3</v>
      </c>
      <c r="B134" t="str">
        <f>"VIA MONTEVIDEO  43R-"</f>
        <v>VIA MONTEVIDEO  43R-</v>
      </c>
      <c r="C134" t="str">
        <f t="shared" si="12"/>
        <v>GEB</v>
      </c>
      <c r="D134">
        <v>58</v>
      </c>
      <c r="E134" t="str">
        <f>"387"</f>
        <v>387</v>
      </c>
      <c r="F134" t="str">
        <f>"2"</f>
        <v>2</v>
      </c>
    </row>
    <row r="135" spans="1:6">
      <c r="A135" t="str">
        <f>"E298-1"</f>
        <v>E298-1</v>
      </c>
      <c r="B135" t="str">
        <f>"PIAZZA TOMMASEO VICINO AL 13R-"</f>
        <v>PIAZZA TOMMASEO VICINO AL 13R-</v>
      </c>
      <c r="C135" t="str">
        <f t="shared" si="12"/>
        <v>GEB</v>
      </c>
      <c r="D135">
        <v>58</v>
      </c>
      <c r="E135" t="str">
        <f>"397"</f>
        <v>397</v>
      </c>
      <c r="F135" t="str">
        <f>"0000"</f>
        <v>0000</v>
      </c>
    </row>
    <row r="136" spans="1:6">
      <c r="A136" t="str">
        <f>"E299-1"</f>
        <v>E299-1</v>
      </c>
      <c r="B136" t="str">
        <f>"SOTTOPASSAGGIO CADORNA  2-"</f>
        <v>SOTTOPASSAGGIO CADORNA  2-</v>
      </c>
      <c r="C136" t="str">
        <f t="shared" si="12"/>
        <v>GEB</v>
      </c>
      <c r="D136">
        <v>57</v>
      </c>
      <c r="E136" t="str">
        <f t="shared" ref="E136:E142" si="13">"641"</f>
        <v>641</v>
      </c>
      <c r="F136" t="str">
        <f>"1"</f>
        <v>1</v>
      </c>
    </row>
    <row r="137" spans="1:6">
      <c r="A137" t="str">
        <f>"E299-2"</f>
        <v>E299-2</v>
      </c>
      <c r="B137" t="str">
        <f>"SOTTOPASSAGGIO CADORNA  10-"</f>
        <v>SOTTOPASSAGGIO CADORNA  10-</v>
      </c>
      <c r="C137" t="str">
        <f t="shared" si="12"/>
        <v>GEB</v>
      </c>
      <c r="D137">
        <v>57</v>
      </c>
      <c r="E137" t="str">
        <f t="shared" si="13"/>
        <v>641</v>
      </c>
      <c r="F137" t="str">
        <f>"2"</f>
        <v>2</v>
      </c>
    </row>
    <row r="138" spans="1:6">
      <c r="A138" t="str">
        <f>"E299-3"</f>
        <v>E299-3</v>
      </c>
      <c r="B138" t="str">
        <f>"SOTTOPASSAGGIO CADORNA  14-"</f>
        <v>SOTTOPASSAGGIO CADORNA  14-</v>
      </c>
      <c r="C138" t="str">
        <f t="shared" si="12"/>
        <v>GEB</v>
      </c>
      <c r="D138">
        <v>57</v>
      </c>
      <c r="E138" t="str">
        <f t="shared" si="13"/>
        <v>641</v>
      </c>
      <c r="F138" t="str">
        <f>"3"</f>
        <v>3</v>
      </c>
    </row>
    <row r="139" spans="1:6">
      <c r="A139" t="str">
        <f>"E299-4"</f>
        <v>E299-4</v>
      </c>
      <c r="B139" t="str">
        <f>"SOTTOPASSAGGIO CADORNA  18-"</f>
        <v>SOTTOPASSAGGIO CADORNA  18-</v>
      </c>
      <c r="C139" t="str">
        <f t="shared" si="12"/>
        <v>GEB</v>
      </c>
      <c r="D139">
        <v>57</v>
      </c>
      <c r="E139" t="str">
        <f t="shared" si="13"/>
        <v>641</v>
      </c>
      <c r="F139" t="str">
        <f>"4"</f>
        <v>4</v>
      </c>
    </row>
    <row r="140" spans="1:6">
      <c r="A140" t="str">
        <f>"E299-5"</f>
        <v>E299-5</v>
      </c>
      <c r="B140" t="str">
        <f>"SOTTOPASSAGGIO CADORNA  22-"</f>
        <v>SOTTOPASSAGGIO CADORNA  22-</v>
      </c>
      <c r="C140" t="str">
        <f t="shared" si="12"/>
        <v>GEB</v>
      </c>
      <c r="D140">
        <v>57</v>
      </c>
      <c r="E140" t="str">
        <f t="shared" si="13"/>
        <v>641</v>
      </c>
      <c r="F140" t="str">
        <f>"5"</f>
        <v>5</v>
      </c>
    </row>
    <row r="141" spans="1:6">
      <c r="A141" t="str">
        <f>"E299-6"</f>
        <v>E299-6</v>
      </c>
      <c r="B141" t="str">
        <f>"SOTTOPASSAGGIO CADORNA VICINO AL 2-"</f>
        <v>SOTTOPASSAGGIO CADORNA VICINO AL 2-</v>
      </c>
      <c r="C141" t="str">
        <f t="shared" si="12"/>
        <v>GEB</v>
      </c>
      <c r="D141">
        <v>57</v>
      </c>
      <c r="E141" t="str">
        <f t="shared" si="13"/>
        <v>641</v>
      </c>
      <c r="F141" t="str">
        <f>"6"</f>
        <v>6</v>
      </c>
    </row>
    <row r="142" spans="1:6">
      <c r="A142" t="str">
        <f>"E299-7"</f>
        <v>E299-7</v>
      </c>
      <c r="B142" t="str">
        <f>"SOTTOPASSAGGIO CADORNA VICINO AL 2-"</f>
        <v>SOTTOPASSAGGIO CADORNA VICINO AL 2-</v>
      </c>
      <c r="C142" t="str">
        <f t="shared" si="12"/>
        <v>GEB</v>
      </c>
      <c r="D142">
        <v>57</v>
      </c>
      <c r="E142" t="str">
        <f t="shared" si="13"/>
        <v>641</v>
      </c>
      <c r="F142" t="str">
        <f>"7"</f>
        <v>7</v>
      </c>
    </row>
    <row r="143" spans="1:6">
      <c r="A143" t="str">
        <f>"E300-1"</f>
        <v>E300-1</v>
      </c>
      <c r="B143" t="str">
        <f>"VIA DELLA LIBERTA  94R-"</f>
        <v>VIA DELLA LIBERTA  94R-</v>
      </c>
      <c r="C143" t="str">
        <f t="shared" si="12"/>
        <v>GEB</v>
      </c>
      <c r="D143">
        <v>64</v>
      </c>
      <c r="E143" t="str">
        <f>"332"</f>
        <v>332</v>
      </c>
      <c r="F143" t="str">
        <f t="shared" ref="F143:F150" si="14">"0000"</f>
        <v>0000</v>
      </c>
    </row>
    <row r="144" spans="1:6">
      <c r="C144" t="str">
        <f t="shared" si="12"/>
        <v>GEB</v>
      </c>
      <c r="D144">
        <v>64</v>
      </c>
      <c r="E144" t="str">
        <f>"441"</f>
        <v>441</v>
      </c>
      <c r="F144" t="str">
        <f t="shared" si="14"/>
        <v>0000</v>
      </c>
    </row>
    <row r="145" spans="1:6">
      <c r="C145" t="str">
        <f t="shared" si="12"/>
        <v>GEB</v>
      </c>
      <c r="D145">
        <v>64</v>
      </c>
      <c r="E145" t="str">
        <f>"386"</f>
        <v>386</v>
      </c>
      <c r="F145" t="str">
        <f t="shared" si="14"/>
        <v>0000</v>
      </c>
    </row>
    <row r="146" spans="1:6">
      <c r="C146" t="str">
        <f t="shared" si="12"/>
        <v>GEB</v>
      </c>
      <c r="D146">
        <v>64</v>
      </c>
      <c r="E146" t="str">
        <f>"438"</f>
        <v>438</v>
      </c>
      <c r="F146" t="str">
        <f t="shared" si="14"/>
        <v>0000</v>
      </c>
    </row>
    <row r="147" spans="1:6">
      <c r="C147" t="str">
        <f t="shared" si="12"/>
        <v>GEB</v>
      </c>
      <c r="D147">
        <v>64</v>
      </c>
      <c r="E147" t="str">
        <f>"440"</f>
        <v>440</v>
      </c>
      <c r="F147" t="str">
        <f t="shared" si="14"/>
        <v>0000</v>
      </c>
    </row>
    <row r="148" spans="1:6">
      <c r="C148" t="str">
        <f t="shared" si="12"/>
        <v>GEB</v>
      </c>
      <c r="D148">
        <v>64</v>
      </c>
      <c r="E148" t="str">
        <f>"439"</f>
        <v>439</v>
      </c>
      <c r="F148" t="str">
        <f t="shared" si="14"/>
        <v>0000</v>
      </c>
    </row>
    <row r="149" spans="1:6">
      <c r="C149" t="str">
        <f t="shared" si="12"/>
        <v>GEB</v>
      </c>
      <c r="D149">
        <v>64</v>
      </c>
      <c r="E149" t="str">
        <f>"385"</f>
        <v>385</v>
      </c>
      <c r="F149" t="str">
        <f t="shared" si="14"/>
        <v>0000</v>
      </c>
    </row>
    <row r="150" spans="1:6">
      <c r="A150" t="str">
        <f>"E306-2"</f>
        <v>E306-2</v>
      </c>
      <c r="B150" t="str">
        <f>"VIA CRIMEA  1R-"</f>
        <v>VIA CRIMEA  1R-</v>
      </c>
      <c r="C150" t="str">
        <f t="shared" si="12"/>
        <v>GEB</v>
      </c>
      <c r="D150">
        <v>58</v>
      </c>
      <c r="E150" t="str">
        <f>"402"</f>
        <v>402</v>
      </c>
      <c r="F150" t="str">
        <f t="shared" si="14"/>
        <v>0000</v>
      </c>
    </row>
    <row r="151" spans="1:6">
      <c r="A151" t="str">
        <f>"E307-1"</f>
        <v>E307-1</v>
      </c>
      <c r="B151" t="str">
        <f>"VIA LUIGI MASCHERPA  34R-"</f>
        <v>VIA LUIGI MASCHERPA  34R-</v>
      </c>
      <c r="C151" t="str">
        <f t="shared" si="12"/>
        <v>GEB</v>
      </c>
      <c r="D151">
        <v>65</v>
      </c>
      <c r="E151" t="str">
        <f>"270"</f>
        <v>270</v>
      </c>
      <c r="F151" t="str">
        <f>"12"</f>
        <v>12</v>
      </c>
    </row>
    <row r="152" spans="1:6">
      <c r="A152" t="str">
        <f>"E314-1"</f>
        <v>E314-1</v>
      </c>
      <c r="B152" t="str">
        <f>"VIA CAFFA VICINO AL 1CR-"</f>
        <v>VIA CAFFA VICINO AL 1CR-</v>
      </c>
      <c r="C152" t="str">
        <f t="shared" si="12"/>
        <v>GEB</v>
      </c>
      <c r="D152">
        <v>58</v>
      </c>
      <c r="E152" t="str">
        <f>"376"</f>
        <v>376</v>
      </c>
      <c r="F152" t="str">
        <f t="shared" ref="F152:F160" si="15">"0000"</f>
        <v>0000</v>
      </c>
    </row>
    <row r="153" spans="1:6">
      <c r="A153" t="str">
        <f>"E318-1"</f>
        <v>E318-1</v>
      </c>
      <c r="B153" t="str">
        <f>"PIAZZA DELLA VITTORIA VICINO AL 8-"</f>
        <v>PIAZZA DELLA VITTORIA VICINO AL 8-</v>
      </c>
      <c r="C153" t="str">
        <f t="shared" si="12"/>
        <v>GEB</v>
      </c>
      <c r="D153">
        <v>57</v>
      </c>
      <c r="E153" t="str">
        <f>"A"</f>
        <v>A</v>
      </c>
      <c r="F153" t="str">
        <f t="shared" si="15"/>
        <v>0000</v>
      </c>
    </row>
    <row r="154" spans="1:6">
      <c r="A154" t="str">
        <f>"E322-1"</f>
        <v>E322-1</v>
      </c>
      <c r="B154" t="str">
        <f>"CORSO AURELIO SAFFI VICINO AL 1A-"</f>
        <v>CORSO AURELIO SAFFI VICINO AL 1A-</v>
      </c>
      <c r="C154" t="str">
        <f>"1"</f>
        <v>1</v>
      </c>
      <c r="D154">
        <v>85</v>
      </c>
      <c r="E154" t="str">
        <f>"319"</f>
        <v>319</v>
      </c>
      <c r="F154" t="str">
        <f t="shared" si="15"/>
        <v>0000</v>
      </c>
    </row>
    <row r="155" spans="1:6">
      <c r="A155" t="str">
        <f>"E323-1"</f>
        <v>E323-1</v>
      </c>
      <c r="B155" t="str">
        <f>"SCALINATA BORGHESE  1-"</f>
        <v>SCALINATA BORGHESE  1-</v>
      </c>
      <c r="C155" t="str">
        <f t="shared" ref="C155:C162" si="16">"GEB"</f>
        <v>GEB</v>
      </c>
      <c r="D155">
        <v>58</v>
      </c>
      <c r="E155" t="str">
        <f>"129"</f>
        <v>129</v>
      </c>
      <c r="F155" t="str">
        <f t="shared" si="15"/>
        <v>0000</v>
      </c>
    </row>
    <row r="156" spans="1:6">
      <c r="A156" t="str">
        <f>"E324-1"</f>
        <v>E324-1</v>
      </c>
      <c r="B156" t="str">
        <f>"PIAZZA TOMMASEO  11BR-"</f>
        <v>PIAZZA TOMMASEO  11BR-</v>
      </c>
      <c r="C156" t="str">
        <f t="shared" si="16"/>
        <v>GEB</v>
      </c>
      <c r="D156">
        <v>58</v>
      </c>
      <c r="E156" t="str">
        <f>"127"</f>
        <v>127</v>
      </c>
      <c r="F156" t="str">
        <f t="shared" si="15"/>
        <v>0000</v>
      </c>
    </row>
    <row r="157" spans="1:6">
      <c r="A157" t="str">
        <f>"E325-1"</f>
        <v>E325-1</v>
      </c>
      <c r="B157" t="str">
        <f>"PIAZZA TOMMASEO  11CR-"</f>
        <v>PIAZZA TOMMASEO  11CR-</v>
      </c>
      <c r="C157" t="str">
        <f t="shared" si="16"/>
        <v>GEB</v>
      </c>
      <c r="D157">
        <v>58</v>
      </c>
      <c r="E157" t="str">
        <f>"126"</f>
        <v>126</v>
      </c>
      <c r="F157" t="str">
        <f t="shared" si="15"/>
        <v>0000</v>
      </c>
    </row>
    <row r="158" spans="1:6">
      <c r="A158" t="str">
        <f>"E342-1"</f>
        <v>E342-1</v>
      </c>
      <c r="B158" t="str">
        <f>"SALITA SUPERIORE NOCE  78-"</f>
        <v>SALITA SUPERIORE NOCE  78-</v>
      </c>
      <c r="C158" t="str">
        <f t="shared" si="16"/>
        <v>GEB</v>
      </c>
      <c r="D158">
        <v>53</v>
      </c>
      <c r="E158" t="str">
        <f>"133"</f>
        <v>133</v>
      </c>
      <c r="F158" t="str">
        <f t="shared" si="15"/>
        <v>0000</v>
      </c>
    </row>
    <row r="159" spans="1:6">
      <c r="C159" t="str">
        <f t="shared" si="16"/>
        <v>GEB</v>
      </c>
      <c r="D159">
        <v>53</v>
      </c>
      <c r="E159" t="str">
        <f>"76"</f>
        <v>76</v>
      </c>
      <c r="F159" t="str">
        <f t="shared" si="15"/>
        <v>0000</v>
      </c>
    </row>
    <row r="160" spans="1:6">
      <c r="C160" t="str">
        <f t="shared" si="16"/>
        <v>GEB</v>
      </c>
      <c r="D160">
        <v>53</v>
      </c>
      <c r="E160" t="str">
        <f>"6"</f>
        <v>6</v>
      </c>
      <c r="F160" t="str">
        <f t="shared" si="15"/>
        <v>0000</v>
      </c>
    </row>
    <row r="161" spans="1:6">
      <c r="A161" t="str">
        <f>"E344-1"</f>
        <v>E344-1</v>
      </c>
      <c r="B161" t="str">
        <f>"VIALE BERNABO BREA  65A-"</f>
        <v>VIALE BERNABO BREA  65A-</v>
      </c>
      <c r="C161" t="str">
        <f t="shared" si="16"/>
        <v>GEB</v>
      </c>
      <c r="D161">
        <v>55</v>
      </c>
      <c r="E161" t="str">
        <f>"805"</f>
        <v>805</v>
      </c>
      <c r="F161" t="str">
        <f>"1"</f>
        <v>1</v>
      </c>
    </row>
    <row r="162" spans="1:6">
      <c r="A162" t="str">
        <f>"E344-2"</f>
        <v>E344-2</v>
      </c>
      <c r="B162" t="str">
        <f>"VIALE BERNABO BREA  65A-"</f>
        <v>VIALE BERNABO BREA  65A-</v>
      </c>
      <c r="C162" t="str">
        <f t="shared" si="16"/>
        <v>GEB</v>
      </c>
      <c r="D162">
        <v>55</v>
      </c>
      <c r="E162" t="str">
        <f>"805"</f>
        <v>805</v>
      </c>
      <c r="F162" t="str">
        <f>"2"</f>
        <v>2</v>
      </c>
    </row>
    <row r="163" spans="1:6">
      <c r="A163" t="str">
        <f>"E356-1"</f>
        <v>E356-1</v>
      </c>
      <c r="B163" t="str">
        <f>"VIA GIACOMO BOERO  75-"</f>
        <v>VIA GIACOMO BOERO  75-</v>
      </c>
      <c r="C163" t="str">
        <f>"GED"</f>
        <v>GED</v>
      </c>
      <c r="D163">
        <v>48</v>
      </c>
      <c r="E163" t="str">
        <f>"1304"</f>
        <v>1304</v>
      </c>
      <c r="F163" t="str">
        <f t="shared" ref="F163:F171" si="17">"0000"</f>
        <v>0000</v>
      </c>
    </row>
    <row r="164" spans="1:6">
      <c r="A164" t="str">
        <f>"E357-1"</f>
        <v>E357-1</v>
      </c>
      <c r="B164" t="str">
        <f>"VIALE BERNABO BREA  67-"</f>
        <v>VIALE BERNABO BREA  67-</v>
      </c>
      <c r="C164" t="str">
        <f>"GEB"</f>
        <v>GEB</v>
      </c>
      <c r="D164">
        <v>55</v>
      </c>
      <c r="E164" t="str">
        <f>"47"</f>
        <v>47</v>
      </c>
      <c r="F164" t="str">
        <f t="shared" si="17"/>
        <v>0000</v>
      </c>
    </row>
    <row r="165" spans="1:6">
      <c r="C165" t="str">
        <f>"GEB"</f>
        <v>GEB</v>
      </c>
      <c r="D165">
        <v>55</v>
      </c>
      <c r="E165" t="str">
        <f>"48"</f>
        <v>48</v>
      </c>
      <c r="F165" t="str">
        <f t="shared" si="17"/>
        <v>0000</v>
      </c>
    </row>
    <row r="166" spans="1:6">
      <c r="A166" t="str">
        <f>"E364-1"</f>
        <v>E364-1</v>
      </c>
      <c r="B166" t="str">
        <f>"SALITA SUPERIORE NOCE  41R-"</f>
        <v>SALITA SUPERIORE NOCE  41R-</v>
      </c>
      <c r="C166" t="str">
        <f>"1"</f>
        <v>1</v>
      </c>
      <c r="D166">
        <v>75</v>
      </c>
      <c r="E166" t="str">
        <f>"99999"</f>
        <v>99999</v>
      </c>
      <c r="F166" t="str">
        <f t="shared" si="17"/>
        <v>0000</v>
      </c>
    </row>
    <row r="167" spans="1:6">
      <c r="A167" t="str">
        <f>"E364-2"</f>
        <v>E364-2</v>
      </c>
      <c r="B167" t="str">
        <f>"SALITA SUPERIORE NOCE  45R-"</f>
        <v>SALITA SUPERIORE NOCE  45R-</v>
      </c>
      <c r="C167" t="str">
        <f>"1"</f>
        <v>1</v>
      </c>
      <c r="D167">
        <v>75</v>
      </c>
      <c r="E167" t="str">
        <f>"99999"</f>
        <v>99999</v>
      </c>
      <c r="F167" t="str">
        <f t="shared" si="17"/>
        <v>0000</v>
      </c>
    </row>
    <row r="168" spans="1:6">
      <c r="A168" t="str">
        <f>"E365-1"</f>
        <v>E365-1</v>
      </c>
      <c r="B168" t="str">
        <f>"SALITA SUPERIORE NOCE  26R-"</f>
        <v>SALITA SUPERIORE NOCE  26R-</v>
      </c>
      <c r="C168" t="str">
        <f>"GEB"</f>
        <v>GEB</v>
      </c>
      <c r="D168">
        <v>53</v>
      </c>
      <c r="E168" t="str">
        <f>"731"</f>
        <v>731</v>
      </c>
      <c r="F168" t="str">
        <f t="shared" si="17"/>
        <v>0000</v>
      </c>
    </row>
    <row r="169" spans="1:6">
      <c r="A169" t="str">
        <f>"E366-1"</f>
        <v>E366-1</v>
      </c>
      <c r="B169" t="str">
        <f>"SALITA SUPERIORE NOCE  4R-"</f>
        <v>SALITA SUPERIORE NOCE  4R-</v>
      </c>
      <c r="C169" t="str">
        <f>"GEB"</f>
        <v>GEB</v>
      </c>
      <c r="D169">
        <v>53</v>
      </c>
      <c r="E169" t="str">
        <f>"728"</f>
        <v>728</v>
      </c>
      <c r="F169" t="str">
        <f t="shared" si="17"/>
        <v>0000</v>
      </c>
    </row>
    <row r="170" spans="1:6">
      <c r="A170" t="str">
        <f>"E367-1"</f>
        <v>E367-1</v>
      </c>
      <c r="B170" t="str">
        <f>"SALITA SUPERIORE NOCE  9R-"</f>
        <v>SALITA SUPERIORE NOCE  9R-</v>
      </c>
      <c r="C170" t="str">
        <f>"GEB"</f>
        <v>GEB</v>
      </c>
      <c r="D170">
        <v>53</v>
      </c>
      <c r="E170" t="str">
        <f>"729"</f>
        <v>729</v>
      </c>
      <c r="F170" t="str">
        <f t="shared" si="17"/>
        <v>0000</v>
      </c>
    </row>
    <row r="171" spans="1:6">
      <c r="A171" t="str">
        <f>"E368-1"</f>
        <v>E368-1</v>
      </c>
      <c r="B171" t="str">
        <f>"SALITA SUPERIORE NOCE  33A-"</f>
        <v>SALITA SUPERIORE NOCE  33A-</v>
      </c>
      <c r="C171" t="str">
        <f t="shared" ref="C171:C179" si="18">"GED"</f>
        <v>GED</v>
      </c>
      <c r="D171">
        <v>52</v>
      </c>
      <c r="E171" t="str">
        <f>"35"</f>
        <v>35</v>
      </c>
      <c r="F171" t="str">
        <f t="shared" si="17"/>
        <v>0000</v>
      </c>
    </row>
    <row r="172" spans="1:6">
      <c r="C172" t="str">
        <f t="shared" si="18"/>
        <v>GED</v>
      </c>
      <c r="D172">
        <v>52</v>
      </c>
      <c r="E172" t="str">
        <f>"36"</f>
        <v>36</v>
      </c>
      <c r="F172" t="str">
        <f>"2"</f>
        <v>2</v>
      </c>
    </row>
    <row r="173" spans="1:6">
      <c r="A173" t="str">
        <f>"E368-2"</f>
        <v>E368-2</v>
      </c>
      <c r="B173" t="str">
        <f>"SALITA SUPERIORE NOCE  33A-"</f>
        <v>SALITA SUPERIORE NOCE  33A-</v>
      </c>
      <c r="C173" t="str">
        <f t="shared" si="18"/>
        <v>GED</v>
      </c>
      <c r="D173">
        <v>52</v>
      </c>
      <c r="E173" t="str">
        <f>"36"</f>
        <v>36</v>
      </c>
      <c r="F173" t="str">
        <f>"3"</f>
        <v>3</v>
      </c>
    </row>
    <row r="174" spans="1:6">
      <c r="A174" t="str">
        <f>"E369-1"</f>
        <v>E369-1</v>
      </c>
      <c r="B174" t="str">
        <f t="shared" ref="B174:B179" si="19">"SALITA SUPERIORE NOCE  31-"</f>
        <v>SALITA SUPERIORE NOCE  31-</v>
      </c>
      <c r="C174" t="str">
        <f t="shared" si="18"/>
        <v>GED</v>
      </c>
      <c r="D174">
        <v>52</v>
      </c>
      <c r="E174" t="str">
        <f>"33"</f>
        <v>33</v>
      </c>
      <c r="F174" t="str">
        <f>"1"</f>
        <v>1</v>
      </c>
    </row>
    <row r="175" spans="1:6">
      <c r="C175" t="str">
        <f t="shared" si="18"/>
        <v>GED</v>
      </c>
      <c r="D175">
        <v>52</v>
      </c>
      <c r="E175" t="str">
        <f>"34"</f>
        <v>34</v>
      </c>
      <c r="F175" t="str">
        <f>"1"</f>
        <v>1</v>
      </c>
    </row>
    <row r="176" spans="1:6">
      <c r="A176" t="str">
        <f>"E369-2"</f>
        <v>E369-2</v>
      </c>
      <c r="B176" t="str">
        <f t="shared" si="19"/>
        <v>SALITA SUPERIORE NOCE  31-</v>
      </c>
      <c r="C176" t="str">
        <f t="shared" si="18"/>
        <v>GED</v>
      </c>
      <c r="D176">
        <v>52</v>
      </c>
      <c r="E176" t="str">
        <f>"33"</f>
        <v>33</v>
      </c>
      <c r="F176" t="str">
        <f>"2"</f>
        <v>2</v>
      </c>
    </row>
    <row r="177" spans="1:6">
      <c r="C177" t="str">
        <f t="shared" si="18"/>
        <v>GED</v>
      </c>
      <c r="D177">
        <v>52</v>
      </c>
      <c r="E177" t="str">
        <f>"36"</f>
        <v>36</v>
      </c>
      <c r="F177" t="str">
        <f>"1"</f>
        <v>1</v>
      </c>
    </row>
    <row r="178" spans="1:6">
      <c r="C178" t="str">
        <f t="shared" si="18"/>
        <v>GED</v>
      </c>
      <c r="D178">
        <v>52</v>
      </c>
      <c r="E178" t="str">
        <f>"34"</f>
        <v>34</v>
      </c>
      <c r="F178" t="str">
        <f>"3"</f>
        <v>3</v>
      </c>
    </row>
    <row r="179" spans="1:6">
      <c r="A179" t="str">
        <f>"E369-3"</f>
        <v>E369-3</v>
      </c>
      <c r="B179" t="str">
        <f t="shared" si="19"/>
        <v>SALITA SUPERIORE NOCE  31-</v>
      </c>
      <c r="C179" t="str">
        <f t="shared" si="18"/>
        <v>GED</v>
      </c>
      <c r="D179">
        <v>52</v>
      </c>
      <c r="E179" t="str">
        <f>"34"</f>
        <v>34</v>
      </c>
      <c r="F179" t="str">
        <f>"2"</f>
        <v>2</v>
      </c>
    </row>
    <row r="180" spans="1:6">
      <c r="A180" t="str">
        <f>"E372-1"</f>
        <v>E372-1</v>
      </c>
      <c r="B180" t="str">
        <f>"VIA PADRE SEMERIA  4-"</f>
        <v>VIA PADRE SEMERIA  4-</v>
      </c>
      <c r="C180" t="str">
        <f>"GEB"</f>
        <v>GEB</v>
      </c>
      <c r="D180">
        <v>53</v>
      </c>
      <c r="E180" t="str">
        <f>"96"</f>
        <v>96</v>
      </c>
      <c r="F180" t="str">
        <f>"6"</f>
        <v>6</v>
      </c>
    </row>
    <row r="181" spans="1:6">
      <c r="A181" t="str">
        <f>"E372-2"</f>
        <v>E372-2</v>
      </c>
      <c r="B181" t="str">
        <f>"VIA PADRE SEMERIA  4-"</f>
        <v>VIA PADRE SEMERIA  4-</v>
      </c>
      <c r="C181" t="str">
        <f>"GEB"</f>
        <v>GEB</v>
      </c>
      <c r="D181">
        <v>53</v>
      </c>
      <c r="E181" t="str">
        <f>"96"</f>
        <v>96</v>
      </c>
      <c r="F181" t="str">
        <f>"4"</f>
        <v>4</v>
      </c>
    </row>
    <row r="182" spans="1:6">
      <c r="A182" t="str">
        <f>"E373-1"</f>
        <v>E373-1</v>
      </c>
      <c r="B182" t="str">
        <f>"VIA G B MARSANO  10-"</f>
        <v>VIA G B MARSANO  10-</v>
      </c>
      <c r="C182" t="str">
        <f t="shared" ref="C182:C187" si="20">"GED"</f>
        <v>GED</v>
      </c>
      <c r="D182">
        <v>45</v>
      </c>
      <c r="E182" t="str">
        <f>"224"</f>
        <v>224</v>
      </c>
      <c r="F182" t="str">
        <f>"2"</f>
        <v>2</v>
      </c>
    </row>
    <row r="183" spans="1:6">
      <c r="A183" t="str">
        <f>"E373-2"</f>
        <v>E373-2</v>
      </c>
      <c r="B183" t="str">
        <f>"VIA G B MARSANO  10-"</f>
        <v>VIA G B MARSANO  10-</v>
      </c>
      <c r="C183" t="str">
        <f t="shared" si="20"/>
        <v>GED</v>
      </c>
      <c r="D183">
        <v>45</v>
      </c>
      <c r="E183" t="str">
        <f>"162"</f>
        <v>162</v>
      </c>
      <c r="F183" t="str">
        <f>"0000"</f>
        <v>0000</v>
      </c>
    </row>
    <row r="184" spans="1:6">
      <c r="C184" t="str">
        <f t="shared" si="20"/>
        <v>GED</v>
      </c>
      <c r="D184">
        <v>45</v>
      </c>
      <c r="E184" t="str">
        <f>"167"</f>
        <v>167</v>
      </c>
      <c r="F184" t="str">
        <f>"0000"</f>
        <v>0000</v>
      </c>
    </row>
    <row r="185" spans="1:6">
      <c r="C185" t="str">
        <f t="shared" si="20"/>
        <v>GED</v>
      </c>
      <c r="D185">
        <v>45</v>
      </c>
      <c r="E185" t="str">
        <f>"168"</f>
        <v>168</v>
      </c>
      <c r="F185" t="str">
        <f>"0000"</f>
        <v>0000</v>
      </c>
    </row>
    <row r="186" spans="1:6">
      <c r="C186" t="str">
        <f t="shared" si="20"/>
        <v>GED</v>
      </c>
      <c r="D186">
        <v>45</v>
      </c>
      <c r="E186" t="str">
        <f>"224"</f>
        <v>224</v>
      </c>
      <c r="F186" t="str">
        <f>"1"</f>
        <v>1</v>
      </c>
    </row>
    <row r="187" spans="1:6">
      <c r="C187" t="str">
        <f t="shared" si="20"/>
        <v>GED</v>
      </c>
      <c r="D187">
        <v>45</v>
      </c>
      <c r="E187" t="str">
        <f>"166"</f>
        <v>166</v>
      </c>
      <c r="F187" t="str">
        <f t="shared" ref="F187:F193" si="21">"0000"</f>
        <v>0000</v>
      </c>
    </row>
    <row r="188" spans="1:6">
      <c r="A188" t="str">
        <f>"E374-1"</f>
        <v>E374-1</v>
      </c>
      <c r="B188" t="str">
        <f t="shared" ref="B188:B192" si="22">"LARGO ROSANNA BENZI  10-"</f>
        <v>LARGO ROSANNA BENZI  10-</v>
      </c>
      <c r="C188" t="str">
        <f t="shared" ref="C188:C193" si="23">"1"</f>
        <v>1</v>
      </c>
      <c r="D188">
        <v>55</v>
      </c>
      <c r="E188" t="str">
        <f>"162"</f>
        <v>162</v>
      </c>
      <c r="F188" t="str">
        <f t="shared" si="21"/>
        <v>0000</v>
      </c>
    </row>
    <row r="189" spans="1:6">
      <c r="C189" t="str">
        <f t="shared" si="23"/>
        <v>1</v>
      </c>
      <c r="D189">
        <v>55</v>
      </c>
      <c r="E189" t="str">
        <f>"166"</f>
        <v>166</v>
      </c>
      <c r="F189" t="str">
        <f t="shared" si="21"/>
        <v>0000</v>
      </c>
    </row>
    <row r="190" spans="1:6">
      <c r="A190" t="str">
        <f>"E375-1"</f>
        <v>E375-1</v>
      </c>
      <c r="B190" t="str">
        <f t="shared" si="22"/>
        <v>LARGO ROSANNA BENZI  10-</v>
      </c>
      <c r="C190" t="str">
        <f t="shared" si="23"/>
        <v>1</v>
      </c>
      <c r="D190">
        <v>55</v>
      </c>
      <c r="E190" t="str">
        <f>"162"</f>
        <v>162</v>
      </c>
      <c r="F190" t="str">
        <f t="shared" si="21"/>
        <v>0000</v>
      </c>
    </row>
    <row r="191" spans="1:6">
      <c r="C191" t="str">
        <f t="shared" si="23"/>
        <v>1</v>
      </c>
      <c r="D191">
        <v>55</v>
      </c>
      <c r="E191" t="str">
        <f>"168"</f>
        <v>168</v>
      </c>
      <c r="F191" t="str">
        <f t="shared" si="21"/>
        <v>0000</v>
      </c>
    </row>
    <row r="192" spans="1:6">
      <c r="A192" t="str">
        <f>"E376-1"</f>
        <v>E376-1</v>
      </c>
      <c r="B192" t="str">
        <f t="shared" si="22"/>
        <v>LARGO ROSANNA BENZI  10-</v>
      </c>
      <c r="C192" t="str">
        <f t="shared" si="23"/>
        <v>1</v>
      </c>
      <c r="D192">
        <v>55</v>
      </c>
      <c r="E192" t="str">
        <f>"162"</f>
        <v>162</v>
      </c>
      <c r="F192" t="str">
        <f t="shared" si="21"/>
        <v>0000</v>
      </c>
    </row>
    <row r="193" spans="1:6">
      <c r="C193" t="str">
        <f t="shared" si="23"/>
        <v>1</v>
      </c>
      <c r="D193">
        <v>55</v>
      </c>
      <c r="E193" t="str">
        <f>"167"</f>
        <v>167</v>
      </c>
      <c r="F193" t="str">
        <f t="shared" si="21"/>
        <v>0000</v>
      </c>
    </row>
    <row r="194" spans="1:6">
      <c r="A194" t="str">
        <f>"E383-1"</f>
        <v>E383-1</v>
      </c>
      <c r="B194" t="str">
        <f>"VIALE BERNABO BREA  40-"</f>
        <v>VIALE BERNABO BREA  40-</v>
      </c>
      <c r="C194" t="str">
        <f>"GEB"</f>
        <v>GEB</v>
      </c>
      <c r="D194">
        <v>55</v>
      </c>
      <c r="E194" t="str">
        <f>"806"</f>
        <v>806</v>
      </c>
      <c r="F194" t="str">
        <f>"1"</f>
        <v>1</v>
      </c>
    </row>
    <row r="195" spans="1:6">
      <c r="A195" t="str">
        <f>"E383-2"</f>
        <v>E383-2</v>
      </c>
      <c r="B195" t="str">
        <f>"VIALE BERNABO BREA  40-"</f>
        <v>VIALE BERNABO BREA  40-</v>
      </c>
      <c r="C195" t="str">
        <f>"GEB"</f>
        <v>GEB</v>
      </c>
      <c r="D195">
        <v>55</v>
      </c>
      <c r="E195" t="str">
        <f>"806"</f>
        <v>806</v>
      </c>
      <c r="F195" t="str">
        <f>"2"</f>
        <v>2</v>
      </c>
    </row>
    <row r="196" spans="1:6">
      <c r="A196" t="str">
        <f>"E385-1"</f>
        <v>E385-1</v>
      </c>
      <c r="B196" t="str">
        <f>"SALITA SUP DI SANTA TECLA VICINO AL 18-"</f>
        <v>SALITA SUP DI SANTA TECLA VICINO AL 18-</v>
      </c>
      <c r="C196" t="str">
        <f>"1"</f>
        <v>1</v>
      </c>
      <c r="D196">
        <v>56</v>
      </c>
      <c r="E196" t="str">
        <f>"507"</f>
        <v>507</v>
      </c>
      <c r="F196" t="str">
        <f>"0000"</f>
        <v>0000</v>
      </c>
    </row>
    <row r="197" spans="1:6">
      <c r="A197" t="str">
        <f>"E386-1"</f>
        <v>E386-1</v>
      </c>
      <c r="B197" t="str">
        <f>"LARGO ROSANNA BENZI  10-"</f>
        <v>LARGO ROSANNA BENZI  10-</v>
      </c>
      <c r="C197" t="str">
        <f>"1"</f>
        <v>1</v>
      </c>
      <c r="D197">
        <v>55</v>
      </c>
      <c r="E197" t="str">
        <f>"134"</f>
        <v>134</v>
      </c>
      <c r="F197" t="str">
        <f>"0000"</f>
        <v>0000</v>
      </c>
    </row>
    <row r="198" spans="1:6">
      <c r="C198" t="str">
        <f>"1"</f>
        <v>1</v>
      </c>
      <c r="D198">
        <v>55</v>
      </c>
      <c r="E198" t="str">
        <f>"162"</f>
        <v>162</v>
      </c>
      <c r="F198" t="str">
        <f>"0000"</f>
        <v>0000</v>
      </c>
    </row>
    <row r="199" spans="1:6">
      <c r="A199" t="str">
        <f>"E387-4"</f>
        <v>E387-4</v>
      </c>
      <c r="B199" t="str">
        <f>"VIA LUIGI CADORNA VICINO AL 1-"</f>
        <v>VIA LUIGI CADORNA VICINO AL 1-</v>
      </c>
      <c r="C199" t="str">
        <f>"1"</f>
        <v>1</v>
      </c>
      <c r="D199">
        <v>70</v>
      </c>
      <c r="E199" t="str">
        <f>"73"</f>
        <v>73</v>
      </c>
      <c r="F199" t="str">
        <f>"0000"</f>
        <v>0000</v>
      </c>
    </row>
    <row r="200" spans="1:6">
      <c r="A200" t="str">
        <f>"E473-1"</f>
        <v>E473-1</v>
      </c>
      <c r="B200" t="str">
        <f>"CORTE DEI LAMBRUSCHINI VICINO AL 9-"</f>
        <v>CORTE DEI LAMBRUSCHINI VICINO AL 9-</v>
      </c>
      <c r="C200" t="str">
        <f>"GEB"</f>
        <v>GEB</v>
      </c>
      <c r="D200">
        <v>57</v>
      </c>
      <c r="E200" t="str">
        <f>"349"</f>
        <v>349</v>
      </c>
      <c r="F200" t="str">
        <f>"20"</f>
        <v>20</v>
      </c>
    </row>
    <row r="201" spans="1:6">
      <c r="C201" t="str">
        <f>"GEB"</f>
        <v>GEB</v>
      </c>
      <c r="D201">
        <v>57</v>
      </c>
      <c r="E201" t="str">
        <f>"349"</f>
        <v>349</v>
      </c>
      <c r="F201" t="str">
        <f>"366"</f>
        <v>366</v>
      </c>
    </row>
    <row r="202" spans="1:6">
      <c r="A202" t="str">
        <f>"E473-2"</f>
        <v>E473-2</v>
      </c>
      <c r="B202" t="str">
        <f>"CORTE DEI LAMBRUSCHINI VICINO AL 9-"</f>
        <v>CORTE DEI LAMBRUSCHINI VICINO AL 9-</v>
      </c>
      <c r="C202" t="str">
        <f>"GEB"</f>
        <v>GEB</v>
      </c>
      <c r="D202">
        <v>57</v>
      </c>
      <c r="E202" t="str">
        <f>"349"</f>
        <v>349</v>
      </c>
      <c r="F202" t="str">
        <f>"365"</f>
        <v>365</v>
      </c>
    </row>
    <row r="203" spans="1:6">
      <c r="A203" t="str">
        <f>"E473-3"</f>
        <v>E473-3</v>
      </c>
      <c r="B203" t="str">
        <f>"PIAZZA BORGO PILA  40-"</f>
        <v>PIAZZA BORGO PILA  40-</v>
      </c>
      <c r="C203" t="str">
        <f>"GEB"</f>
        <v>GEB</v>
      </c>
      <c r="D203">
        <v>57</v>
      </c>
      <c r="E203" t="str">
        <f>"349"</f>
        <v>349</v>
      </c>
      <c r="F203" t="str">
        <f>"485"</f>
        <v>485</v>
      </c>
    </row>
    <row r="204" spans="1:6">
      <c r="A204" t="str">
        <f>"E473-4"</f>
        <v>E473-4</v>
      </c>
      <c r="B204" t="str">
        <f>"CORTE DEI LAMBRUSCHINI VICINO AL 9-"</f>
        <v>CORTE DEI LAMBRUSCHINI VICINO AL 9-</v>
      </c>
      <c r="C204" t="str">
        <f t="shared" ref="C204:C209" si="24">"1"</f>
        <v>1</v>
      </c>
      <c r="D204">
        <v>70</v>
      </c>
      <c r="E204" t="str">
        <f>"79"</f>
        <v>79</v>
      </c>
      <c r="F204" t="str">
        <f t="shared" ref="F204:F211" si="25">"0000"</f>
        <v>0000</v>
      </c>
    </row>
    <row r="205" spans="1:6">
      <c r="C205" t="str">
        <f t="shared" si="24"/>
        <v>1</v>
      </c>
      <c r="D205">
        <v>70</v>
      </c>
      <c r="E205" t="str">
        <f>"88"</f>
        <v>88</v>
      </c>
      <c r="F205" t="str">
        <f t="shared" si="25"/>
        <v>0000</v>
      </c>
    </row>
    <row r="206" spans="1:6">
      <c r="A206" t="str">
        <f>"E473-5"</f>
        <v>E473-5</v>
      </c>
      <c r="B206" t="str">
        <f>"CORTE DEI LAMBRUSCHINI VICINO AL 9-"</f>
        <v>CORTE DEI LAMBRUSCHINI VICINO AL 9-</v>
      </c>
      <c r="C206" t="str">
        <f t="shared" si="24"/>
        <v>1</v>
      </c>
      <c r="D206">
        <v>70</v>
      </c>
      <c r="E206" t="str">
        <f>"79"</f>
        <v>79</v>
      </c>
      <c r="F206" t="str">
        <f t="shared" si="25"/>
        <v>0000</v>
      </c>
    </row>
    <row r="207" spans="1:6">
      <c r="C207" t="str">
        <f t="shared" si="24"/>
        <v>1</v>
      </c>
      <c r="D207">
        <v>70</v>
      </c>
      <c r="E207" t="str">
        <f>"88"</f>
        <v>88</v>
      </c>
      <c r="F207" t="str">
        <f t="shared" si="25"/>
        <v>0000</v>
      </c>
    </row>
    <row r="208" spans="1:6">
      <c r="A208" t="str">
        <f>"E543-1"</f>
        <v>E543-1</v>
      </c>
      <c r="B208" t="str">
        <f>"VIA BOCCHELLA VICINO AL 2-"</f>
        <v>VIA BOCCHELLA VICINO AL 2-</v>
      </c>
      <c r="C208" t="str">
        <f t="shared" si="24"/>
        <v>1</v>
      </c>
      <c r="D208">
        <v>91</v>
      </c>
      <c r="E208" t="str">
        <f>"330"</f>
        <v>330</v>
      </c>
      <c r="F208" t="str">
        <f t="shared" si="25"/>
        <v>0000</v>
      </c>
    </row>
    <row r="209" spans="1:6">
      <c r="A209" t="str">
        <f>"E647-1"</f>
        <v>E647-1</v>
      </c>
      <c r="B209" t="str">
        <f>"P.ZA GEROLAMO SAVONAROLA VICINO AL 4-"</f>
        <v>P.ZA GEROLAMO SAVONAROLA VICINO AL 4-</v>
      </c>
      <c r="C209" t="str">
        <f t="shared" si="24"/>
        <v>1</v>
      </c>
      <c r="D209">
        <v>86</v>
      </c>
      <c r="E209" t="str">
        <f>"422"</f>
        <v>422</v>
      </c>
      <c r="F209" t="str">
        <f t="shared" si="25"/>
        <v>0000</v>
      </c>
    </row>
    <row r="210" spans="1:6">
      <c r="A210" t="str">
        <f>"E661-1"</f>
        <v>E661-1</v>
      </c>
      <c r="B210" t="str">
        <f>"VIA ANGELO SCRIBANTI  2-"</f>
        <v>VIA ANGELO SCRIBANTI  2-</v>
      </c>
      <c r="C210" t="str">
        <f>"GEB"</f>
        <v>GEB</v>
      </c>
      <c r="D210">
        <v>53</v>
      </c>
      <c r="E210" t="str">
        <f>"22"</f>
        <v>22</v>
      </c>
      <c r="F210" t="str">
        <f t="shared" si="25"/>
        <v>0000</v>
      </c>
    </row>
    <row r="211" spans="1:6">
      <c r="A211" t="str">
        <f>"E662-1"</f>
        <v>E662-1</v>
      </c>
      <c r="B211" t="str">
        <f>"VIA FEDERICO SCLOPIS  17-"</f>
        <v>VIA FEDERICO SCLOPIS  17-</v>
      </c>
      <c r="C211" t="str">
        <f>"GEB"</f>
        <v>GEB</v>
      </c>
      <c r="D211">
        <v>62</v>
      </c>
      <c r="E211" t="str">
        <f>"218"</f>
        <v>218</v>
      </c>
      <c r="F211" t="str">
        <f t="shared" si="25"/>
        <v>0000</v>
      </c>
    </row>
    <row r="212" spans="1:6">
      <c r="A212" t="str">
        <f>"E664-1"</f>
        <v>E664-1</v>
      </c>
      <c r="B212" t="str">
        <f>"PIAZZA MARCELLO REMONDINI  2-"</f>
        <v>PIAZZA MARCELLO REMONDINI  2-</v>
      </c>
      <c r="C212" t="str">
        <f>"GED"</f>
        <v>GED</v>
      </c>
      <c r="D212">
        <v>48</v>
      </c>
      <c r="E212" t="str">
        <f>"16"</f>
        <v>16</v>
      </c>
      <c r="F212" t="str">
        <f>"3"</f>
        <v>3</v>
      </c>
    </row>
    <row r="213" spans="1:6">
      <c r="A213" t="str">
        <f>"E664-2"</f>
        <v>E664-2</v>
      </c>
      <c r="B213" t="str">
        <f>"PIAZZA MARCELLO REMONDINI  2-"</f>
        <v>PIAZZA MARCELLO REMONDINI  2-</v>
      </c>
      <c r="C213" t="str">
        <f>"GED"</f>
        <v>GED</v>
      </c>
      <c r="D213">
        <v>48</v>
      </c>
      <c r="E213" t="str">
        <f>"16"</f>
        <v>16</v>
      </c>
      <c r="F213" t="str">
        <f>"1"</f>
        <v>1</v>
      </c>
    </row>
    <row r="214" spans="1:6">
      <c r="A214" t="str">
        <f>"E664-3"</f>
        <v>E664-3</v>
      </c>
      <c r="B214" t="str">
        <f>"PIAZZA MARCELLO REMONDINI  2-"</f>
        <v>PIAZZA MARCELLO REMONDINI  2-</v>
      </c>
      <c r="C214" t="str">
        <f>"GED"</f>
        <v>GED</v>
      </c>
      <c r="D214">
        <v>48</v>
      </c>
      <c r="E214" t="str">
        <f>"16"</f>
        <v>16</v>
      </c>
      <c r="F214" t="str">
        <f>"2"</f>
        <v>2</v>
      </c>
    </row>
    <row r="215" spans="1:6">
      <c r="A215" t="str">
        <f>"E665-1"</f>
        <v>E665-1</v>
      </c>
      <c r="B215" t="str">
        <f>"VIA EUGENIO RUSPOLI  6-"</f>
        <v>VIA EUGENIO RUSPOLI  6-</v>
      </c>
      <c r="C215" t="str">
        <f>"GEB"</f>
        <v>GEB</v>
      </c>
      <c r="D215">
        <v>65</v>
      </c>
      <c r="E215" t="str">
        <f>"292"</f>
        <v>292</v>
      </c>
      <c r="F215" t="str">
        <f>"27"</f>
        <v>27</v>
      </c>
    </row>
    <row r="216" spans="1:6">
      <c r="A216" t="str">
        <f>"E666-1"</f>
        <v>E666-1</v>
      </c>
      <c r="B216" t="str">
        <f>"PIAZZA SCIO  18R-"</f>
        <v>PIAZZA SCIO  18R-</v>
      </c>
      <c r="C216" t="str">
        <f>"GEB"</f>
        <v>GEB</v>
      </c>
      <c r="D216">
        <v>64</v>
      </c>
      <c r="E216" t="str">
        <f>"895"</f>
        <v>895</v>
      </c>
      <c r="F216" t="str">
        <f>"0000"</f>
        <v>0000</v>
      </c>
    </row>
    <row r="217" spans="1:6">
      <c r="A217" t="str">
        <f>"E1343-1"</f>
        <v>E1343-1</v>
      </c>
      <c r="B217" t="str">
        <f>"PIAZZA ENRICO BASSANO  2-"</f>
        <v>PIAZZA ENRICO BASSANO  2-</v>
      </c>
      <c r="C217" t="str">
        <f>"GEB"</f>
        <v>GEB</v>
      </c>
      <c r="D217">
        <v>72</v>
      </c>
      <c r="E217" t="str">
        <f>"332"</f>
        <v>332</v>
      </c>
      <c r="F217" t="str">
        <f>"1"</f>
        <v>1</v>
      </c>
    </row>
    <row r="218" spans="1:6">
      <c r="A218" t="str">
        <f>"E1809-1"</f>
        <v>E1809-1</v>
      </c>
      <c r="B218" t="str">
        <f>"GIARDINI GILBERTO GOVI  16-"</f>
        <v>GIARDINI GILBERTO GOVI  16-</v>
      </c>
      <c r="C218" t="str">
        <f>"1"</f>
        <v>1</v>
      </c>
      <c r="D218">
        <v>89</v>
      </c>
      <c r="E218" t="str">
        <f>"324"</f>
        <v>324</v>
      </c>
      <c r="F218" t="str">
        <f>"0000"</f>
        <v>0000</v>
      </c>
    </row>
    <row r="219" spans="1:6">
      <c r="C219" t="str">
        <f>"1"</f>
        <v>1</v>
      </c>
      <c r="D219">
        <v>89</v>
      </c>
      <c r="E219" t="str">
        <f>"99999"</f>
        <v>99999</v>
      </c>
      <c r="F219" t="str">
        <f>"0000"</f>
        <v>0000</v>
      </c>
    </row>
    <row r="220" spans="1:6">
      <c r="A220" t="str">
        <f>"E1851-1"</f>
        <v>E1851-1</v>
      </c>
      <c r="B220" t="str">
        <f>"VIA FELICE CAVALLOTTI A CATASTO 85R-"</f>
        <v>VIA FELICE CAVALLOTTI A CATASTO 85R-</v>
      </c>
      <c r="C220" t="str">
        <f>"GEB"</f>
        <v>GEB</v>
      </c>
      <c r="D220">
        <v>72</v>
      </c>
      <c r="E220" t="str">
        <f>"1046"</f>
        <v>1046</v>
      </c>
      <c r="F220" t="str">
        <f>"102"</f>
        <v>102</v>
      </c>
    </row>
    <row r="221" spans="1:6">
      <c r="A221" t="str">
        <f>"E1851-2"</f>
        <v>E1851-2</v>
      </c>
      <c r="B221" t="str">
        <f>"VIA FELICE CAVALLOTTI A CATASTO 85R-"</f>
        <v>VIA FELICE CAVALLOTTI A CATASTO 85R-</v>
      </c>
      <c r="C221" t="str">
        <f>"GEB"</f>
        <v>GEB</v>
      </c>
      <c r="D221">
        <v>72</v>
      </c>
      <c r="E221" t="str">
        <f>"1046"</f>
        <v>1046</v>
      </c>
      <c r="F221" t="str">
        <f>"101"</f>
        <v>101</v>
      </c>
    </row>
    <row r="222" spans="1:6">
      <c r="A222" t="str">
        <f>"E1873-1"</f>
        <v>E1873-1</v>
      </c>
      <c r="B222" t="str">
        <f>"PIAZZA GIUSEPPE VERDI  34R-"</f>
        <v>PIAZZA GIUSEPPE VERDI  34R-</v>
      </c>
      <c r="C222" t="str">
        <f>"1"</f>
        <v>1</v>
      </c>
      <c r="D222">
        <v>70</v>
      </c>
      <c r="E222" t="str">
        <f>"639"</f>
        <v>639</v>
      </c>
      <c r="F222" t="str">
        <f t="shared" ref="F222:F229" si="26">"0000"</f>
        <v>0000</v>
      </c>
    </row>
    <row r="223" spans="1:6">
      <c r="C223" t="str">
        <f>"1"</f>
        <v>1</v>
      </c>
      <c r="D223">
        <v>70</v>
      </c>
      <c r="E223" t="str">
        <f>"STRAD"</f>
        <v>STRAD</v>
      </c>
      <c r="F223" t="str">
        <f t="shared" si="26"/>
        <v>0000</v>
      </c>
    </row>
    <row r="224" spans="1:6">
      <c r="A224" t="str">
        <f>"E1873-2"</f>
        <v>E1873-2</v>
      </c>
      <c r="B224" t="str">
        <f>"PIAZZA GIUSEPPE VERDI  35R-"</f>
        <v>PIAZZA GIUSEPPE VERDI  35R-</v>
      </c>
      <c r="C224" t="str">
        <f>"1"</f>
        <v>1</v>
      </c>
      <c r="D224">
        <v>70</v>
      </c>
      <c r="E224" t="str">
        <f>"639"</f>
        <v>639</v>
      </c>
      <c r="F224" t="str">
        <f t="shared" si="26"/>
        <v>0000</v>
      </c>
    </row>
    <row r="225" spans="1:6">
      <c r="C225" t="str">
        <f>"1"</f>
        <v>1</v>
      </c>
      <c r="D225">
        <v>70</v>
      </c>
      <c r="E225" t="str">
        <f>"STRAD"</f>
        <v>STRAD</v>
      </c>
      <c r="F225" t="str">
        <f t="shared" si="26"/>
        <v>0000</v>
      </c>
    </row>
    <row r="226" spans="1:6">
      <c r="A226" t="str">
        <f>"E1913-1"</f>
        <v>E1913-1</v>
      </c>
      <c r="B226" t="str">
        <f>"CORSO ALDO GASTALDI SITO NEL 7-"</f>
        <v>CORSO ALDO GASTALDI SITO NEL 7-</v>
      </c>
      <c r="C226" t="str">
        <f>"1"</f>
        <v>1</v>
      </c>
      <c r="D226">
        <v>71</v>
      </c>
      <c r="E226" t="str">
        <f>"156"</f>
        <v>156</v>
      </c>
      <c r="F226" t="str">
        <f t="shared" si="26"/>
        <v>0000</v>
      </c>
    </row>
    <row r="227" spans="1:6">
      <c r="A227" t="str">
        <f>"E1949-1"</f>
        <v>E1949-1</v>
      </c>
      <c r="B227" t="str">
        <f>"VIA EDOARDO JENNER  32C-"</f>
        <v>VIA EDOARDO JENNER  32C-</v>
      </c>
      <c r="C227" t="str">
        <f>"GEB"</f>
        <v>GEB</v>
      </c>
      <c r="D227">
        <v>61</v>
      </c>
      <c r="E227" t="str">
        <f>"895"</f>
        <v>895</v>
      </c>
      <c r="F227" t="str">
        <f t="shared" si="26"/>
        <v>0000</v>
      </c>
    </row>
    <row r="228" spans="1:6">
      <c r="A228" t="str">
        <f>"E1955-1"</f>
        <v>E1955-1</v>
      </c>
      <c r="B228" t="str">
        <f>"VIA VERNAZZA  31-"</f>
        <v>VIA VERNAZZA  31-</v>
      </c>
      <c r="C228" t="str">
        <f t="shared" ref="C228:C234" si="27">"GED"</f>
        <v>GED</v>
      </c>
      <c r="D228">
        <v>48</v>
      </c>
      <c r="E228" t="str">
        <f>"1336"</f>
        <v>1336</v>
      </c>
      <c r="F228" t="str">
        <f t="shared" si="26"/>
        <v>0000</v>
      </c>
    </row>
    <row r="229" spans="1:6">
      <c r="C229" t="str">
        <f t="shared" si="27"/>
        <v>GED</v>
      </c>
      <c r="D229">
        <v>48</v>
      </c>
      <c r="E229" t="str">
        <f>"1340"</f>
        <v>1340</v>
      </c>
      <c r="F229" t="str">
        <f t="shared" si="26"/>
        <v>0000</v>
      </c>
    </row>
    <row r="230" spans="1:6">
      <c r="C230" t="str">
        <f t="shared" si="27"/>
        <v>GED</v>
      </c>
      <c r="D230">
        <v>48</v>
      </c>
      <c r="E230" t="str">
        <f>"425"</f>
        <v>425</v>
      </c>
      <c r="F230" t="str">
        <f>"1"</f>
        <v>1</v>
      </c>
    </row>
    <row r="231" spans="1:6">
      <c r="C231" t="str">
        <f t="shared" si="27"/>
        <v>GED</v>
      </c>
      <c r="D231">
        <v>48</v>
      </c>
      <c r="E231" t="str">
        <f>"424"</f>
        <v>424</v>
      </c>
      <c r="F231" t="str">
        <f>"1"</f>
        <v>1</v>
      </c>
    </row>
    <row r="232" spans="1:6">
      <c r="C232" t="str">
        <f t="shared" si="27"/>
        <v>GED</v>
      </c>
      <c r="D232">
        <v>48</v>
      </c>
      <c r="E232" t="str">
        <f>"1339"</f>
        <v>1339</v>
      </c>
      <c r="F232" t="str">
        <f>"0000"</f>
        <v>0000</v>
      </c>
    </row>
    <row r="233" spans="1:6">
      <c r="C233" t="str">
        <f t="shared" si="27"/>
        <v>GED</v>
      </c>
      <c r="D233">
        <v>48</v>
      </c>
      <c r="E233" t="str">
        <f>"1337"</f>
        <v>1337</v>
      </c>
      <c r="F233" t="str">
        <f>"0000"</f>
        <v>0000</v>
      </c>
    </row>
    <row r="234" spans="1:6">
      <c r="C234" t="str">
        <f t="shared" si="27"/>
        <v>GED</v>
      </c>
      <c r="D234">
        <v>48</v>
      </c>
      <c r="E234" t="str">
        <f>"1338"</f>
        <v>1338</v>
      </c>
      <c r="F234" t="str">
        <f>"0000"</f>
        <v>0000</v>
      </c>
    </row>
    <row r="235" spans="1:6">
      <c r="A235" t="str">
        <f>"E1964-1"</f>
        <v>E1964-1</v>
      </c>
      <c r="B235" t="str">
        <f>"VIA CARLO BARABINO  12R-"</f>
        <v>VIA CARLO BARABINO  12R-</v>
      </c>
      <c r="C235" t="str">
        <f>"GEB"</f>
        <v>GEB</v>
      </c>
      <c r="D235">
        <v>64</v>
      </c>
      <c r="E235" t="str">
        <f>"308"</f>
        <v>308</v>
      </c>
      <c r="F235" t="str">
        <f>"1"</f>
        <v>1</v>
      </c>
    </row>
    <row r="236" spans="1:6">
      <c r="C236" t="str">
        <f>"GEB"</f>
        <v>GEB</v>
      </c>
      <c r="D236">
        <v>64</v>
      </c>
      <c r="E236" t="str">
        <f>"310"</f>
        <v>310</v>
      </c>
      <c r="F236" t="str">
        <f>"0000"</f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68"/>
  <sheetViews>
    <sheetView tabSelected="1" workbookViewId="0"/>
  </sheetViews>
  <sheetFormatPr defaultRowHeight="12.75"/>
  <cols>
    <col min="1" max="1" width="19.5703125" bestFit="1" customWidth="1"/>
    <col min="2" max="2" width="43.710937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"E1-1"</f>
        <v>E1-1</v>
      </c>
      <c r="B2" t="str">
        <f>"VIA AURELIA  56-"</f>
        <v>VIA AURELIA  56-</v>
      </c>
      <c r="C2" t="str">
        <f>"SI"</f>
        <v>SI</v>
      </c>
      <c r="D2">
        <v>8</v>
      </c>
      <c r="E2" t="str">
        <f>"129"</f>
        <v>129</v>
      </c>
      <c r="F2" t="str">
        <f>"0000"</f>
        <v>0000</v>
      </c>
    </row>
    <row r="3" spans="1:6">
      <c r="A3" t="str">
        <f>"E2-1"</f>
        <v>E2-1</v>
      </c>
      <c r="B3" t="str">
        <f>"VIA SANT ILARIO  64-"</f>
        <v>VIA SANT ILARIO  64-</v>
      </c>
      <c r="C3" t="str">
        <f>"SI"</f>
        <v>SI</v>
      </c>
      <c r="D3">
        <v>6</v>
      </c>
      <c r="E3" t="str">
        <f>"252"</f>
        <v>252</v>
      </c>
      <c r="F3" t="str">
        <f>"0000"</f>
        <v>0000</v>
      </c>
    </row>
    <row r="4" spans="1:6">
      <c r="A4" t="str">
        <f>"E3-1"</f>
        <v>E3-1</v>
      </c>
      <c r="B4" t="str">
        <f>"VIA MARIO MASTRANGELO  2-"</f>
        <v>VIA MARIO MASTRANGELO  2-</v>
      </c>
      <c r="C4" t="str">
        <f>"QUI"</f>
        <v>QUI</v>
      </c>
      <c r="D4">
        <v>4</v>
      </c>
      <c r="E4" t="str">
        <f>"46"</f>
        <v>46</v>
      </c>
      <c r="F4" t="str">
        <f>"0000"</f>
        <v>0000</v>
      </c>
    </row>
    <row r="5" spans="1:6">
      <c r="A5" t="str">
        <f>"E4-1"</f>
        <v>E4-1</v>
      </c>
      <c r="B5" t="str">
        <f>"PIAZZA DUCA DEGLI ABRUZZI  5A-"</f>
        <v>PIAZZA DUCA DEGLI ABRUZZI  5A-</v>
      </c>
      <c r="C5" t="str">
        <f>"NER"</f>
        <v>NER</v>
      </c>
      <c r="D5">
        <v>8</v>
      </c>
      <c r="E5" t="str">
        <f>"213"</f>
        <v>213</v>
      </c>
      <c r="F5" t="str">
        <f>"1"</f>
        <v>1</v>
      </c>
    </row>
    <row r="6" spans="1:6">
      <c r="A6" t="str">
        <f>"E4-2"</f>
        <v>E4-2</v>
      </c>
      <c r="B6" t="str">
        <f>"PIAZZA DUCA DEGLI ABRUZZI  6-"</f>
        <v>PIAZZA DUCA DEGLI ABRUZZI  6-</v>
      </c>
      <c r="C6" t="str">
        <f>"NER"</f>
        <v>NER</v>
      </c>
      <c r="D6">
        <v>8</v>
      </c>
      <c r="E6" t="str">
        <f>"213"</f>
        <v>213</v>
      </c>
      <c r="F6" t="str">
        <f>"2"</f>
        <v>2</v>
      </c>
    </row>
    <row r="7" spans="1:6">
      <c r="A7" t="str">
        <f>"E4-3"</f>
        <v>E4-3</v>
      </c>
      <c r="B7" t="str">
        <f>"PIAZZA DUCA DEGLI ABRUZZI  6A-"</f>
        <v>PIAZZA DUCA DEGLI ABRUZZI  6A-</v>
      </c>
      <c r="C7" t="str">
        <f>"NER"</f>
        <v>NER</v>
      </c>
      <c r="D7">
        <v>8</v>
      </c>
      <c r="E7" t="str">
        <f>"213"</f>
        <v>213</v>
      </c>
      <c r="F7" t="str">
        <f>"3"</f>
        <v>3</v>
      </c>
    </row>
    <row r="8" spans="1:6">
      <c r="A8" t="str">
        <f>"E5-1"</f>
        <v>E5-1</v>
      </c>
      <c r="B8" t="str">
        <f>"PIAZZALE GIUSEPPE RUSCA VICINO AL 1-"</f>
        <v>PIAZZALE GIUSEPPE RUSCA VICINO AL 1-</v>
      </c>
      <c r="C8" t="str">
        <f>"QUI"</f>
        <v>QUI</v>
      </c>
      <c r="D8">
        <v>5</v>
      </c>
      <c r="E8" t="str">
        <f>"326"</f>
        <v>326</v>
      </c>
      <c r="F8" t="str">
        <f>"0000"</f>
        <v>0000</v>
      </c>
    </row>
    <row r="9" spans="1:6">
      <c r="A9" t="str">
        <f>"E6-1"</f>
        <v>E6-1</v>
      </c>
      <c r="B9" t="str">
        <f>"VIA SANT ILARIO  53-"</f>
        <v>VIA SANT ILARIO  53-</v>
      </c>
      <c r="C9" t="str">
        <f>"SI"</f>
        <v>SI</v>
      </c>
      <c r="D9">
        <v>8</v>
      </c>
      <c r="E9" t="str">
        <f>"17"</f>
        <v>17</v>
      </c>
      <c r="F9" t="str">
        <f>"1"</f>
        <v>1</v>
      </c>
    </row>
    <row r="10" spans="1:6">
      <c r="A10" t="str">
        <f>"E7-1"</f>
        <v>E7-1</v>
      </c>
      <c r="B10" t="str">
        <f>"PASSEG ANITA GARIBALDI VICINO AL 17-"</f>
        <v>PASSEG ANITA GARIBALDI VICINO AL 17-</v>
      </c>
      <c r="C10" t="str">
        <f>"NER"</f>
        <v>NER</v>
      </c>
      <c r="D10">
        <v>11</v>
      </c>
      <c r="E10" t="str">
        <f>"165"</f>
        <v>165</v>
      </c>
      <c r="F10" t="str">
        <f>"0000"</f>
        <v>0000</v>
      </c>
    </row>
    <row r="11" spans="1:6">
      <c r="A11" t="str">
        <f>"E9-1"</f>
        <v>E9-1</v>
      </c>
      <c r="B11" t="str">
        <f>"VIA GIUSEPPE MAJORANA  15HR-"</f>
        <v>VIA GIUSEPPE MAJORANA  15HR-</v>
      </c>
      <c r="C11" t="str">
        <f>"QUI"</f>
        <v>QUI</v>
      </c>
      <c r="D11">
        <v>3</v>
      </c>
      <c r="E11" t="str">
        <f>"269"</f>
        <v>269</v>
      </c>
      <c r="F11" t="str">
        <f>"1"</f>
        <v>1</v>
      </c>
    </row>
    <row r="12" spans="1:6">
      <c r="A12" t="str">
        <f>"E10-1"</f>
        <v>E10-1</v>
      </c>
      <c r="B12" t="str">
        <f>"VIA DEI TASSO VICINO AL 28-"</f>
        <v>VIA DEI TASSO VICINO AL 28-</v>
      </c>
      <c r="C12" t="str">
        <f>"10"</f>
        <v>10</v>
      </c>
      <c r="D12">
        <v>6</v>
      </c>
      <c r="E12" t="str">
        <f>"99999"</f>
        <v>99999</v>
      </c>
      <c r="F12" t="str">
        <f>"0000"</f>
        <v>0000</v>
      </c>
    </row>
    <row r="13" spans="1:6">
      <c r="A13" t="str">
        <f>"E11-1"</f>
        <v>E11-1</v>
      </c>
      <c r="B13" t="str">
        <f>"VIA SANT ILARIO VICINO AL 53-"</f>
        <v>VIA SANT ILARIO VICINO AL 53-</v>
      </c>
      <c r="C13" t="str">
        <f>"SI"</f>
        <v>SI</v>
      </c>
      <c r="D13">
        <v>8</v>
      </c>
      <c r="E13" t="str">
        <f>"222"</f>
        <v>222</v>
      </c>
      <c r="F13" t="str">
        <f>"0000"</f>
        <v>0000</v>
      </c>
    </row>
    <row r="14" spans="1:6">
      <c r="A14" t="str">
        <f>"E12-1"</f>
        <v>E12-1</v>
      </c>
      <c r="B14" t="str">
        <f>"SALITA NOFFI VICINO AL 6-"</f>
        <v>SALITA NOFFI VICINO AL 6-</v>
      </c>
      <c r="C14" t="str">
        <f>"SI"</f>
        <v>SI</v>
      </c>
      <c r="D14">
        <v>6</v>
      </c>
      <c r="E14" t="str">
        <f>"283"</f>
        <v>283</v>
      </c>
      <c r="F14" t="str">
        <f>"0000"</f>
        <v>0000</v>
      </c>
    </row>
    <row r="15" spans="1:6">
      <c r="A15" t="str">
        <f>"E13-1"</f>
        <v>E13-1</v>
      </c>
      <c r="B15" t="str">
        <f>"VIA ANTICA ROMANA QUINTO  130-"</f>
        <v>VIA ANTICA ROMANA QUINTO  130-</v>
      </c>
      <c r="C15" t="str">
        <f>"QUI"</f>
        <v>QUI</v>
      </c>
      <c r="D15">
        <v>5</v>
      </c>
      <c r="E15" t="str">
        <f>"877"</f>
        <v>877</v>
      </c>
      <c r="F15" t="str">
        <f>"0000"</f>
        <v>0000</v>
      </c>
    </row>
    <row r="16" spans="1:6">
      <c r="A16" t="str">
        <f>"E14-3"</f>
        <v>E14-3</v>
      </c>
      <c r="B16" t="str">
        <f>"VIA ALDO CASOTTI  3-"</f>
        <v>VIA ALDO CASOTTI  3-</v>
      </c>
      <c r="C16" t="str">
        <f t="shared" ref="C16:C30" si="0">"NER"</f>
        <v>NER</v>
      </c>
      <c r="D16">
        <v>11</v>
      </c>
      <c r="E16" t="str">
        <f>"115"</f>
        <v>115</v>
      </c>
      <c r="F16" t="str">
        <f>"4"</f>
        <v>4</v>
      </c>
    </row>
    <row r="17" spans="1:6">
      <c r="A17" t="str">
        <f>"E14-4"</f>
        <v>E14-4</v>
      </c>
      <c r="B17" t="str">
        <f>"VIA ALDO CASOTTI  3-"</f>
        <v>VIA ALDO CASOTTI  3-</v>
      </c>
      <c r="C17" t="str">
        <f t="shared" si="0"/>
        <v>NER</v>
      </c>
      <c r="D17">
        <v>11</v>
      </c>
      <c r="E17" t="str">
        <f>"115"</f>
        <v>115</v>
      </c>
      <c r="F17" t="str">
        <f>"5"</f>
        <v>5</v>
      </c>
    </row>
    <row r="18" spans="1:6">
      <c r="A18" t="str">
        <f>"E16-1"</f>
        <v>E16-1</v>
      </c>
      <c r="B18" t="str">
        <f>"VIA ALDO CASOTTI  12DR-"</f>
        <v>VIA ALDO CASOTTI  12DR-</v>
      </c>
      <c r="C18" t="str">
        <f t="shared" si="0"/>
        <v>NER</v>
      </c>
      <c r="D18">
        <v>9</v>
      </c>
      <c r="E18" t="str">
        <f>"437"</f>
        <v>437</v>
      </c>
      <c r="F18" t="str">
        <f>"0000"</f>
        <v>0000</v>
      </c>
    </row>
    <row r="19" spans="1:6">
      <c r="A19" t="str">
        <f>"E18-6"</f>
        <v>E18-6</v>
      </c>
      <c r="B19" t="str">
        <f>"VIA ALDO CASOTTI  15-"</f>
        <v>VIA ALDO CASOTTI  15-</v>
      </c>
      <c r="C19" t="str">
        <f t="shared" si="0"/>
        <v>NER</v>
      </c>
      <c r="D19">
        <v>11</v>
      </c>
      <c r="E19" t="str">
        <f>"123"</f>
        <v>123</v>
      </c>
      <c r="F19" t="str">
        <f>"6"</f>
        <v>6</v>
      </c>
    </row>
    <row r="20" spans="1:6">
      <c r="A20" t="str">
        <f>"E21-1"</f>
        <v>E21-1</v>
      </c>
      <c r="B20" t="str">
        <f>"VIA SERRA GROPALLO  4-"</f>
        <v>VIA SERRA GROPALLO  4-</v>
      </c>
      <c r="C20" t="str">
        <f t="shared" si="0"/>
        <v>NER</v>
      </c>
      <c r="D20">
        <v>11</v>
      </c>
      <c r="E20" t="str">
        <f>"215"</f>
        <v>215</v>
      </c>
      <c r="F20" t="str">
        <f>"0000"</f>
        <v>0000</v>
      </c>
    </row>
    <row r="21" spans="1:6">
      <c r="A21" t="str">
        <f>"E22-1"</f>
        <v>E22-1</v>
      </c>
      <c r="B21" t="str">
        <f>"VIA ALDO CASOTTI  11A-"</f>
        <v>VIA ALDO CASOTTI  11A-</v>
      </c>
      <c r="C21" t="str">
        <f t="shared" si="0"/>
        <v>NER</v>
      </c>
      <c r="D21">
        <v>11</v>
      </c>
      <c r="E21" t="str">
        <f>"121"</f>
        <v>121</v>
      </c>
      <c r="F21" t="str">
        <f>"0000"</f>
        <v>0000</v>
      </c>
    </row>
    <row r="22" spans="1:6">
      <c r="A22" t="str">
        <f>"E23-1"</f>
        <v>E23-1</v>
      </c>
      <c r="B22" t="str">
        <f>"VIOTTOLO NICOLO ARDIZZONE  4-"</f>
        <v>VIOTTOLO NICOLO ARDIZZONE  4-</v>
      </c>
      <c r="C22" t="str">
        <f t="shared" si="0"/>
        <v>NER</v>
      </c>
      <c r="D22">
        <v>11</v>
      </c>
      <c r="E22" t="str">
        <f>"113"</f>
        <v>113</v>
      </c>
      <c r="F22" t="str">
        <f>"1"</f>
        <v>1</v>
      </c>
    </row>
    <row r="23" spans="1:6">
      <c r="A23" t="str">
        <f>"E23-2"</f>
        <v>E23-2</v>
      </c>
      <c r="B23" t="str">
        <f>"VIOTTOLO NICOLO ARDIZZONE  4-"</f>
        <v>VIOTTOLO NICOLO ARDIZZONE  4-</v>
      </c>
      <c r="C23" t="str">
        <f t="shared" si="0"/>
        <v>NER</v>
      </c>
      <c r="D23">
        <v>11</v>
      </c>
      <c r="E23" t="str">
        <f>"113"</f>
        <v>113</v>
      </c>
      <c r="F23" t="str">
        <f>"2"</f>
        <v>2</v>
      </c>
    </row>
    <row r="24" spans="1:6">
      <c r="A24" t="str">
        <f>"E23-3"</f>
        <v>E23-3</v>
      </c>
      <c r="B24" t="str">
        <f>"VIOTTOLO NICOLO ARDIZZONE  4-"</f>
        <v>VIOTTOLO NICOLO ARDIZZONE  4-</v>
      </c>
      <c r="C24" t="str">
        <f t="shared" si="0"/>
        <v>NER</v>
      </c>
      <c r="D24">
        <v>11</v>
      </c>
      <c r="E24" t="str">
        <f>"113"</f>
        <v>113</v>
      </c>
      <c r="F24" t="str">
        <f>"3"</f>
        <v>3</v>
      </c>
    </row>
    <row r="25" spans="1:6">
      <c r="A25" t="str">
        <f>"E24-1"</f>
        <v>E24-1</v>
      </c>
      <c r="B25" t="str">
        <f>"VIA CAPOLUNGO VICINO AL 3-"</f>
        <v>VIA CAPOLUNGO VICINO AL 3-</v>
      </c>
      <c r="C25" t="str">
        <f t="shared" si="0"/>
        <v>NER</v>
      </c>
      <c r="D25">
        <v>11</v>
      </c>
      <c r="E25" t="str">
        <f>"128"</f>
        <v>128</v>
      </c>
      <c r="F25" t="str">
        <f>"0000"</f>
        <v>0000</v>
      </c>
    </row>
    <row r="26" spans="1:6">
      <c r="A26" t="str">
        <f>"E25-1"</f>
        <v>E25-1</v>
      </c>
      <c r="B26" t="str">
        <f>"VIA CAPOLUNGO  3-"</f>
        <v>VIA CAPOLUNGO  3-</v>
      </c>
      <c r="C26" t="str">
        <f t="shared" si="0"/>
        <v>NER</v>
      </c>
      <c r="D26">
        <v>11</v>
      </c>
      <c r="E26" t="str">
        <f>"729"</f>
        <v>729</v>
      </c>
      <c r="F26" t="str">
        <f>"2"</f>
        <v>2</v>
      </c>
    </row>
    <row r="27" spans="1:6">
      <c r="A27" t="str">
        <f>"E25-2"</f>
        <v>E25-2</v>
      </c>
      <c r="B27" t="str">
        <f>"VIA CAPOLUNGO  3-"</f>
        <v>VIA CAPOLUNGO  3-</v>
      </c>
      <c r="C27" t="str">
        <f t="shared" si="0"/>
        <v>NER</v>
      </c>
      <c r="D27">
        <v>11</v>
      </c>
      <c r="E27" t="str">
        <f>"127"</f>
        <v>127</v>
      </c>
      <c r="F27" t="str">
        <f>"2"</f>
        <v>2</v>
      </c>
    </row>
    <row r="28" spans="1:6">
      <c r="A28" t="str">
        <f>"E26-1"</f>
        <v>E26-1</v>
      </c>
      <c r="B28" t="str">
        <f>"VIA MARCO SALA  81R-"</f>
        <v>VIA MARCO SALA  81R-</v>
      </c>
      <c r="C28" t="str">
        <f t="shared" si="0"/>
        <v>NER</v>
      </c>
      <c r="D28">
        <v>11</v>
      </c>
      <c r="E28" t="str">
        <f>"112"</f>
        <v>112</v>
      </c>
      <c r="F28" t="str">
        <f>"1"</f>
        <v>1</v>
      </c>
    </row>
    <row r="29" spans="1:6">
      <c r="A29" t="str">
        <f>"E26-2"</f>
        <v>E26-2</v>
      </c>
      <c r="B29" t="str">
        <f>"VIA ALDO CASOTTI  1-"</f>
        <v>VIA ALDO CASOTTI  1-</v>
      </c>
      <c r="C29" t="str">
        <f t="shared" si="0"/>
        <v>NER</v>
      </c>
      <c r="D29">
        <v>11</v>
      </c>
      <c r="E29" t="str">
        <f>"112"</f>
        <v>112</v>
      </c>
      <c r="F29" t="str">
        <f>"2"</f>
        <v>2</v>
      </c>
    </row>
    <row r="30" spans="1:6">
      <c r="A30" t="str">
        <f>"E27-3"</f>
        <v>E27-3</v>
      </c>
      <c r="B30" t="str">
        <f>"VIA CAPOLUNGO  1-"</f>
        <v>VIA CAPOLUNGO  1-</v>
      </c>
      <c r="C30" t="str">
        <f t="shared" si="0"/>
        <v>NER</v>
      </c>
      <c r="D30">
        <v>11</v>
      </c>
      <c r="E30" t="str">
        <f>"126"</f>
        <v>126</v>
      </c>
      <c r="F30" t="str">
        <f>"3"</f>
        <v>3</v>
      </c>
    </row>
    <row r="31" spans="1:6">
      <c r="A31" t="str">
        <f>"E28-1"</f>
        <v>E28-1</v>
      </c>
      <c r="B31" t="str">
        <f>"VIALE MAFALDA DI SAVOIA  3-"</f>
        <v>VIALE MAFALDA DI SAVOIA  3-</v>
      </c>
      <c r="C31" t="str">
        <f>"SI"</f>
        <v>SI</v>
      </c>
      <c r="D31">
        <v>8</v>
      </c>
      <c r="E31" t="str">
        <f>"177"</f>
        <v>177</v>
      </c>
      <c r="F31" t="str">
        <f t="shared" ref="F31:F43" si="1">"0000"</f>
        <v>0000</v>
      </c>
    </row>
    <row r="32" spans="1:6">
      <c r="A32" t="str">
        <f>"E29-1"</f>
        <v>E29-1</v>
      </c>
      <c r="B32" t="str">
        <f>"VIA CAPOLUNGO VICINO AL 3-"</f>
        <v>VIA CAPOLUNGO VICINO AL 3-</v>
      </c>
      <c r="C32" t="str">
        <f>"9"</f>
        <v>9</v>
      </c>
      <c r="D32">
        <v>11</v>
      </c>
      <c r="E32" t="str">
        <f>"729"</f>
        <v>729</v>
      </c>
      <c r="F32" t="str">
        <f t="shared" si="1"/>
        <v>0000</v>
      </c>
    </row>
    <row r="33" spans="1:6">
      <c r="A33" t="str">
        <f>"E31-2"</f>
        <v>E31-2</v>
      </c>
      <c r="B33" t="str">
        <f>"VIA ANGELO GIANELLI  3R-"</f>
        <v>VIA ANGELO GIANELLI  3R-</v>
      </c>
      <c r="C33" t="str">
        <f>"8"</f>
        <v>8</v>
      </c>
      <c r="D33">
        <v>4</v>
      </c>
      <c r="E33" t="str">
        <f>"99999"</f>
        <v>99999</v>
      </c>
      <c r="F33" t="str">
        <f t="shared" si="1"/>
        <v>0000</v>
      </c>
    </row>
    <row r="34" spans="1:6">
      <c r="A34" t="str">
        <f>"E32-1"</f>
        <v>E32-1</v>
      </c>
      <c r="B34" t="str">
        <f>"VIA DEI COLOMBO VICINO AL 9-"</f>
        <v>VIA DEI COLOMBO VICINO AL 9-</v>
      </c>
      <c r="C34" t="str">
        <f>"QUI"</f>
        <v>QUI</v>
      </c>
      <c r="D34">
        <v>5</v>
      </c>
      <c r="E34" t="str">
        <f>"341"</f>
        <v>341</v>
      </c>
      <c r="F34" t="str">
        <f t="shared" si="1"/>
        <v>0000</v>
      </c>
    </row>
    <row r="35" spans="1:6">
      <c r="A35" t="str">
        <f>"E34-1"</f>
        <v>E34-1</v>
      </c>
      <c r="B35" t="str">
        <f>"VIA MOLINI DI NERVI VICINO AL 1-"</f>
        <v>VIA MOLINI DI NERVI VICINO AL 1-</v>
      </c>
      <c r="C35" t="str">
        <f>"NER"</f>
        <v>NER</v>
      </c>
      <c r="D35">
        <v>6</v>
      </c>
      <c r="E35" t="str">
        <f>"284"</f>
        <v>284</v>
      </c>
      <c r="F35" t="str">
        <f t="shared" si="1"/>
        <v>0000</v>
      </c>
    </row>
    <row r="36" spans="1:6">
      <c r="A36" t="str">
        <f>"E35-1"</f>
        <v>E35-1</v>
      </c>
      <c r="B36" t="str">
        <f>"VIA QUINTO VICINO AL 7-"</f>
        <v>VIA QUINTO VICINO AL 7-</v>
      </c>
      <c r="C36" t="str">
        <f>"QUI"</f>
        <v>QUI</v>
      </c>
      <c r="D36">
        <v>3</v>
      </c>
      <c r="E36" t="str">
        <f>"879"</f>
        <v>879</v>
      </c>
      <c r="F36" t="str">
        <f t="shared" si="1"/>
        <v>0000</v>
      </c>
    </row>
    <row r="37" spans="1:6">
      <c r="A37" t="str">
        <f>"E36-1"</f>
        <v>E36-1</v>
      </c>
      <c r="B37" t="str">
        <f>"VIA DONATO SOMMA VICINO AL 58-"</f>
        <v>VIA DONATO SOMMA VICINO AL 58-</v>
      </c>
      <c r="C37" t="str">
        <f>"10"</f>
        <v>10</v>
      </c>
      <c r="D37">
        <v>8</v>
      </c>
      <c r="E37" t="str">
        <f>"99999"</f>
        <v>99999</v>
      </c>
      <c r="F37" t="str">
        <f t="shared" si="1"/>
        <v>0000</v>
      </c>
    </row>
    <row r="38" spans="1:6">
      <c r="A38" t="str">
        <f>"E38-1"</f>
        <v>E38-1</v>
      </c>
      <c r="B38" t="str">
        <f>"VIA ANGELO GIANELLI  49-"</f>
        <v>VIA ANGELO GIANELLI  49-</v>
      </c>
      <c r="C38" t="str">
        <f>"QUI"</f>
        <v>QUI</v>
      </c>
      <c r="D38">
        <v>5</v>
      </c>
      <c r="E38" t="str">
        <f>"335"</f>
        <v>335</v>
      </c>
      <c r="F38" t="str">
        <f t="shared" si="1"/>
        <v>0000</v>
      </c>
    </row>
    <row r="39" spans="1:6">
      <c r="A39" t="str">
        <f>"E39-1"</f>
        <v>E39-1</v>
      </c>
      <c r="B39" t="str">
        <f>"VIA ANGELO GIANELLI VICINO AL 49-"</f>
        <v>VIA ANGELO GIANELLI VICINO AL 49-</v>
      </c>
      <c r="C39" t="str">
        <f>"QUI"</f>
        <v>QUI</v>
      </c>
      <c r="D39">
        <v>5</v>
      </c>
      <c r="E39" t="str">
        <f>"220"</f>
        <v>220</v>
      </c>
      <c r="F39" t="str">
        <f t="shared" si="1"/>
        <v>0000</v>
      </c>
    </row>
    <row r="40" spans="1:6">
      <c r="A40" t="str">
        <f>"E40-1"</f>
        <v>E40-1</v>
      </c>
      <c r="B40" t="str">
        <f>"VIA ANGELO GIANELLI  49-"</f>
        <v>VIA ANGELO GIANELLI  49-</v>
      </c>
      <c r="C40" t="str">
        <f>"QUI"</f>
        <v>QUI</v>
      </c>
      <c r="D40">
        <v>5</v>
      </c>
      <c r="E40" t="str">
        <f>"223"</f>
        <v>223</v>
      </c>
      <c r="F40" t="str">
        <f t="shared" si="1"/>
        <v>0000</v>
      </c>
    </row>
    <row r="41" spans="1:6">
      <c r="A41" t="str">
        <f>"E41-1"</f>
        <v>E41-1</v>
      </c>
      <c r="B41" t="str">
        <f>"VIA ANGELO GIANELLI  49-"</f>
        <v>VIA ANGELO GIANELLI  49-</v>
      </c>
      <c r="C41" t="str">
        <f>"QUI"</f>
        <v>QUI</v>
      </c>
      <c r="D41">
        <v>5</v>
      </c>
      <c r="E41" t="str">
        <f>"221"</f>
        <v>221</v>
      </c>
      <c r="F41" t="str">
        <f t="shared" si="1"/>
        <v>0000</v>
      </c>
    </row>
    <row r="42" spans="1:6">
      <c r="C42" t="str">
        <f>"QUI"</f>
        <v>QUI</v>
      </c>
      <c r="D42">
        <v>5</v>
      </c>
      <c r="E42" t="str">
        <f>"224"</f>
        <v>224</v>
      </c>
      <c r="F42" t="str">
        <f t="shared" si="1"/>
        <v>0000</v>
      </c>
    </row>
    <row r="43" spans="1:6">
      <c r="A43" t="str">
        <f>"E42-1"</f>
        <v>E42-1</v>
      </c>
      <c r="B43" t="str">
        <f>"PASSEG ANITA GARIBALDI  22-"</f>
        <v>PASSEG ANITA GARIBALDI  22-</v>
      </c>
      <c r="C43" t="str">
        <f>"NER"</f>
        <v>NER</v>
      </c>
      <c r="D43">
        <v>10</v>
      </c>
      <c r="E43" t="str">
        <f>"386"</f>
        <v>386</v>
      </c>
      <c r="F43" t="str">
        <f t="shared" si="1"/>
        <v>0000</v>
      </c>
    </row>
    <row r="44" spans="1:6">
      <c r="C44" t="str">
        <f>"NER"</f>
        <v>NER</v>
      </c>
      <c r="D44">
        <v>10</v>
      </c>
      <c r="E44" t="str">
        <f>"41"</f>
        <v>41</v>
      </c>
      <c r="F44" t="str">
        <f>"1"</f>
        <v>1</v>
      </c>
    </row>
    <row r="45" spans="1:6">
      <c r="A45" t="str">
        <f>"E42-2"</f>
        <v>E42-2</v>
      </c>
      <c r="B45" t="str">
        <f>"PASSEG ANITA GARIBALDI  22-"</f>
        <v>PASSEG ANITA GARIBALDI  22-</v>
      </c>
      <c r="C45" t="str">
        <f>"NER"</f>
        <v>NER</v>
      </c>
      <c r="D45">
        <v>10</v>
      </c>
      <c r="E45" t="str">
        <f>"41"</f>
        <v>41</v>
      </c>
      <c r="F45" t="str">
        <f>"2"</f>
        <v>2</v>
      </c>
    </row>
    <row r="46" spans="1:6">
      <c r="A46" t="str">
        <f>"E44-1"</f>
        <v>E44-1</v>
      </c>
      <c r="B46" t="str">
        <f>"PIAZZALE GIUSEPPE RUSCA  2-"</f>
        <v>PIAZZALE GIUSEPPE RUSCA  2-</v>
      </c>
      <c r="C46" t="str">
        <f>"QUI"</f>
        <v>QUI</v>
      </c>
      <c r="D46">
        <v>5</v>
      </c>
      <c r="E46" t="str">
        <f>"281"</f>
        <v>281</v>
      </c>
      <c r="F46" t="str">
        <f t="shared" ref="F46:F58" si="2">"0000"</f>
        <v>0000</v>
      </c>
    </row>
    <row r="47" spans="1:6">
      <c r="C47" t="str">
        <f>"QUI"</f>
        <v>QUI</v>
      </c>
      <c r="D47">
        <v>5</v>
      </c>
      <c r="E47" t="str">
        <f>"325"</f>
        <v>325</v>
      </c>
      <c r="F47" t="str">
        <f t="shared" si="2"/>
        <v>0000</v>
      </c>
    </row>
    <row r="48" spans="1:6">
      <c r="A48" t="str">
        <f>"E46-1"</f>
        <v>E46-1</v>
      </c>
      <c r="B48" t="str">
        <f>"VIA PIERO FRANGIONI VICINO AL 4-"</f>
        <v>VIA PIERO FRANGIONI VICINO AL 4-</v>
      </c>
      <c r="C48" t="str">
        <f>"7"</f>
        <v>7</v>
      </c>
      <c r="D48">
        <v>3</v>
      </c>
      <c r="E48" t="str">
        <f>"99999"</f>
        <v>99999</v>
      </c>
      <c r="F48" t="str">
        <f t="shared" si="2"/>
        <v>0000</v>
      </c>
    </row>
    <row r="49" spans="1:6">
      <c r="A49" t="str">
        <f>"E47-1"</f>
        <v>E47-1</v>
      </c>
      <c r="B49" t="str">
        <f>"CORSO EUROPA  951-"</f>
        <v>CORSO EUROPA  951-</v>
      </c>
      <c r="C49" t="str">
        <f>"7"</f>
        <v>7</v>
      </c>
      <c r="D49">
        <v>6</v>
      </c>
      <c r="E49" t="str">
        <f>"99999"</f>
        <v>99999</v>
      </c>
      <c r="F49" t="str">
        <f t="shared" si="2"/>
        <v>0000</v>
      </c>
    </row>
    <row r="50" spans="1:6">
      <c r="A50" t="str">
        <f>"E48-1"</f>
        <v>E48-1</v>
      </c>
      <c r="B50" t="str">
        <f>"VIA C AUGUSTO VECCHI  11-"</f>
        <v>VIA C AUGUSTO VECCHI  11-</v>
      </c>
      <c r="C50" t="str">
        <f>"7"</f>
        <v>7</v>
      </c>
      <c r="D50">
        <v>6</v>
      </c>
      <c r="E50" t="str">
        <f>"456"</f>
        <v>456</v>
      </c>
      <c r="F50" t="str">
        <f t="shared" si="2"/>
        <v>0000</v>
      </c>
    </row>
    <row r="51" spans="1:6">
      <c r="C51" t="str">
        <f>"7"</f>
        <v>7</v>
      </c>
      <c r="D51">
        <v>6</v>
      </c>
      <c r="E51" t="str">
        <f>"593"</f>
        <v>593</v>
      </c>
      <c r="F51" t="str">
        <f t="shared" si="2"/>
        <v>0000</v>
      </c>
    </row>
    <row r="52" spans="1:6">
      <c r="C52" t="str">
        <f>"7"</f>
        <v>7</v>
      </c>
      <c r="D52">
        <v>6</v>
      </c>
      <c r="E52" t="str">
        <f>"622"</f>
        <v>622</v>
      </c>
      <c r="F52" t="str">
        <f t="shared" si="2"/>
        <v>0000</v>
      </c>
    </row>
    <row r="53" spans="1:6">
      <c r="A53" t="str">
        <f>"E49-1"</f>
        <v>E49-1</v>
      </c>
      <c r="B53" t="str">
        <f>"VIA MURCAROLO VICINO AL 1-"</f>
        <v>VIA MURCAROLO VICINO AL 1-</v>
      </c>
      <c r="C53" t="str">
        <f t="shared" ref="C53:C58" si="3">"NER"</f>
        <v>NER</v>
      </c>
      <c r="D53">
        <v>7</v>
      </c>
      <c r="E53" t="str">
        <f>"370"</f>
        <v>370</v>
      </c>
      <c r="F53" t="str">
        <f t="shared" si="2"/>
        <v>0000</v>
      </c>
    </row>
    <row r="54" spans="1:6">
      <c r="A54" t="str">
        <f>"E49-2"</f>
        <v>E49-2</v>
      </c>
      <c r="B54" t="str">
        <f>"VIA MURCAROLO VICINO AL 1-"</f>
        <v>VIA MURCAROLO VICINO AL 1-</v>
      </c>
      <c r="C54" t="str">
        <f t="shared" si="3"/>
        <v>NER</v>
      </c>
      <c r="D54">
        <v>7</v>
      </c>
      <c r="E54" t="str">
        <f>"850"</f>
        <v>850</v>
      </c>
      <c r="F54" t="str">
        <f t="shared" si="2"/>
        <v>0000</v>
      </c>
    </row>
    <row r="55" spans="1:6">
      <c r="A55" t="str">
        <f>"E49-3"</f>
        <v>E49-3</v>
      </c>
      <c r="B55" t="str">
        <f>"VIA MURCAROLO VICINO AL 1-"</f>
        <v>VIA MURCAROLO VICINO AL 1-</v>
      </c>
      <c r="C55" t="str">
        <f t="shared" si="3"/>
        <v>NER</v>
      </c>
      <c r="D55">
        <v>7</v>
      </c>
      <c r="E55" t="str">
        <f>"851"</f>
        <v>851</v>
      </c>
      <c r="F55" t="str">
        <f t="shared" si="2"/>
        <v>0000</v>
      </c>
    </row>
    <row r="56" spans="1:6">
      <c r="A56" t="str">
        <f>"E49-4"</f>
        <v>E49-4</v>
      </c>
      <c r="B56" t="str">
        <f>"VIA MURCAROLO VICINO AL 1-"</f>
        <v>VIA MURCAROLO VICINO AL 1-</v>
      </c>
      <c r="C56" t="str">
        <f t="shared" si="3"/>
        <v>NER</v>
      </c>
      <c r="D56">
        <v>7</v>
      </c>
      <c r="E56" t="str">
        <f>"852"</f>
        <v>852</v>
      </c>
      <c r="F56" t="str">
        <f t="shared" si="2"/>
        <v>0000</v>
      </c>
    </row>
    <row r="57" spans="1:6">
      <c r="A57" t="str">
        <f>"E51-1"</f>
        <v>E51-1</v>
      </c>
      <c r="B57" t="str">
        <f>"VIA GUGLIELMO OBERDAN VICINO AL 1-"</f>
        <v>VIA GUGLIELMO OBERDAN VICINO AL 1-</v>
      </c>
      <c r="C57" t="str">
        <f t="shared" si="3"/>
        <v>NER</v>
      </c>
      <c r="D57">
        <v>7</v>
      </c>
      <c r="E57" t="str">
        <f>"471"</f>
        <v>471</v>
      </c>
      <c r="F57" t="str">
        <f t="shared" si="2"/>
        <v>0000</v>
      </c>
    </row>
    <row r="58" spans="1:6">
      <c r="A58" t="str">
        <f>"E52-1"</f>
        <v>E52-1</v>
      </c>
      <c r="B58" t="str">
        <f>"VIA ALLA CONTADINA VICINO AL 24-"</f>
        <v>VIA ALLA CONTADINA VICINO AL 24-</v>
      </c>
      <c r="C58" t="str">
        <f t="shared" si="3"/>
        <v>NER</v>
      </c>
      <c r="D58">
        <v>7</v>
      </c>
      <c r="E58" t="str">
        <f>"137"</f>
        <v>137</v>
      </c>
      <c r="F58" t="str">
        <f t="shared" si="2"/>
        <v>0000</v>
      </c>
    </row>
    <row r="59" spans="1:6">
      <c r="A59" t="str">
        <f>"E53-2"</f>
        <v>E53-2</v>
      </c>
      <c r="B59" t="str">
        <f>"VIA GIUSEPPE MAJORANA  3A-"</f>
        <v>VIA GIUSEPPE MAJORANA  3A-</v>
      </c>
      <c r="C59" t="str">
        <f>"QUI"</f>
        <v>QUI</v>
      </c>
      <c r="D59">
        <v>3</v>
      </c>
      <c r="E59" t="str">
        <f>"306"</f>
        <v>306</v>
      </c>
      <c r="F59" t="str">
        <f>"4"</f>
        <v>4</v>
      </c>
    </row>
    <row r="60" spans="1:6">
      <c r="A60" t="str">
        <f>"E54-1"</f>
        <v>E54-1</v>
      </c>
      <c r="B60" t="str">
        <f>"VIA DONATO SOMMA  73-"</f>
        <v>VIA DONATO SOMMA  73-</v>
      </c>
      <c r="C60" t="str">
        <f>"10"</f>
        <v>10</v>
      </c>
      <c r="D60">
        <v>8</v>
      </c>
      <c r="E60" t="str">
        <f>"274"</f>
        <v>274</v>
      </c>
      <c r="F60" t="str">
        <f>"0000"</f>
        <v>0000</v>
      </c>
    </row>
    <row r="61" spans="1:6">
      <c r="C61" t="str">
        <f>"10"</f>
        <v>10</v>
      </c>
      <c r="D61">
        <v>8</v>
      </c>
      <c r="E61" t="str">
        <f>"415"</f>
        <v>415</v>
      </c>
      <c r="F61" t="str">
        <f>"0000"</f>
        <v>0000</v>
      </c>
    </row>
    <row r="62" spans="1:6">
      <c r="A62" t="str">
        <f>"E54-2"</f>
        <v>E54-2</v>
      </c>
      <c r="B62" t="str">
        <f>"VIA DONATO SOMMA  73-"</f>
        <v>VIA DONATO SOMMA  73-</v>
      </c>
      <c r="C62" t="str">
        <f>"10"</f>
        <v>10</v>
      </c>
      <c r="D62">
        <v>8</v>
      </c>
      <c r="E62" t="str">
        <f>"274"</f>
        <v>274</v>
      </c>
      <c r="F62" t="str">
        <f>"0000"</f>
        <v>0000</v>
      </c>
    </row>
    <row r="63" spans="1:6">
      <c r="C63" t="str">
        <f>"10"</f>
        <v>10</v>
      </c>
      <c r="D63">
        <v>8</v>
      </c>
      <c r="E63" t="str">
        <f>"415"</f>
        <v>415</v>
      </c>
      <c r="F63" t="str">
        <f>"0000"</f>
        <v>0000</v>
      </c>
    </row>
    <row r="64" spans="1:6">
      <c r="A64" t="str">
        <f>"E57-1"</f>
        <v>E57-1</v>
      </c>
      <c r="B64" t="str">
        <f>"VIA GIOVANNI CABOTO VICINO AL 16-"</f>
        <v>VIA GIOVANNI CABOTO VICINO AL 16-</v>
      </c>
      <c r="C64" t="str">
        <f>"9"</f>
        <v>9</v>
      </c>
      <c r="D64">
        <v>7</v>
      </c>
      <c r="E64" t="str">
        <f>"757"</f>
        <v>757</v>
      </c>
      <c r="F64" t="str">
        <f>"0000"</f>
        <v>0000</v>
      </c>
    </row>
    <row r="65" spans="1:6">
      <c r="A65" t="str">
        <f>"E58-1"</f>
        <v>E58-1</v>
      </c>
      <c r="B65" t="str">
        <f>"VIA DEL COMMERCIO  82A-"</f>
        <v>VIA DEL COMMERCIO  82A-</v>
      </c>
      <c r="C65" t="str">
        <f>"NER"</f>
        <v>NER</v>
      </c>
      <c r="D65">
        <v>5</v>
      </c>
      <c r="E65" t="str">
        <f>"174"</f>
        <v>174</v>
      </c>
      <c r="F65" t="str">
        <f>"1"</f>
        <v>1</v>
      </c>
    </row>
    <row r="66" spans="1:6">
      <c r="C66" t="str">
        <f>"NER"</f>
        <v>NER</v>
      </c>
      <c r="D66">
        <v>5</v>
      </c>
      <c r="E66" t="str">
        <f>"175"</f>
        <v>175</v>
      </c>
      <c r="F66" t="str">
        <f t="shared" ref="F66:F76" si="4">"0000"</f>
        <v>0000</v>
      </c>
    </row>
    <row r="67" spans="1:6">
      <c r="A67" t="str">
        <f>"E61-1"</f>
        <v>E61-1</v>
      </c>
      <c r="B67" t="str">
        <f>"PIAZZA CORNELIO DE SIMONI  1-"</f>
        <v>PIAZZA CORNELIO DE SIMONI  1-</v>
      </c>
      <c r="C67" t="str">
        <f>"QUI"</f>
        <v>QUI</v>
      </c>
      <c r="D67">
        <v>4</v>
      </c>
      <c r="E67" t="str">
        <f>"101"</f>
        <v>101</v>
      </c>
      <c r="F67" t="str">
        <f t="shared" si="4"/>
        <v>0000</v>
      </c>
    </row>
    <row r="68" spans="1:6">
      <c r="C68" t="str">
        <f>"QUI"</f>
        <v>QUI</v>
      </c>
      <c r="D68">
        <v>4</v>
      </c>
      <c r="E68" t="str">
        <f>"112"</f>
        <v>112</v>
      </c>
      <c r="F68" t="str">
        <f t="shared" si="4"/>
        <v>0000</v>
      </c>
    </row>
    <row r="69" spans="1:6">
      <c r="C69" t="str">
        <f>"QUI"</f>
        <v>QUI</v>
      </c>
      <c r="D69">
        <v>4</v>
      </c>
      <c r="E69" t="str">
        <f>"148"</f>
        <v>148</v>
      </c>
      <c r="F69" t="str">
        <f t="shared" si="4"/>
        <v>0000</v>
      </c>
    </row>
    <row r="70" spans="1:6">
      <c r="A70" t="str">
        <f>"E62-1"</f>
        <v>E62-1</v>
      </c>
      <c r="B70" t="str">
        <f>"VIA GIOVANNI CABOTO VICINO AL 23R-"</f>
        <v>VIA GIOVANNI CABOTO VICINO AL 23R-</v>
      </c>
      <c r="C70" t="str">
        <f>"9"</f>
        <v>9</v>
      </c>
      <c r="D70">
        <v>7</v>
      </c>
      <c r="E70" t="str">
        <f>"99999"</f>
        <v>99999</v>
      </c>
      <c r="F70" t="str">
        <f t="shared" si="4"/>
        <v>0000</v>
      </c>
    </row>
    <row r="71" spans="1:6">
      <c r="A71" t="str">
        <f>"E63-1"</f>
        <v>E63-1</v>
      </c>
      <c r="B71" t="str">
        <f>"VIA ANTICA ROMANA QUINTO  63-"</f>
        <v>VIA ANTICA ROMANA QUINTO  63-</v>
      </c>
      <c r="C71" t="str">
        <f>"8"</f>
        <v>8</v>
      </c>
      <c r="D71">
        <v>4</v>
      </c>
      <c r="E71" t="str">
        <f>"61"</f>
        <v>61</v>
      </c>
      <c r="F71" t="str">
        <f t="shared" si="4"/>
        <v>0000</v>
      </c>
    </row>
    <row r="72" spans="1:6">
      <c r="C72" t="str">
        <f>"8"</f>
        <v>8</v>
      </c>
      <c r="D72">
        <v>4</v>
      </c>
      <c r="E72" t="str">
        <f>"65"</f>
        <v>65</v>
      </c>
      <c r="F72" t="str">
        <f t="shared" si="4"/>
        <v>0000</v>
      </c>
    </row>
    <row r="73" spans="1:6">
      <c r="A73" t="str">
        <f>"E64-1"</f>
        <v>E64-1</v>
      </c>
      <c r="B73" t="str">
        <f t="shared" ref="B73:B79" si="5">"VIA CAPOLUNGO  9-"</f>
        <v>VIA CAPOLUNGO  9-</v>
      </c>
      <c r="C73" t="str">
        <f t="shared" ref="C73:C82" si="6">"NER"</f>
        <v>NER</v>
      </c>
      <c r="D73">
        <v>11</v>
      </c>
      <c r="E73" t="str">
        <f>"133"</f>
        <v>133</v>
      </c>
      <c r="F73" t="str">
        <f t="shared" si="4"/>
        <v>0000</v>
      </c>
    </row>
    <row r="74" spans="1:6">
      <c r="C74" t="str">
        <f t="shared" si="6"/>
        <v>NER</v>
      </c>
      <c r="D74">
        <v>11</v>
      </c>
      <c r="E74" t="str">
        <f>"205"</f>
        <v>205</v>
      </c>
      <c r="F74" t="str">
        <f t="shared" si="4"/>
        <v>0000</v>
      </c>
    </row>
    <row r="75" spans="1:6">
      <c r="C75" t="str">
        <f t="shared" si="6"/>
        <v>NER</v>
      </c>
      <c r="D75">
        <v>11</v>
      </c>
      <c r="E75" t="str">
        <f>"220"</f>
        <v>220</v>
      </c>
      <c r="F75" t="str">
        <f t="shared" si="4"/>
        <v>0000</v>
      </c>
    </row>
    <row r="76" spans="1:6">
      <c r="C76" t="str">
        <f t="shared" si="6"/>
        <v>NER</v>
      </c>
      <c r="D76">
        <v>11</v>
      </c>
      <c r="E76" t="str">
        <f>"221"</f>
        <v>221</v>
      </c>
      <c r="F76" t="str">
        <f t="shared" si="4"/>
        <v>0000</v>
      </c>
    </row>
    <row r="77" spans="1:6">
      <c r="A77" t="str">
        <f>"E65-1"</f>
        <v>E65-1</v>
      </c>
      <c r="B77" t="str">
        <f t="shared" si="5"/>
        <v>VIA CAPOLUNGO  9-</v>
      </c>
      <c r="C77" t="str">
        <f t="shared" si="6"/>
        <v>NER</v>
      </c>
      <c r="D77">
        <v>11</v>
      </c>
      <c r="E77" t="str">
        <f>"250"</f>
        <v>250</v>
      </c>
      <c r="F77" t="str">
        <f>"1"</f>
        <v>1</v>
      </c>
    </row>
    <row r="78" spans="1:6">
      <c r="A78" t="str">
        <f>"E65-2"</f>
        <v>E65-2</v>
      </c>
      <c r="B78" t="str">
        <f t="shared" si="5"/>
        <v>VIA CAPOLUNGO  9-</v>
      </c>
      <c r="C78" t="str">
        <f t="shared" si="6"/>
        <v>NER</v>
      </c>
      <c r="D78">
        <v>11</v>
      </c>
      <c r="E78" t="str">
        <f>"250"</f>
        <v>250</v>
      </c>
      <c r="F78" t="str">
        <f>"2"</f>
        <v>2</v>
      </c>
    </row>
    <row r="79" spans="1:6">
      <c r="A79" t="str">
        <f>"E65-3"</f>
        <v>E65-3</v>
      </c>
      <c r="B79" t="str">
        <f t="shared" si="5"/>
        <v>VIA CAPOLUNGO  9-</v>
      </c>
      <c r="C79" t="str">
        <f t="shared" si="6"/>
        <v>NER</v>
      </c>
      <c r="D79">
        <v>11</v>
      </c>
      <c r="E79" t="str">
        <f>"250"</f>
        <v>250</v>
      </c>
      <c r="F79" t="str">
        <f>"3"</f>
        <v>3</v>
      </c>
    </row>
    <row r="80" spans="1:6">
      <c r="A80" t="str">
        <f>"E66-1"</f>
        <v>E66-1</v>
      </c>
      <c r="B80" t="str">
        <f>"PASSEG ANITA GARIBALDI VICINO AL 10-"</f>
        <v>PASSEG ANITA GARIBALDI VICINO AL 10-</v>
      </c>
      <c r="C80" t="str">
        <f t="shared" si="6"/>
        <v>NER</v>
      </c>
      <c r="D80">
        <v>11</v>
      </c>
      <c r="E80" t="str">
        <f>"189"</f>
        <v>189</v>
      </c>
      <c r="F80" t="str">
        <f>"0000"</f>
        <v>0000</v>
      </c>
    </row>
    <row r="81" spans="1:6">
      <c r="A81" t="str">
        <f>"E67-1"</f>
        <v>E67-1</v>
      </c>
      <c r="B81" t="str">
        <f>"VIA CAPOLUNGO  11-"</f>
        <v>VIA CAPOLUNGO  11-</v>
      </c>
      <c r="C81" t="str">
        <f t="shared" si="6"/>
        <v>NER</v>
      </c>
      <c r="D81">
        <v>11</v>
      </c>
      <c r="E81" t="str">
        <f>"135"</f>
        <v>135</v>
      </c>
      <c r="F81" t="str">
        <f>"0000"</f>
        <v>0000</v>
      </c>
    </row>
    <row r="82" spans="1:6">
      <c r="A82" t="str">
        <f>"E67-2"</f>
        <v>E67-2</v>
      </c>
      <c r="B82" t="str">
        <f>"VIA CAPOLUNGO  11-"</f>
        <v>VIA CAPOLUNGO  11-</v>
      </c>
      <c r="C82" t="str">
        <f t="shared" si="6"/>
        <v>NER</v>
      </c>
      <c r="D82">
        <v>11</v>
      </c>
      <c r="E82" t="str">
        <f>"134"</f>
        <v>134</v>
      </c>
      <c r="F82" t="str">
        <f>"0000"</f>
        <v>0000</v>
      </c>
    </row>
    <row r="83" spans="1:6">
      <c r="A83" t="str">
        <f>"E71-1"</f>
        <v>E71-1</v>
      </c>
      <c r="B83" t="str">
        <f>"VIA CINQUE MAGGIO  87R-"</f>
        <v>VIA CINQUE MAGGIO  87R-</v>
      </c>
      <c r="C83" t="str">
        <f>"QUA"</f>
        <v>QUA</v>
      </c>
      <c r="D83">
        <v>6</v>
      </c>
      <c r="E83" t="str">
        <f>"703"</f>
        <v>703</v>
      </c>
      <c r="F83" t="str">
        <f>"0000"</f>
        <v>0000</v>
      </c>
    </row>
    <row r="84" spans="1:6">
      <c r="A84" t="str">
        <f>"E72-3"</f>
        <v>E72-3</v>
      </c>
      <c r="B84" t="str">
        <f>"VIA PRIARUGGIA  12A-"</f>
        <v>VIA PRIARUGGIA  12A-</v>
      </c>
      <c r="C84" t="str">
        <f>"QUA"</f>
        <v>QUA</v>
      </c>
      <c r="D84">
        <v>7</v>
      </c>
      <c r="E84" t="str">
        <f>"396"</f>
        <v>396</v>
      </c>
      <c r="F84" t="str">
        <f>"3"</f>
        <v>3</v>
      </c>
    </row>
    <row r="85" spans="1:6">
      <c r="A85" t="str">
        <f>"E77-1"</f>
        <v>E77-1</v>
      </c>
      <c r="B85" t="str">
        <f>"VIA NICOLA FABRIZI  51-"</f>
        <v>VIA NICOLA FABRIZI  51-</v>
      </c>
      <c r="C85" t="str">
        <f>"7"</f>
        <v>7</v>
      </c>
      <c r="D85">
        <v>7</v>
      </c>
      <c r="E85" t="str">
        <f>"896"</f>
        <v>896</v>
      </c>
      <c r="F85" t="str">
        <f>"0000"</f>
        <v>0000</v>
      </c>
    </row>
    <row r="86" spans="1:6">
      <c r="A86" t="str">
        <f>"E78-1"</f>
        <v>E78-1</v>
      </c>
      <c r="B86" t="str">
        <f>"VIA ROMANA DELLA CASTAGNA VICINO AL 26-"</f>
        <v>VIA ROMANA DELLA CASTAGNA VICINO AL 26-</v>
      </c>
      <c r="C86" t="str">
        <f>"QUA"</f>
        <v>QUA</v>
      </c>
      <c r="D86">
        <v>5</v>
      </c>
      <c r="E86" t="str">
        <f>"424"</f>
        <v>424</v>
      </c>
      <c r="F86" t="str">
        <f>"0000"</f>
        <v>0000</v>
      </c>
    </row>
    <row r="87" spans="1:6">
      <c r="A87" t="str">
        <f>"E79-1"</f>
        <v>E79-1</v>
      </c>
      <c r="B87" t="str">
        <f>"VIA DELLE ERICHE  100-"</f>
        <v>VIA DELLE ERICHE  100-</v>
      </c>
      <c r="C87" t="str">
        <f>"QUA"</f>
        <v>QUA</v>
      </c>
      <c r="D87">
        <v>4</v>
      </c>
      <c r="E87" t="str">
        <f>"408"</f>
        <v>408</v>
      </c>
      <c r="F87" t="str">
        <f>"104"</f>
        <v>104</v>
      </c>
    </row>
    <row r="88" spans="1:6">
      <c r="A88" t="str">
        <f>"E79-2"</f>
        <v>E79-2</v>
      </c>
      <c r="B88" t="str">
        <f>"VIA DELLE ERICHE  100-"</f>
        <v>VIA DELLE ERICHE  100-</v>
      </c>
      <c r="C88" t="str">
        <f>"QUA"</f>
        <v>QUA</v>
      </c>
      <c r="D88">
        <v>4</v>
      </c>
      <c r="E88" t="str">
        <f>"408"</f>
        <v>408</v>
      </c>
      <c r="F88" t="str">
        <f>"182"</f>
        <v>182</v>
      </c>
    </row>
    <row r="89" spans="1:6">
      <c r="A89" t="str">
        <f>"E79-3"</f>
        <v>E79-3</v>
      </c>
      <c r="B89" t="str">
        <f>"VIA DELLE ERICHE  102-"</f>
        <v>VIA DELLE ERICHE  102-</v>
      </c>
      <c r="C89" t="str">
        <f>"QUA"</f>
        <v>QUA</v>
      </c>
      <c r="D89">
        <v>4</v>
      </c>
      <c r="E89" t="str">
        <f>"408"</f>
        <v>408</v>
      </c>
      <c r="F89" t="str">
        <f>"10"</f>
        <v>10</v>
      </c>
    </row>
    <row r="90" spans="1:6">
      <c r="A90" t="str">
        <f>"E80-1"</f>
        <v>E80-1</v>
      </c>
      <c r="B90" t="str">
        <f>"VIA ROMANA DI QUARTO VICINO AL 115-"</f>
        <v>VIA ROMANA DI QUARTO VICINO AL 115-</v>
      </c>
      <c r="C90" t="str">
        <f>"QUA"</f>
        <v>QUA</v>
      </c>
      <c r="D90">
        <v>4</v>
      </c>
      <c r="E90" t="str">
        <f>"285"</f>
        <v>285</v>
      </c>
      <c r="F90" t="str">
        <f t="shared" ref="F90:F97" si="7">"0000"</f>
        <v>0000</v>
      </c>
    </row>
    <row r="91" spans="1:6">
      <c r="A91" t="str">
        <f>"E82-1"</f>
        <v>E82-1</v>
      </c>
      <c r="B91" t="str">
        <f>"VIA DELLE CASETTE  51-"</f>
        <v>VIA DELLE CASETTE  51-</v>
      </c>
      <c r="C91" t="str">
        <f>"GEB"</f>
        <v>GEB</v>
      </c>
      <c r="D91">
        <v>56</v>
      </c>
      <c r="E91" t="str">
        <f>"228"</f>
        <v>228</v>
      </c>
      <c r="F91" t="str">
        <f t="shared" si="7"/>
        <v>0000</v>
      </c>
    </row>
    <row r="92" spans="1:6">
      <c r="A92" t="str">
        <f>"E83-1"</f>
        <v>E83-1</v>
      </c>
      <c r="B92" t="str">
        <f>"VIA GABRIELE ROSSETTI  3AR-"</f>
        <v>VIA GABRIELE ROSSETTI  3AR-</v>
      </c>
      <c r="C92" t="str">
        <f>"7"</f>
        <v>7</v>
      </c>
      <c r="D92">
        <v>6</v>
      </c>
      <c r="E92" t="str">
        <f>"561"</f>
        <v>561</v>
      </c>
      <c r="F92" t="str">
        <f t="shared" si="7"/>
        <v>0000</v>
      </c>
    </row>
    <row r="93" spans="1:6">
      <c r="C93" t="str">
        <f>"7"</f>
        <v>7</v>
      </c>
      <c r="D93">
        <v>6</v>
      </c>
      <c r="E93" t="str">
        <f>"605"</f>
        <v>605</v>
      </c>
      <c r="F93" t="str">
        <f t="shared" si="7"/>
        <v>0000</v>
      </c>
    </row>
    <row r="94" spans="1:6">
      <c r="A94" t="str">
        <f>"E84-1"</f>
        <v>E84-1</v>
      </c>
      <c r="B94" t="str">
        <f>"VIA PRIARUGGIA  50-"</f>
        <v>VIA PRIARUGGIA  50-</v>
      </c>
      <c r="C94" t="str">
        <f>"QUA"</f>
        <v>QUA</v>
      </c>
      <c r="D94">
        <v>7</v>
      </c>
      <c r="E94" t="str">
        <f>"559"</f>
        <v>559</v>
      </c>
      <c r="F94" t="str">
        <f t="shared" si="7"/>
        <v>0000</v>
      </c>
    </row>
    <row r="95" spans="1:6">
      <c r="C95" t="str">
        <f>"QUA"</f>
        <v>QUA</v>
      </c>
      <c r="D95">
        <v>7</v>
      </c>
      <c r="E95" t="str">
        <f>"582"</f>
        <v>582</v>
      </c>
      <c r="F95" t="str">
        <f t="shared" si="7"/>
        <v>0000</v>
      </c>
    </row>
    <row r="96" spans="1:6">
      <c r="A96" t="str">
        <f>"E85-1"</f>
        <v>E85-1</v>
      </c>
      <c r="B96" t="str">
        <f>"VIA GABRIELE ROSSETTI VICINO AL 3AR-"</f>
        <v>VIA GABRIELE ROSSETTI VICINO AL 3AR-</v>
      </c>
      <c r="C96" t="str">
        <f>"QUA"</f>
        <v>QUA</v>
      </c>
      <c r="D96">
        <v>6</v>
      </c>
      <c r="E96" t="str">
        <f>"561"</f>
        <v>561</v>
      </c>
      <c r="F96" t="str">
        <f t="shared" si="7"/>
        <v>0000</v>
      </c>
    </row>
    <row r="97" spans="1:6">
      <c r="A97" t="str">
        <f>"E86-1"</f>
        <v>E86-1</v>
      </c>
      <c r="B97" t="str">
        <f>"VIA ISONZO  46AR-"</f>
        <v>VIA ISONZO  46AR-</v>
      </c>
      <c r="C97" t="str">
        <f>"GEB"</f>
        <v>GEB</v>
      </c>
      <c r="D97">
        <v>55</v>
      </c>
      <c r="E97" t="str">
        <f>"861"</f>
        <v>861</v>
      </c>
      <c r="F97" t="str">
        <f t="shared" si="7"/>
        <v>0000</v>
      </c>
    </row>
    <row r="98" spans="1:6">
      <c r="A98" t="str">
        <f>"E87-1"</f>
        <v>E87-1</v>
      </c>
      <c r="B98" t="str">
        <f>"VIA C AUGUSTO VECCHI  3-"</f>
        <v>VIA C AUGUSTO VECCHI  3-</v>
      </c>
      <c r="C98" t="str">
        <f>"QUA"</f>
        <v>QUA</v>
      </c>
      <c r="D98">
        <v>6</v>
      </c>
      <c r="E98" t="str">
        <f>"293"</f>
        <v>293</v>
      </c>
      <c r="F98" t="str">
        <f>"1"</f>
        <v>1</v>
      </c>
    </row>
    <row r="99" spans="1:6">
      <c r="A99" t="str">
        <f>"E87-2"</f>
        <v>E87-2</v>
      </c>
      <c r="B99" t="str">
        <f>"VIA C AUGUSTO VECCHI  3-"</f>
        <v>VIA C AUGUSTO VECCHI  3-</v>
      </c>
      <c r="C99" t="str">
        <f>"QUA"</f>
        <v>QUA</v>
      </c>
      <c r="D99">
        <v>6</v>
      </c>
      <c r="E99" t="str">
        <f>"293"</f>
        <v>293</v>
      </c>
      <c r="F99" t="str">
        <f>"2"</f>
        <v>2</v>
      </c>
    </row>
    <row r="100" spans="1:6">
      <c r="A100" t="str">
        <f>"E88-1"</f>
        <v>E88-1</v>
      </c>
      <c r="B100" t="str">
        <f>"VIA GORIZIA  13A-"</f>
        <v>VIA GORIZIA  13A-</v>
      </c>
      <c r="C100" t="str">
        <f>"1"</f>
        <v>1</v>
      </c>
      <c r="D100">
        <v>78</v>
      </c>
      <c r="E100" t="str">
        <f>"178"</f>
        <v>178</v>
      </c>
      <c r="F100" t="str">
        <f>"0000"</f>
        <v>0000</v>
      </c>
    </row>
    <row r="101" spans="1:6">
      <c r="A101" t="str">
        <f>"E89-1"</f>
        <v>E89-1</v>
      </c>
      <c r="B101" t="str">
        <f>"VIA AI MONTI D ORECCHIA VICINO AL 23-"</f>
        <v>VIA AI MONTI D ORECCHIA VICINO AL 23-</v>
      </c>
      <c r="C101" t="str">
        <f>"QUA"</f>
        <v>QUA</v>
      </c>
      <c r="D101">
        <v>1</v>
      </c>
      <c r="E101" t="str">
        <f>"179"</f>
        <v>179</v>
      </c>
      <c r="F101" t="str">
        <f>"0000"</f>
        <v>0000</v>
      </c>
    </row>
    <row r="102" spans="1:6">
      <c r="A102" t="str">
        <f>"E90-1"</f>
        <v>E90-1</v>
      </c>
      <c r="B102" t="str">
        <f>"VIA DOMENICO PINASCO  7-"</f>
        <v>VIA DOMENICO PINASCO  7-</v>
      </c>
      <c r="C102" t="str">
        <f>"QUA"</f>
        <v>QUA</v>
      </c>
      <c r="D102">
        <v>6</v>
      </c>
      <c r="E102" t="str">
        <f>"286"</f>
        <v>286</v>
      </c>
      <c r="F102" t="str">
        <f>"0000"</f>
        <v>0000</v>
      </c>
    </row>
    <row r="103" spans="1:6">
      <c r="C103" t="str">
        <f>"QUA"</f>
        <v>QUA</v>
      </c>
      <c r="D103">
        <v>6</v>
      </c>
      <c r="E103" t="str">
        <f>"287"</f>
        <v>287</v>
      </c>
      <c r="F103" t="str">
        <f>"1"</f>
        <v>1</v>
      </c>
    </row>
    <row r="104" spans="1:6">
      <c r="A104" t="str">
        <f>"E90-4"</f>
        <v>E90-4</v>
      </c>
      <c r="B104" t="str">
        <f>"VIA LUIGI SARTORIO  1-"</f>
        <v>VIA LUIGI SARTORIO  1-</v>
      </c>
      <c r="C104" t="str">
        <f>"7"</f>
        <v>7</v>
      </c>
      <c r="D104">
        <v>6</v>
      </c>
      <c r="E104" t="str">
        <f>"286"</f>
        <v>286</v>
      </c>
      <c r="F104" t="str">
        <f>"0000"</f>
        <v>0000</v>
      </c>
    </row>
    <row r="105" spans="1:6">
      <c r="C105" t="str">
        <f>"7"</f>
        <v>7</v>
      </c>
      <c r="D105">
        <v>6</v>
      </c>
      <c r="E105" t="str">
        <f>"287"</f>
        <v>287</v>
      </c>
      <c r="F105" t="str">
        <f>"0000"</f>
        <v>0000</v>
      </c>
    </row>
    <row r="106" spans="1:6">
      <c r="A106" t="str">
        <f>"E91-1"</f>
        <v>E91-1</v>
      </c>
      <c r="B106" t="str">
        <f>"VIA BOTTINI  43-"</f>
        <v>VIA BOTTINI  43-</v>
      </c>
      <c r="C106" t="str">
        <f t="shared" ref="C106:C111" si="8">"GEB"</f>
        <v>GEB</v>
      </c>
      <c r="D106">
        <v>56</v>
      </c>
      <c r="E106" t="str">
        <f>"140"</f>
        <v>140</v>
      </c>
      <c r="F106" t="str">
        <f>"1"</f>
        <v>1</v>
      </c>
    </row>
    <row r="107" spans="1:6">
      <c r="A107" t="str">
        <f>"E91-2"</f>
        <v>E91-2</v>
      </c>
      <c r="B107" t="str">
        <f>"VIA BOTTINI  43-"</f>
        <v>VIA BOTTINI  43-</v>
      </c>
      <c r="C107" t="str">
        <f t="shared" si="8"/>
        <v>GEB</v>
      </c>
      <c r="D107">
        <v>56</v>
      </c>
      <c r="E107" t="str">
        <f>"140"</f>
        <v>140</v>
      </c>
      <c r="F107" t="str">
        <f>"2"</f>
        <v>2</v>
      </c>
    </row>
    <row r="108" spans="1:6">
      <c r="A108" t="str">
        <f>"E93-4"</f>
        <v>E93-4</v>
      </c>
      <c r="B108" t="str">
        <f>"PIAZZA CADEVILLA  1R-"</f>
        <v>PIAZZA CADEVILLA  1R-</v>
      </c>
      <c r="C108" t="str">
        <f t="shared" si="8"/>
        <v>GEB</v>
      </c>
      <c r="D108">
        <v>73</v>
      </c>
      <c r="E108" t="str">
        <f>"39"</f>
        <v>39</v>
      </c>
      <c r="F108" t="str">
        <f>"5"</f>
        <v>5</v>
      </c>
    </row>
    <row r="109" spans="1:6">
      <c r="A109" t="str">
        <f>"E93-5"</f>
        <v>E93-5</v>
      </c>
      <c r="B109" t="str">
        <f>"DISCESA A V  BARTOLOMEO C  2-"</f>
        <v>DISCESA A V  BARTOLOMEO C  2-</v>
      </c>
      <c r="C109" t="str">
        <f t="shared" si="8"/>
        <v>GEB</v>
      </c>
      <c r="D109">
        <v>72</v>
      </c>
      <c r="E109" t="str">
        <f>"39"</f>
        <v>39</v>
      </c>
      <c r="F109" t="str">
        <f>"3"</f>
        <v>3</v>
      </c>
    </row>
    <row r="110" spans="1:6">
      <c r="A110" t="str">
        <f>"E93-7"</f>
        <v>E93-7</v>
      </c>
      <c r="B110" t="str">
        <f>"DISCESA A V  BARTOLOMEO C VICINO AL 2-"</f>
        <v>DISCESA A V  BARTOLOMEO C VICINO AL 2-</v>
      </c>
      <c r="C110" t="str">
        <f t="shared" si="8"/>
        <v>GEB</v>
      </c>
      <c r="D110">
        <v>73</v>
      </c>
      <c r="E110" t="str">
        <f>"358"</f>
        <v>358</v>
      </c>
      <c r="F110" t="str">
        <f>"000"</f>
        <v>000</v>
      </c>
    </row>
    <row r="111" spans="1:6">
      <c r="C111" t="str">
        <f t="shared" si="8"/>
        <v>GEB</v>
      </c>
      <c r="D111">
        <v>73</v>
      </c>
      <c r="E111" t="str">
        <f>"39"</f>
        <v>39</v>
      </c>
      <c r="F111" t="str">
        <f>"4"</f>
        <v>4</v>
      </c>
    </row>
    <row r="112" spans="1:6">
      <c r="A112" t="str">
        <f>"E94-1"</f>
        <v>E94-1</v>
      </c>
      <c r="B112" t="str">
        <f>"VIALE TEANO  10-"</f>
        <v>VIALE TEANO  10-</v>
      </c>
      <c r="C112" t="str">
        <f>"QUA"</f>
        <v>QUA</v>
      </c>
      <c r="D112">
        <v>6</v>
      </c>
      <c r="E112" t="str">
        <f>"311"</f>
        <v>311</v>
      </c>
      <c r="F112" t="str">
        <f>"3"</f>
        <v>3</v>
      </c>
    </row>
    <row r="113" spans="1:6">
      <c r="A113" t="str">
        <f>"E94-2"</f>
        <v>E94-2</v>
      </c>
      <c r="B113" t="str">
        <f>"VIALE TEANO  10-"</f>
        <v>VIALE TEANO  10-</v>
      </c>
      <c r="C113" t="str">
        <f>"QUA"</f>
        <v>QUA</v>
      </c>
      <c r="D113">
        <v>6</v>
      </c>
      <c r="E113" t="str">
        <f>"311"</f>
        <v>311</v>
      </c>
      <c r="F113" t="str">
        <f>"000"</f>
        <v>000</v>
      </c>
    </row>
    <row r="114" spans="1:6">
      <c r="A114" t="str">
        <f>"E95-1"</f>
        <v>E95-1</v>
      </c>
      <c r="B114" t="str">
        <f>"VIALE TEANO  10-"</f>
        <v>VIALE TEANO  10-</v>
      </c>
      <c r="C114" t="str">
        <f>"7"</f>
        <v>7</v>
      </c>
      <c r="D114">
        <v>6</v>
      </c>
      <c r="E114" t="str">
        <f>"1244"</f>
        <v>1244</v>
      </c>
      <c r="F114" t="str">
        <f>"0000"</f>
        <v>0000</v>
      </c>
    </row>
    <row r="115" spans="1:6">
      <c r="A115" t="str">
        <f>"E99-3"</f>
        <v>E99-3</v>
      </c>
      <c r="B115" t="str">
        <f>"PIAZZA IPPOLITO NIEVO  1-"</f>
        <v>PIAZZA IPPOLITO NIEVO  1-</v>
      </c>
      <c r="C115" t="str">
        <f>"QUA"</f>
        <v>QUA</v>
      </c>
      <c r="D115">
        <v>6</v>
      </c>
      <c r="E115" t="str">
        <f>"295"</f>
        <v>295</v>
      </c>
      <c r="F115" t="str">
        <f>"3"</f>
        <v>3</v>
      </c>
    </row>
    <row r="116" spans="1:6">
      <c r="C116" t="str">
        <f>"QUA"</f>
        <v>QUA</v>
      </c>
      <c r="D116">
        <v>6</v>
      </c>
      <c r="E116" t="str">
        <f>"296"</f>
        <v>296</v>
      </c>
      <c r="F116" t="str">
        <f>"0000"</f>
        <v>0000</v>
      </c>
    </row>
    <row r="117" spans="1:6">
      <c r="A117" t="str">
        <f>"E100-2"</f>
        <v>E100-2</v>
      </c>
      <c r="B117" t="str">
        <f>"VIA DEI MILLE VICINO AL 18R-"</f>
        <v>VIA DEI MILLE VICINO AL 18R-</v>
      </c>
      <c r="C117" t="str">
        <f>"GEB"</f>
        <v>GEB</v>
      </c>
      <c r="D117">
        <v>63</v>
      </c>
      <c r="E117" t="str">
        <f>"326"</f>
        <v>326</v>
      </c>
      <c r="F117" t="str">
        <f>"2"</f>
        <v>2</v>
      </c>
    </row>
    <row r="118" spans="1:6">
      <c r="A118" t="str">
        <f>"E101-1"</f>
        <v>E101-1</v>
      </c>
      <c r="B118" t="str">
        <f>"VIA BARTOLOMEO CHIGHIZOLA  17-"</f>
        <v>VIA BARTOLOMEO CHIGHIZOLA  17-</v>
      </c>
      <c r="C118" t="str">
        <f>"GEB"</f>
        <v>GEB</v>
      </c>
      <c r="D118">
        <v>73</v>
      </c>
      <c r="E118" t="str">
        <f>"40"</f>
        <v>40</v>
      </c>
      <c r="F118" t="str">
        <f>"1"</f>
        <v>1</v>
      </c>
    </row>
    <row r="119" spans="1:6">
      <c r="A119" t="str">
        <f>"E101-2"</f>
        <v>E101-2</v>
      </c>
      <c r="B119" t="str">
        <f>"VIA BARTOLOMEO CHIGHIZOLA  19-"</f>
        <v>VIA BARTOLOMEO CHIGHIZOLA  19-</v>
      </c>
      <c r="C119" t="str">
        <f>"GEB"</f>
        <v>GEB</v>
      </c>
      <c r="D119">
        <v>73</v>
      </c>
      <c r="E119" t="str">
        <f>"40"</f>
        <v>40</v>
      </c>
      <c r="F119" t="str">
        <f>"2"</f>
        <v>2</v>
      </c>
    </row>
    <row r="120" spans="1:6">
      <c r="A120" t="str">
        <f>"E102-1"</f>
        <v>E102-1</v>
      </c>
      <c r="B120" t="str">
        <f>"VIA BARTOLOMEO CHIGHIZOLA  15-"</f>
        <v>VIA BARTOLOMEO CHIGHIZOLA  15-</v>
      </c>
      <c r="C120" t="str">
        <f>"GEB"</f>
        <v>GEB</v>
      </c>
      <c r="D120">
        <v>73</v>
      </c>
      <c r="E120" t="str">
        <f>"41"</f>
        <v>41</v>
      </c>
      <c r="F120" t="str">
        <f t="shared" ref="F120:F125" si="9">"0000"</f>
        <v>0000</v>
      </c>
    </row>
    <row r="121" spans="1:6">
      <c r="A121" t="str">
        <f>"E103-1"</f>
        <v>E103-1</v>
      </c>
      <c r="B121" t="str">
        <f>"VIA ISONZO VICINO AL 15-"</f>
        <v>VIA ISONZO VICINO AL 15-</v>
      </c>
      <c r="C121" t="str">
        <f>"GEB"</f>
        <v>GEB</v>
      </c>
      <c r="D121">
        <v>55</v>
      </c>
      <c r="E121" t="str">
        <f>"155"</f>
        <v>155</v>
      </c>
      <c r="F121" t="str">
        <f t="shared" si="9"/>
        <v>0000</v>
      </c>
    </row>
    <row r="122" spans="1:6">
      <c r="A122" t="str">
        <f>"E104-1"</f>
        <v>E104-1</v>
      </c>
      <c r="B122" t="str">
        <f>"VIA VITTORINO ERA  1-"</f>
        <v>VIA VITTORINO ERA  1-</v>
      </c>
      <c r="C122" t="str">
        <f>"1"</f>
        <v>1</v>
      </c>
      <c r="D122">
        <v>81</v>
      </c>
      <c r="E122" t="str">
        <f>"191"</f>
        <v>191</v>
      </c>
      <c r="F122" t="str">
        <f t="shared" si="9"/>
        <v>0000</v>
      </c>
    </row>
    <row r="123" spans="1:6">
      <c r="C123" t="str">
        <f>"1"</f>
        <v>1</v>
      </c>
      <c r="D123">
        <v>81</v>
      </c>
      <c r="E123" t="str">
        <f>"201"</f>
        <v>201</v>
      </c>
      <c r="F123" t="str">
        <f t="shared" si="9"/>
        <v>0000</v>
      </c>
    </row>
    <row r="124" spans="1:6">
      <c r="C124" t="str">
        <f>"1"</f>
        <v>1</v>
      </c>
      <c r="D124">
        <v>81</v>
      </c>
      <c r="E124" t="str">
        <f>"265"</f>
        <v>265</v>
      </c>
      <c r="F124" t="str">
        <f t="shared" si="9"/>
        <v>0000</v>
      </c>
    </row>
    <row r="125" spans="1:6">
      <c r="A125" t="str">
        <f>"E105-1"</f>
        <v>E105-1</v>
      </c>
      <c r="B125" t="str">
        <f>"VIA VITTORINO ERA  1B-"</f>
        <v>VIA VITTORINO ERA  1B-</v>
      </c>
      <c r="C125" t="str">
        <f>"GEB"</f>
        <v>GEB</v>
      </c>
      <c r="D125">
        <v>63</v>
      </c>
      <c r="E125" t="str">
        <f>"88"</f>
        <v>88</v>
      </c>
      <c r="F125" t="str">
        <f t="shared" si="9"/>
        <v>0000</v>
      </c>
    </row>
    <row r="126" spans="1:6">
      <c r="A126" t="str">
        <f>"E106-1"</f>
        <v>E106-1</v>
      </c>
      <c r="B126" t="str">
        <f>"PASSEG ANITA GARIBALDI  26R-"</f>
        <v>PASSEG ANITA GARIBALDI  26R-</v>
      </c>
      <c r="C126" t="str">
        <f>"NER"</f>
        <v>NER</v>
      </c>
      <c r="D126">
        <v>11</v>
      </c>
      <c r="E126" t="str">
        <f>"166"</f>
        <v>166</v>
      </c>
      <c r="F126" t="str">
        <f>"2"</f>
        <v>2</v>
      </c>
    </row>
    <row r="127" spans="1:6">
      <c r="A127" t="str">
        <f>"E107-1"</f>
        <v>E107-1</v>
      </c>
      <c r="B127" t="str">
        <f>"VIA BRIGATA SALERNO  48-"</f>
        <v>VIA BRIGATA SALERNO  48-</v>
      </c>
      <c r="C127" t="str">
        <f>"GEB"</f>
        <v>GEB</v>
      </c>
      <c r="D127">
        <v>63</v>
      </c>
      <c r="E127" t="str">
        <f>"291"</f>
        <v>291</v>
      </c>
      <c r="F127" t="str">
        <f>"4"</f>
        <v>4</v>
      </c>
    </row>
    <row r="128" spans="1:6">
      <c r="A128" t="str">
        <f>"E107-7"</f>
        <v>E107-7</v>
      </c>
      <c r="B128" t="str">
        <f>"VIA BRIGATA SALERNO  48-"</f>
        <v>VIA BRIGATA SALERNO  48-</v>
      </c>
      <c r="C128" t="str">
        <f>"GEB"</f>
        <v>GEB</v>
      </c>
      <c r="D128">
        <v>63</v>
      </c>
      <c r="E128" t="str">
        <f>"291"</f>
        <v>291</v>
      </c>
      <c r="F128" t="str">
        <f>"13"</f>
        <v>13</v>
      </c>
    </row>
    <row r="129" spans="1:6">
      <c r="A129" t="str">
        <f>"E118-1"</f>
        <v>E118-1</v>
      </c>
      <c r="B129" t="str">
        <f>"CORSO EUROPA  631-"</f>
        <v>CORSO EUROPA  631-</v>
      </c>
      <c r="C129" t="str">
        <f>"1"</f>
        <v>1</v>
      </c>
      <c r="D129">
        <v>79</v>
      </c>
      <c r="E129" t="str">
        <f>"211"</f>
        <v>211</v>
      </c>
      <c r="F129" t="str">
        <f>"0000"</f>
        <v>0000</v>
      </c>
    </row>
    <row r="130" spans="1:6">
      <c r="A130" t="str">
        <f>"E122-1"</f>
        <v>E122-1</v>
      </c>
      <c r="B130" t="str">
        <f>"PIAZZA CADEVILLA  7R-"</f>
        <v>PIAZZA CADEVILLA  7R-</v>
      </c>
      <c r="C130" t="str">
        <f>"GEB"</f>
        <v>GEB</v>
      </c>
      <c r="D130">
        <v>73</v>
      </c>
      <c r="E130" t="str">
        <f>"910"</f>
        <v>910</v>
      </c>
      <c r="F130" t="str">
        <f>"1"</f>
        <v>1</v>
      </c>
    </row>
    <row r="131" spans="1:6">
      <c r="A131" t="str">
        <f>"E122-2"</f>
        <v>E122-2</v>
      </c>
      <c r="B131" t="str">
        <f>"PIAZZA CADEVILLA  15-"</f>
        <v>PIAZZA CADEVILLA  15-</v>
      </c>
      <c r="C131" t="str">
        <f>"GEB"</f>
        <v>GEB</v>
      </c>
      <c r="D131">
        <v>73</v>
      </c>
      <c r="E131" t="str">
        <f>"910"</f>
        <v>910</v>
      </c>
      <c r="F131" t="str">
        <f>"2"</f>
        <v>2</v>
      </c>
    </row>
    <row r="132" spans="1:6">
      <c r="A132" t="str">
        <f>"E122-3"</f>
        <v>E122-3</v>
      </c>
      <c r="B132" t="str">
        <f>"PIAZZA CADEVILLA  15-"</f>
        <v>PIAZZA CADEVILLA  15-</v>
      </c>
      <c r="C132" t="str">
        <f>"GEB"</f>
        <v>GEB</v>
      </c>
      <c r="D132">
        <v>73</v>
      </c>
      <c r="E132" t="str">
        <f>"910"</f>
        <v>910</v>
      </c>
      <c r="F132" t="str">
        <f>"3"</f>
        <v>3</v>
      </c>
    </row>
    <row r="133" spans="1:6">
      <c r="A133" t="str">
        <f>"E123-1"</f>
        <v>E123-1</v>
      </c>
      <c r="B133" t="str">
        <f>"VIA DEI MILLE  9A-"</f>
        <v>VIA DEI MILLE  9A-</v>
      </c>
      <c r="C133" t="str">
        <f>"GEB"</f>
        <v>GEB</v>
      </c>
      <c r="D133">
        <v>73</v>
      </c>
      <c r="E133" t="str">
        <f>"83"</f>
        <v>83</v>
      </c>
      <c r="F133" t="str">
        <f>"0000"</f>
        <v>0000</v>
      </c>
    </row>
    <row r="134" spans="1:6">
      <c r="A134" t="str">
        <f>"E124-1"</f>
        <v>E124-1</v>
      </c>
      <c r="B134" t="str">
        <f>"VIA DELLE ERICHE  69-"</f>
        <v>VIA DELLE ERICHE  69-</v>
      </c>
      <c r="C134" t="str">
        <f>"QUA"</f>
        <v>QUA</v>
      </c>
      <c r="D134">
        <v>4</v>
      </c>
      <c r="E134" t="str">
        <f>"409"</f>
        <v>409</v>
      </c>
      <c r="F134" t="str">
        <f>"19"</f>
        <v>19</v>
      </c>
    </row>
    <row r="135" spans="1:6">
      <c r="A135" t="str">
        <f>"E124-2"</f>
        <v>E124-2</v>
      </c>
      <c r="B135" t="str">
        <f>"VIA DELLE ERICHE  69-"</f>
        <v>VIA DELLE ERICHE  69-</v>
      </c>
      <c r="C135" t="str">
        <f>"QUA"</f>
        <v>QUA</v>
      </c>
      <c r="D135">
        <v>4</v>
      </c>
      <c r="E135" t="str">
        <f>"409"</f>
        <v>409</v>
      </c>
      <c r="F135" t="str">
        <f>"20"</f>
        <v>20</v>
      </c>
    </row>
    <row r="136" spans="1:6">
      <c r="A136" t="str">
        <f>"E126-1"</f>
        <v>E126-1</v>
      </c>
      <c r="B136" t="str">
        <f>"VIA BOTTINI  44-"</f>
        <v>VIA BOTTINI  44-</v>
      </c>
      <c r="C136" t="str">
        <f>"GEB"</f>
        <v>GEB</v>
      </c>
      <c r="D136">
        <v>55</v>
      </c>
      <c r="E136" t="str">
        <f>"327"</f>
        <v>327</v>
      </c>
      <c r="F136" t="str">
        <f>"1"</f>
        <v>1</v>
      </c>
    </row>
    <row r="137" spans="1:6">
      <c r="C137" t="str">
        <f>"GEB"</f>
        <v>GEB</v>
      </c>
      <c r="D137">
        <v>55</v>
      </c>
      <c r="E137" t="str">
        <f>"328"</f>
        <v>328</v>
      </c>
      <c r="F137" t="str">
        <f>"0000"</f>
        <v>0000</v>
      </c>
    </row>
    <row r="138" spans="1:6">
      <c r="A138" t="str">
        <f>"E128-1"</f>
        <v>E128-1</v>
      </c>
      <c r="B138" t="str">
        <f>"VIA DELLE ERICHE  51-"</f>
        <v>VIA DELLE ERICHE  51-</v>
      </c>
      <c r="C138" t="str">
        <f t="shared" ref="C138:C148" si="10">"QUA"</f>
        <v>QUA</v>
      </c>
      <c r="D138">
        <v>4</v>
      </c>
      <c r="E138" t="str">
        <f>"410"</f>
        <v>410</v>
      </c>
      <c r="F138" t="str">
        <f>"28"</f>
        <v>28</v>
      </c>
    </row>
    <row r="139" spans="1:6">
      <c r="A139" t="str">
        <f>"E128-2"</f>
        <v>E128-2</v>
      </c>
      <c r="B139" t="str">
        <f>"VIA DELLE ERICHE  63-"</f>
        <v>VIA DELLE ERICHE  63-</v>
      </c>
      <c r="C139" t="str">
        <f t="shared" si="10"/>
        <v>QUA</v>
      </c>
      <c r="D139">
        <v>4</v>
      </c>
      <c r="E139" t="str">
        <f>"410"</f>
        <v>410</v>
      </c>
      <c r="F139" t="str">
        <f>"29"</f>
        <v>29</v>
      </c>
    </row>
    <row r="140" spans="1:6">
      <c r="A140" t="str">
        <f>"E128-3"</f>
        <v>E128-3</v>
      </c>
      <c r="B140" t="str">
        <f>"VIA DELLE ERICHE  63-"</f>
        <v>VIA DELLE ERICHE  63-</v>
      </c>
      <c r="C140" t="str">
        <f t="shared" si="10"/>
        <v>QUA</v>
      </c>
      <c r="D140">
        <v>4</v>
      </c>
      <c r="E140" t="str">
        <f>"410"</f>
        <v>410</v>
      </c>
      <c r="F140" t="str">
        <f>"47"</f>
        <v>47</v>
      </c>
    </row>
    <row r="141" spans="1:6">
      <c r="A141" t="str">
        <f>"E129-1"</f>
        <v>E129-1</v>
      </c>
      <c r="B141" t="str">
        <f t="shared" ref="B141:B149" si="11">"VIA DELLE ERICHE  100-"</f>
        <v>VIA DELLE ERICHE  100-</v>
      </c>
      <c r="C141" t="str">
        <f t="shared" si="10"/>
        <v>QUA</v>
      </c>
      <c r="D141">
        <v>4</v>
      </c>
      <c r="E141" t="str">
        <f t="shared" ref="E141:E148" si="12">"408"</f>
        <v>408</v>
      </c>
      <c r="F141" t="str">
        <f>"60"</f>
        <v>60</v>
      </c>
    </row>
    <row r="142" spans="1:6">
      <c r="A142" t="str">
        <f>"E129-2"</f>
        <v>E129-2</v>
      </c>
      <c r="B142" t="str">
        <f t="shared" si="11"/>
        <v>VIA DELLE ERICHE  100-</v>
      </c>
      <c r="C142" t="str">
        <f t="shared" si="10"/>
        <v>QUA</v>
      </c>
      <c r="D142">
        <v>4</v>
      </c>
      <c r="E142" t="str">
        <f t="shared" si="12"/>
        <v>408</v>
      </c>
      <c r="F142" t="str">
        <f>"65"</f>
        <v>65</v>
      </c>
    </row>
    <row r="143" spans="1:6">
      <c r="A143" t="str">
        <f>"E129-3"</f>
        <v>E129-3</v>
      </c>
      <c r="B143" t="str">
        <f t="shared" si="11"/>
        <v>VIA DELLE ERICHE  100-</v>
      </c>
      <c r="C143" t="str">
        <f t="shared" si="10"/>
        <v>QUA</v>
      </c>
      <c r="D143">
        <v>4</v>
      </c>
      <c r="E143" t="str">
        <f t="shared" si="12"/>
        <v>408</v>
      </c>
      <c r="F143" t="str">
        <f>"70"</f>
        <v>70</v>
      </c>
    </row>
    <row r="144" spans="1:6">
      <c r="A144" t="str">
        <f>"E129-4"</f>
        <v>E129-4</v>
      </c>
      <c r="B144" t="str">
        <f t="shared" si="11"/>
        <v>VIA DELLE ERICHE  100-</v>
      </c>
      <c r="C144" t="str">
        <f t="shared" si="10"/>
        <v>QUA</v>
      </c>
      <c r="D144">
        <v>4</v>
      </c>
      <c r="E144" t="str">
        <f t="shared" si="12"/>
        <v>408</v>
      </c>
      <c r="F144" t="str">
        <f>"74"</f>
        <v>74</v>
      </c>
    </row>
    <row r="145" spans="1:6">
      <c r="A145" t="str">
        <f>"E129-5"</f>
        <v>E129-5</v>
      </c>
      <c r="B145" t="str">
        <f t="shared" si="11"/>
        <v>VIA DELLE ERICHE  100-</v>
      </c>
      <c r="C145" t="str">
        <f t="shared" si="10"/>
        <v>QUA</v>
      </c>
      <c r="D145">
        <v>4</v>
      </c>
      <c r="E145" t="str">
        <f t="shared" si="12"/>
        <v>408</v>
      </c>
      <c r="F145" t="str">
        <f>"196"</f>
        <v>196</v>
      </c>
    </row>
    <row r="146" spans="1:6">
      <c r="A146" t="str">
        <f>"E129-6"</f>
        <v>E129-6</v>
      </c>
      <c r="B146" t="str">
        <f t="shared" si="11"/>
        <v>VIA DELLE ERICHE  100-</v>
      </c>
      <c r="C146" t="str">
        <f t="shared" si="10"/>
        <v>QUA</v>
      </c>
      <c r="D146">
        <v>4</v>
      </c>
      <c r="E146" t="str">
        <f t="shared" si="12"/>
        <v>408</v>
      </c>
      <c r="F146" t="str">
        <f>"197"</f>
        <v>197</v>
      </c>
    </row>
    <row r="147" spans="1:6">
      <c r="A147" t="str">
        <f>"E129-7"</f>
        <v>E129-7</v>
      </c>
      <c r="B147" t="str">
        <f t="shared" si="11"/>
        <v>VIA DELLE ERICHE  100-</v>
      </c>
      <c r="C147" t="str">
        <f t="shared" si="10"/>
        <v>QUA</v>
      </c>
      <c r="D147">
        <v>4</v>
      </c>
      <c r="E147" t="str">
        <f t="shared" si="12"/>
        <v>408</v>
      </c>
      <c r="F147" t="str">
        <f>"198"</f>
        <v>198</v>
      </c>
    </row>
    <row r="148" spans="1:6">
      <c r="A148" t="str">
        <f>"E129-8"</f>
        <v>E129-8</v>
      </c>
      <c r="B148" t="str">
        <f t="shared" si="11"/>
        <v>VIA DELLE ERICHE  100-</v>
      </c>
      <c r="C148" t="str">
        <f t="shared" si="10"/>
        <v>QUA</v>
      </c>
      <c r="D148">
        <v>4</v>
      </c>
      <c r="E148" t="str">
        <f t="shared" si="12"/>
        <v>408</v>
      </c>
      <c r="F148" t="str">
        <f>"199"</f>
        <v>199</v>
      </c>
    </row>
    <row r="149" spans="1:6">
      <c r="A149" t="str">
        <f>"E129-9"</f>
        <v>E129-9</v>
      </c>
      <c r="B149" t="str">
        <f t="shared" si="11"/>
        <v>VIA DELLE ERICHE  100-</v>
      </c>
      <c r="C149" t="str">
        <f t="shared" ref="C149:C166" si="13">"7"</f>
        <v>7</v>
      </c>
      <c r="D149">
        <v>4</v>
      </c>
      <c r="E149" t="str">
        <f>"257"</f>
        <v>257</v>
      </c>
      <c r="F149" t="str">
        <f t="shared" ref="F149:F166" si="14">"0000"</f>
        <v>0000</v>
      </c>
    </row>
    <row r="150" spans="1:6">
      <c r="C150" t="str">
        <f t="shared" si="13"/>
        <v>7</v>
      </c>
      <c r="D150">
        <v>4</v>
      </c>
      <c r="E150" t="str">
        <f>"287"</f>
        <v>287</v>
      </c>
      <c r="F150" t="str">
        <f t="shared" si="14"/>
        <v>0000</v>
      </c>
    </row>
    <row r="151" spans="1:6">
      <c r="C151" t="str">
        <f t="shared" si="13"/>
        <v>7</v>
      </c>
      <c r="D151">
        <v>4</v>
      </c>
      <c r="E151" t="str">
        <f>"574"</f>
        <v>574</v>
      </c>
      <c r="F151" t="str">
        <f t="shared" si="14"/>
        <v>0000</v>
      </c>
    </row>
    <row r="152" spans="1:6">
      <c r="C152" t="str">
        <f t="shared" si="13"/>
        <v>7</v>
      </c>
      <c r="D152">
        <v>4</v>
      </c>
      <c r="E152" t="str">
        <f>"596"</f>
        <v>596</v>
      </c>
      <c r="F152" t="str">
        <f t="shared" si="14"/>
        <v>0000</v>
      </c>
    </row>
    <row r="153" spans="1:6">
      <c r="C153" t="str">
        <f t="shared" si="13"/>
        <v>7</v>
      </c>
      <c r="D153">
        <v>4</v>
      </c>
      <c r="E153" t="str">
        <f>"681"</f>
        <v>681</v>
      </c>
      <c r="F153" t="str">
        <f t="shared" si="14"/>
        <v>0000</v>
      </c>
    </row>
    <row r="154" spans="1:6">
      <c r="C154" t="str">
        <f t="shared" si="13"/>
        <v>7</v>
      </c>
      <c r="D154">
        <v>4</v>
      </c>
      <c r="E154" t="str">
        <f>"683"</f>
        <v>683</v>
      </c>
      <c r="F154" t="str">
        <f t="shared" si="14"/>
        <v>0000</v>
      </c>
    </row>
    <row r="155" spans="1:6">
      <c r="A155" t="str">
        <f>"E129-10"</f>
        <v>E129-10</v>
      </c>
      <c r="B155" t="str">
        <f>"VIA DELLE ERICHE  100-"</f>
        <v>VIA DELLE ERICHE  100-</v>
      </c>
      <c r="C155" t="str">
        <f t="shared" si="13"/>
        <v>7</v>
      </c>
      <c r="D155">
        <v>4</v>
      </c>
      <c r="E155" t="str">
        <f>"257"</f>
        <v>257</v>
      </c>
      <c r="F155" t="str">
        <f t="shared" si="14"/>
        <v>0000</v>
      </c>
    </row>
    <row r="156" spans="1:6">
      <c r="C156" t="str">
        <f t="shared" si="13"/>
        <v>7</v>
      </c>
      <c r="D156">
        <v>4</v>
      </c>
      <c r="E156" t="str">
        <f>"287"</f>
        <v>287</v>
      </c>
      <c r="F156" t="str">
        <f t="shared" si="14"/>
        <v>0000</v>
      </c>
    </row>
    <row r="157" spans="1:6">
      <c r="C157" t="str">
        <f t="shared" si="13"/>
        <v>7</v>
      </c>
      <c r="D157">
        <v>4</v>
      </c>
      <c r="E157" t="str">
        <f>"574"</f>
        <v>574</v>
      </c>
      <c r="F157" t="str">
        <f t="shared" si="14"/>
        <v>0000</v>
      </c>
    </row>
    <row r="158" spans="1:6">
      <c r="C158" t="str">
        <f t="shared" si="13"/>
        <v>7</v>
      </c>
      <c r="D158">
        <v>4</v>
      </c>
      <c r="E158" t="str">
        <f>"596"</f>
        <v>596</v>
      </c>
      <c r="F158" t="str">
        <f t="shared" si="14"/>
        <v>0000</v>
      </c>
    </row>
    <row r="159" spans="1:6">
      <c r="C159" t="str">
        <f t="shared" si="13"/>
        <v>7</v>
      </c>
      <c r="D159">
        <v>4</v>
      </c>
      <c r="E159" t="str">
        <f>"681"</f>
        <v>681</v>
      </c>
      <c r="F159" t="str">
        <f t="shared" si="14"/>
        <v>0000</v>
      </c>
    </row>
    <row r="160" spans="1:6">
      <c r="C160" t="str">
        <f t="shared" si="13"/>
        <v>7</v>
      </c>
      <c r="D160">
        <v>4</v>
      </c>
      <c r="E160" t="str">
        <f>"683"</f>
        <v>683</v>
      </c>
      <c r="F160" t="str">
        <f t="shared" si="14"/>
        <v>0000</v>
      </c>
    </row>
    <row r="161" spans="1:6">
      <c r="A161" t="str">
        <f>"E129-11"</f>
        <v>E129-11</v>
      </c>
      <c r="B161" t="str">
        <f>"VIA DELLE ERICHE  100-"</f>
        <v>VIA DELLE ERICHE  100-</v>
      </c>
      <c r="C161" t="str">
        <f t="shared" si="13"/>
        <v>7</v>
      </c>
      <c r="D161">
        <v>4</v>
      </c>
      <c r="E161" t="str">
        <f>"257"</f>
        <v>257</v>
      </c>
      <c r="F161" t="str">
        <f t="shared" si="14"/>
        <v>0000</v>
      </c>
    </row>
    <row r="162" spans="1:6">
      <c r="C162" t="str">
        <f t="shared" si="13"/>
        <v>7</v>
      </c>
      <c r="D162">
        <v>4</v>
      </c>
      <c r="E162" t="str">
        <f>"287"</f>
        <v>287</v>
      </c>
      <c r="F162" t="str">
        <f t="shared" si="14"/>
        <v>0000</v>
      </c>
    </row>
    <row r="163" spans="1:6">
      <c r="C163" t="str">
        <f t="shared" si="13"/>
        <v>7</v>
      </c>
      <c r="D163">
        <v>4</v>
      </c>
      <c r="E163" t="str">
        <f>"574"</f>
        <v>574</v>
      </c>
      <c r="F163" t="str">
        <f t="shared" si="14"/>
        <v>0000</v>
      </c>
    </row>
    <row r="164" spans="1:6">
      <c r="C164" t="str">
        <f t="shared" si="13"/>
        <v>7</v>
      </c>
      <c r="D164">
        <v>4</v>
      </c>
      <c r="E164" t="str">
        <f>"596"</f>
        <v>596</v>
      </c>
      <c r="F164" t="str">
        <f t="shared" si="14"/>
        <v>0000</v>
      </c>
    </row>
    <row r="165" spans="1:6">
      <c r="C165" t="str">
        <f t="shared" si="13"/>
        <v>7</v>
      </c>
      <c r="D165">
        <v>4</v>
      </c>
      <c r="E165" t="str">
        <f>"681"</f>
        <v>681</v>
      </c>
      <c r="F165" t="str">
        <f t="shared" si="14"/>
        <v>0000</v>
      </c>
    </row>
    <row r="166" spans="1:6">
      <c r="C166" t="str">
        <f t="shared" si="13"/>
        <v>7</v>
      </c>
      <c r="D166">
        <v>4</v>
      </c>
      <c r="E166" t="str">
        <f>"683"</f>
        <v>683</v>
      </c>
      <c r="F166" t="str">
        <f t="shared" si="14"/>
        <v>0000</v>
      </c>
    </row>
    <row r="167" spans="1:6">
      <c r="A167" t="str">
        <f>"E130-1"</f>
        <v>E130-1</v>
      </c>
      <c r="B167" t="str">
        <f>"VIA DEI CICLAMINI  81-"</f>
        <v>VIA DEI CICLAMINI  81-</v>
      </c>
      <c r="C167" t="str">
        <f>"QUA"</f>
        <v>QUA</v>
      </c>
      <c r="D167">
        <v>4</v>
      </c>
      <c r="E167" t="str">
        <f>"411"</f>
        <v>411</v>
      </c>
      <c r="F167" t="str">
        <f>"41"</f>
        <v>41</v>
      </c>
    </row>
    <row r="168" spans="1:6">
      <c r="A168" t="str">
        <f>"E130-2"</f>
        <v>E130-2</v>
      </c>
      <c r="B168" t="str">
        <f>"VIA DEI CICLAMINI  81-"</f>
        <v>VIA DEI CICLAMINI  81-</v>
      </c>
      <c r="C168" t="str">
        <f>"QUA"</f>
        <v>QUA</v>
      </c>
      <c r="D168">
        <v>4</v>
      </c>
      <c r="E168" t="str">
        <f>"411"</f>
        <v>411</v>
      </c>
      <c r="F168" t="str">
        <f>"43"</f>
        <v>43</v>
      </c>
    </row>
    <row r="169" spans="1:6">
      <c r="A169" t="str">
        <f>"E130-3"</f>
        <v>E130-3</v>
      </c>
      <c r="B169" t="str">
        <f>"VIA DEI CICLAMINI  81-"</f>
        <v>VIA DEI CICLAMINI  81-</v>
      </c>
      <c r="C169" t="str">
        <f>"QUA"</f>
        <v>QUA</v>
      </c>
      <c r="D169">
        <v>4</v>
      </c>
      <c r="E169" t="str">
        <f>"411"</f>
        <v>411</v>
      </c>
      <c r="F169" t="str">
        <f>"45"</f>
        <v>45</v>
      </c>
    </row>
    <row r="170" spans="1:6">
      <c r="A170" t="str">
        <f>"E130-4"</f>
        <v>E130-4</v>
      </c>
      <c r="B170" t="str">
        <f>"VIA DEI CICLAMINI  71-"</f>
        <v>VIA DEI CICLAMINI  71-</v>
      </c>
      <c r="C170" t="str">
        <f t="shared" ref="C170:C201" si="15">"7"</f>
        <v>7</v>
      </c>
      <c r="D170">
        <v>4</v>
      </c>
      <c r="E170" t="str">
        <f>"565"</f>
        <v>565</v>
      </c>
      <c r="F170" t="str">
        <f t="shared" ref="F170:F201" si="16">"0000"</f>
        <v>0000</v>
      </c>
    </row>
    <row r="171" spans="1:6">
      <c r="C171" t="str">
        <f t="shared" si="15"/>
        <v>7</v>
      </c>
      <c r="D171">
        <v>4</v>
      </c>
      <c r="E171" t="str">
        <f>"567"</f>
        <v>567</v>
      </c>
      <c r="F171" t="str">
        <f t="shared" si="16"/>
        <v>0000</v>
      </c>
    </row>
    <row r="172" spans="1:6">
      <c r="C172" t="str">
        <f t="shared" si="15"/>
        <v>7</v>
      </c>
      <c r="D172">
        <v>4</v>
      </c>
      <c r="E172" t="str">
        <f>"568"</f>
        <v>568</v>
      </c>
      <c r="F172" t="str">
        <f t="shared" si="16"/>
        <v>0000</v>
      </c>
    </row>
    <row r="173" spans="1:6">
      <c r="C173" t="str">
        <f t="shared" si="15"/>
        <v>7</v>
      </c>
      <c r="D173">
        <v>4</v>
      </c>
      <c r="E173" t="str">
        <f>"570"</f>
        <v>570</v>
      </c>
      <c r="F173" t="str">
        <f t="shared" si="16"/>
        <v>0000</v>
      </c>
    </row>
    <row r="174" spans="1:6">
      <c r="C174" t="str">
        <f t="shared" si="15"/>
        <v>7</v>
      </c>
      <c r="D174">
        <v>4</v>
      </c>
      <c r="E174" t="str">
        <f>"577"</f>
        <v>577</v>
      </c>
      <c r="F174" t="str">
        <f t="shared" si="16"/>
        <v>0000</v>
      </c>
    </row>
    <row r="175" spans="1:6">
      <c r="C175" t="str">
        <f t="shared" si="15"/>
        <v>7</v>
      </c>
      <c r="D175">
        <v>4</v>
      </c>
      <c r="E175" t="str">
        <f>"580"</f>
        <v>580</v>
      </c>
      <c r="F175" t="str">
        <f t="shared" si="16"/>
        <v>0000</v>
      </c>
    </row>
    <row r="176" spans="1:6">
      <c r="C176" t="str">
        <f t="shared" si="15"/>
        <v>7</v>
      </c>
      <c r="D176">
        <v>4</v>
      </c>
      <c r="E176" t="str">
        <f>"581"</f>
        <v>581</v>
      </c>
      <c r="F176" t="str">
        <f t="shared" si="16"/>
        <v>0000</v>
      </c>
    </row>
    <row r="177" spans="1:6">
      <c r="C177" t="str">
        <f t="shared" si="15"/>
        <v>7</v>
      </c>
      <c r="D177">
        <v>4</v>
      </c>
      <c r="E177" t="str">
        <f>"609"</f>
        <v>609</v>
      </c>
      <c r="F177" t="str">
        <f t="shared" si="16"/>
        <v>0000</v>
      </c>
    </row>
    <row r="178" spans="1:6">
      <c r="C178" t="str">
        <f t="shared" si="15"/>
        <v>7</v>
      </c>
      <c r="D178">
        <v>4</v>
      </c>
      <c r="E178" t="str">
        <f>"610"</f>
        <v>610</v>
      </c>
      <c r="F178" t="str">
        <f t="shared" si="16"/>
        <v>0000</v>
      </c>
    </row>
    <row r="179" spans="1:6">
      <c r="C179" t="str">
        <f t="shared" si="15"/>
        <v>7</v>
      </c>
      <c r="D179">
        <v>4</v>
      </c>
      <c r="E179" t="str">
        <f>"640"</f>
        <v>640</v>
      </c>
      <c r="F179" t="str">
        <f t="shared" si="16"/>
        <v>0000</v>
      </c>
    </row>
    <row r="180" spans="1:6">
      <c r="C180" t="str">
        <f t="shared" si="15"/>
        <v>7</v>
      </c>
      <c r="D180">
        <v>4</v>
      </c>
      <c r="E180" t="str">
        <f>"641"</f>
        <v>641</v>
      </c>
      <c r="F180" t="str">
        <f t="shared" si="16"/>
        <v>0000</v>
      </c>
    </row>
    <row r="181" spans="1:6">
      <c r="C181" t="str">
        <f t="shared" si="15"/>
        <v>7</v>
      </c>
      <c r="D181">
        <v>4</v>
      </c>
      <c r="E181" t="str">
        <f>"644"</f>
        <v>644</v>
      </c>
      <c r="F181" t="str">
        <f t="shared" si="16"/>
        <v>0000</v>
      </c>
    </row>
    <row r="182" spans="1:6">
      <c r="C182" t="str">
        <f t="shared" si="15"/>
        <v>7</v>
      </c>
      <c r="D182">
        <v>4</v>
      </c>
      <c r="E182" t="str">
        <f>"645"</f>
        <v>645</v>
      </c>
      <c r="F182" t="str">
        <f t="shared" si="16"/>
        <v>0000</v>
      </c>
    </row>
    <row r="183" spans="1:6">
      <c r="C183" t="str">
        <f t="shared" si="15"/>
        <v>7</v>
      </c>
      <c r="D183">
        <v>4</v>
      </c>
      <c r="E183" t="str">
        <f>"648"</f>
        <v>648</v>
      </c>
      <c r="F183" t="str">
        <f t="shared" si="16"/>
        <v>0000</v>
      </c>
    </row>
    <row r="184" spans="1:6">
      <c r="C184" t="str">
        <f t="shared" si="15"/>
        <v>7</v>
      </c>
      <c r="D184">
        <v>4</v>
      </c>
      <c r="E184" t="str">
        <f>"653"</f>
        <v>653</v>
      </c>
      <c r="F184" t="str">
        <f t="shared" si="16"/>
        <v>0000</v>
      </c>
    </row>
    <row r="185" spans="1:6">
      <c r="C185" t="str">
        <f t="shared" si="15"/>
        <v>7</v>
      </c>
      <c r="D185">
        <v>4</v>
      </c>
      <c r="E185" t="str">
        <f>"672"</f>
        <v>672</v>
      </c>
      <c r="F185" t="str">
        <f t="shared" si="16"/>
        <v>0000</v>
      </c>
    </row>
    <row r="186" spans="1:6">
      <c r="A186" t="str">
        <f>"E130-5"</f>
        <v>E130-5</v>
      </c>
      <c r="B186" t="str">
        <f>"VIA DEI CICLAMINI  91-"</f>
        <v>VIA DEI CICLAMINI  91-</v>
      </c>
      <c r="C186" t="str">
        <f t="shared" si="15"/>
        <v>7</v>
      </c>
      <c r="D186">
        <v>4</v>
      </c>
      <c r="E186" t="str">
        <f>"565"</f>
        <v>565</v>
      </c>
      <c r="F186" t="str">
        <f t="shared" si="16"/>
        <v>0000</v>
      </c>
    </row>
    <row r="187" spans="1:6">
      <c r="C187" t="str">
        <f t="shared" si="15"/>
        <v>7</v>
      </c>
      <c r="D187">
        <v>4</v>
      </c>
      <c r="E187" t="str">
        <f>"567"</f>
        <v>567</v>
      </c>
      <c r="F187" t="str">
        <f t="shared" si="16"/>
        <v>0000</v>
      </c>
    </row>
    <row r="188" spans="1:6">
      <c r="C188" t="str">
        <f t="shared" si="15"/>
        <v>7</v>
      </c>
      <c r="D188">
        <v>4</v>
      </c>
      <c r="E188" t="str">
        <f>"568"</f>
        <v>568</v>
      </c>
      <c r="F188" t="str">
        <f t="shared" si="16"/>
        <v>0000</v>
      </c>
    </row>
    <row r="189" spans="1:6">
      <c r="C189" t="str">
        <f t="shared" si="15"/>
        <v>7</v>
      </c>
      <c r="D189">
        <v>4</v>
      </c>
      <c r="E189" t="str">
        <f>"570"</f>
        <v>570</v>
      </c>
      <c r="F189" t="str">
        <f t="shared" si="16"/>
        <v>0000</v>
      </c>
    </row>
    <row r="190" spans="1:6">
      <c r="C190" t="str">
        <f t="shared" si="15"/>
        <v>7</v>
      </c>
      <c r="D190">
        <v>4</v>
      </c>
      <c r="E190" t="str">
        <f>"577"</f>
        <v>577</v>
      </c>
      <c r="F190" t="str">
        <f t="shared" si="16"/>
        <v>0000</v>
      </c>
    </row>
    <row r="191" spans="1:6">
      <c r="C191" t="str">
        <f t="shared" si="15"/>
        <v>7</v>
      </c>
      <c r="D191">
        <v>4</v>
      </c>
      <c r="E191" t="str">
        <f>"580"</f>
        <v>580</v>
      </c>
      <c r="F191" t="str">
        <f t="shared" si="16"/>
        <v>0000</v>
      </c>
    </row>
    <row r="192" spans="1:6">
      <c r="C192" t="str">
        <f t="shared" si="15"/>
        <v>7</v>
      </c>
      <c r="D192">
        <v>4</v>
      </c>
      <c r="E192" t="str">
        <f>"581"</f>
        <v>581</v>
      </c>
      <c r="F192" t="str">
        <f t="shared" si="16"/>
        <v>0000</v>
      </c>
    </row>
    <row r="193" spans="1:6">
      <c r="C193" t="str">
        <f t="shared" si="15"/>
        <v>7</v>
      </c>
      <c r="D193">
        <v>4</v>
      </c>
      <c r="E193" t="str">
        <f>"609"</f>
        <v>609</v>
      </c>
      <c r="F193" t="str">
        <f t="shared" si="16"/>
        <v>0000</v>
      </c>
    </row>
    <row r="194" spans="1:6">
      <c r="C194" t="str">
        <f t="shared" si="15"/>
        <v>7</v>
      </c>
      <c r="D194">
        <v>4</v>
      </c>
      <c r="E194" t="str">
        <f>"610"</f>
        <v>610</v>
      </c>
      <c r="F194" t="str">
        <f t="shared" si="16"/>
        <v>0000</v>
      </c>
    </row>
    <row r="195" spans="1:6">
      <c r="C195" t="str">
        <f t="shared" si="15"/>
        <v>7</v>
      </c>
      <c r="D195">
        <v>4</v>
      </c>
      <c r="E195" t="str">
        <f>"640"</f>
        <v>640</v>
      </c>
      <c r="F195" t="str">
        <f t="shared" si="16"/>
        <v>0000</v>
      </c>
    </row>
    <row r="196" spans="1:6">
      <c r="C196" t="str">
        <f t="shared" si="15"/>
        <v>7</v>
      </c>
      <c r="D196">
        <v>4</v>
      </c>
      <c r="E196" t="str">
        <f>"641"</f>
        <v>641</v>
      </c>
      <c r="F196" t="str">
        <f t="shared" si="16"/>
        <v>0000</v>
      </c>
    </row>
    <row r="197" spans="1:6">
      <c r="C197" t="str">
        <f t="shared" si="15"/>
        <v>7</v>
      </c>
      <c r="D197">
        <v>4</v>
      </c>
      <c r="E197" t="str">
        <f>"644"</f>
        <v>644</v>
      </c>
      <c r="F197" t="str">
        <f t="shared" si="16"/>
        <v>0000</v>
      </c>
    </row>
    <row r="198" spans="1:6">
      <c r="C198" t="str">
        <f t="shared" si="15"/>
        <v>7</v>
      </c>
      <c r="D198">
        <v>4</v>
      </c>
      <c r="E198" t="str">
        <f>"645"</f>
        <v>645</v>
      </c>
      <c r="F198" t="str">
        <f t="shared" si="16"/>
        <v>0000</v>
      </c>
    </row>
    <row r="199" spans="1:6">
      <c r="C199" t="str">
        <f t="shared" si="15"/>
        <v>7</v>
      </c>
      <c r="D199">
        <v>4</v>
      </c>
      <c r="E199" t="str">
        <f>"648"</f>
        <v>648</v>
      </c>
      <c r="F199" t="str">
        <f t="shared" si="16"/>
        <v>0000</v>
      </c>
    </row>
    <row r="200" spans="1:6">
      <c r="C200" t="str">
        <f t="shared" si="15"/>
        <v>7</v>
      </c>
      <c r="D200">
        <v>4</v>
      </c>
      <c r="E200" t="str">
        <f>"653"</f>
        <v>653</v>
      </c>
      <c r="F200" t="str">
        <f t="shared" si="16"/>
        <v>0000</v>
      </c>
    </row>
    <row r="201" spans="1:6">
      <c r="C201" t="str">
        <f t="shared" si="15"/>
        <v>7</v>
      </c>
      <c r="D201">
        <v>4</v>
      </c>
      <c r="E201" t="str">
        <f>"672"</f>
        <v>672</v>
      </c>
      <c r="F201" t="str">
        <f t="shared" si="16"/>
        <v>0000</v>
      </c>
    </row>
    <row r="202" spans="1:6">
      <c r="A202" t="str">
        <f>"E134-3"</f>
        <v>E134-3</v>
      </c>
      <c r="B202" t="str">
        <f>"VIALE TEANO  8A-"</f>
        <v>VIALE TEANO  8A-</v>
      </c>
      <c r="C202" t="str">
        <f>"QUA"</f>
        <v>QUA</v>
      </c>
      <c r="D202">
        <v>6</v>
      </c>
      <c r="E202" t="str">
        <f>"1052"</f>
        <v>1052</v>
      </c>
      <c r="F202" t="str">
        <f>"2"</f>
        <v>2</v>
      </c>
    </row>
    <row r="203" spans="1:6">
      <c r="A203" t="str">
        <f>"E135-1"</f>
        <v>E135-1</v>
      </c>
      <c r="B203" t="str">
        <f>"VIALE TEANO  14-"</f>
        <v>VIALE TEANO  14-</v>
      </c>
      <c r="C203" t="str">
        <f>"QUA"</f>
        <v>QUA</v>
      </c>
      <c r="D203">
        <v>6</v>
      </c>
      <c r="E203" t="str">
        <f>"1051"</f>
        <v>1051</v>
      </c>
      <c r="F203" t="str">
        <f>"1"</f>
        <v>1</v>
      </c>
    </row>
    <row r="204" spans="1:6">
      <c r="A204" t="str">
        <f>"E135-2"</f>
        <v>E135-2</v>
      </c>
      <c r="B204" t="str">
        <f>"VIALE TEANO  16-"</f>
        <v>VIALE TEANO  16-</v>
      </c>
      <c r="C204" t="str">
        <f>"QUA"</f>
        <v>QUA</v>
      </c>
      <c r="D204">
        <v>6</v>
      </c>
      <c r="E204" t="str">
        <f>"1051"</f>
        <v>1051</v>
      </c>
      <c r="F204" t="str">
        <f>"2"</f>
        <v>2</v>
      </c>
    </row>
    <row r="205" spans="1:6">
      <c r="A205" t="str">
        <f>"E135-3"</f>
        <v>E135-3</v>
      </c>
      <c r="B205" t="str">
        <f>"VIALE TEANO  18B-"</f>
        <v>VIALE TEANO  18B-</v>
      </c>
      <c r="C205" t="str">
        <f>"QUA"</f>
        <v>QUA</v>
      </c>
      <c r="D205">
        <v>6</v>
      </c>
      <c r="E205" t="str">
        <f>"1051"</f>
        <v>1051</v>
      </c>
      <c r="F205" t="str">
        <f>"3"</f>
        <v>3</v>
      </c>
    </row>
    <row r="206" spans="1:6">
      <c r="A206" t="str">
        <f>"E142-7"</f>
        <v>E142-7</v>
      </c>
      <c r="B206" t="str">
        <f>"VIA SAGRADO  1-"</f>
        <v>VIA SAGRADO  1-</v>
      </c>
      <c r="C206" t="str">
        <f t="shared" ref="C206:C238" si="17">"GEB"</f>
        <v>GEB</v>
      </c>
      <c r="D206">
        <v>55</v>
      </c>
      <c r="E206" t="str">
        <f>"202"</f>
        <v>202</v>
      </c>
      <c r="F206" t="str">
        <f>"41"</f>
        <v>41</v>
      </c>
    </row>
    <row r="207" spans="1:6">
      <c r="A207" t="str">
        <f>"E144-1"</f>
        <v>E144-1</v>
      </c>
      <c r="B207" t="str">
        <f>"VIA SAGRADO  5-"</f>
        <v>VIA SAGRADO  5-</v>
      </c>
      <c r="C207" t="str">
        <f t="shared" si="17"/>
        <v>GEB</v>
      </c>
      <c r="D207">
        <v>55</v>
      </c>
      <c r="E207" t="str">
        <f>"189"</f>
        <v>189</v>
      </c>
      <c r="F207" t="str">
        <f>"1"</f>
        <v>1</v>
      </c>
    </row>
    <row r="208" spans="1:6">
      <c r="A208" t="str">
        <f>"E147-1"</f>
        <v>E147-1</v>
      </c>
      <c r="B208" t="str">
        <f>"VIA SAGRADO  9-"</f>
        <v>VIA SAGRADO  9-</v>
      </c>
      <c r="C208" t="str">
        <f t="shared" si="17"/>
        <v>GEB</v>
      </c>
      <c r="D208">
        <v>55</v>
      </c>
      <c r="E208" t="str">
        <f>"183"</f>
        <v>183</v>
      </c>
      <c r="F208" t="str">
        <f>"1"</f>
        <v>1</v>
      </c>
    </row>
    <row r="209" spans="1:6">
      <c r="A209" t="str">
        <f>"E147-2"</f>
        <v>E147-2</v>
      </c>
      <c r="B209" t="str">
        <f>"VIA SAGRADO  11-"</f>
        <v>VIA SAGRADO  11-</v>
      </c>
      <c r="C209" t="str">
        <f t="shared" si="17"/>
        <v>GEB</v>
      </c>
      <c r="D209">
        <v>55</v>
      </c>
      <c r="E209" t="str">
        <f>"183"</f>
        <v>183</v>
      </c>
      <c r="F209" t="str">
        <f>"2"</f>
        <v>2</v>
      </c>
    </row>
    <row r="210" spans="1:6">
      <c r="A210" t="str">
        <f>"E147-3"</f>
        <v>E147-3</v>
      </c>
      <c r="B210" t="str">
        <f>"VIA SAGRADO  15-"</f>
        <v>VIA SAGRADO  15-</v>
      </c>
      <c r="C210" t="str">
        <f t="shared" si="17"/>
        <v>GEB</v>
      </c>
      <c r="D210">
        <v>55</v>
      </c>
      <c r="E210" t="str">
        <f>"183"</f>
        <v>183</v>
      </c>
      <c r="F210" t="str">
        <f>"3"</f>
        <v>3</v>
      </c>
    </row>
    <row r="211" spans="1:6">
      <c r="A211" t="str">
        <f>"E148-16"</f>
        <v>E148-16</v>
      </c>
      <c r="B211" t="str">
        <f>"VIA SAGRADO  17-"</f>
        <v>VIA SAGRADO  17-</v>
      </c>
      <c r="C211" t="str">
        <f t="shared" si="17"/>
        <v>GEB</v>
      </c>
      <c r="D211">
        <v>55</v>
      </c>
      <c r="E211" t="str">
        <f>"180"</f>
        <v>180</v>
      </c>
      <c r="F211" t="str">
        <f>"1"</f>
        <v>1</v>
      </c>
    </row>
    <row r="212" spans="1:6">
      <c r="A212" t="str">
        <f>"E149-2"</f>
        <v>E149-2</v>
      </c>
      <c r="B212" t="str">
        <f>"VIA SAGRADO  29-"</f>
        <v>VIA SAGRADO  29-</v>
      </c>
      <c r="C212" t="str">
        <f t="shared" si="17"/>
        <v>GEB</v>
      </c>
      <c r="D212">
        <v>55</v>
      </c>
      <c r="E212" t="str">
        <f>"172"</f>
        <v>172</v>
      </c>
      <c r="F212" t="str">
        <f>"2"</f>
        <v>2</v>
      </c>
    </row>
    <row r="213" spans="1:6">
      <c r="A213" t="str">
        <f>"E149-3"</f>
        <v>E149-3</v>
      </c>
      <c r="B213" t="str">
        <f>"VIA SAGRADO  31-"</f>
        <v>VIA SAGRADO  31-</v>
      </c>
      <c r="C213" t="str">
        <f t="shared" si="17"/>
        <v>GEB</v>
      </c>
      <c r="D213">
        <v>55</v>
      </c>
      <c r="E213" t="str">
        <f>"172"</f>
        <v>172</v>
      </c>
      <c r="F213" t="str">
        <f>"3"</f>
        <v>3</v>
      </c>
    </row>
    <row r="214" spans="1:6">
      <c r="A214" t="str">
        <f>"E149-4"</f>
        <v>E149-4</v>
      </c>
      <c r="B214" t="str">
        <f>"VIA SAGRADO  33-"</f>
        <v>VIA SAGRADO  33-</v>
      </c>
      <c r="C214" t="str">
        <f t="shared" si="17"/>
        <v>GEB</v>
      </c>
      <c r="D214">
        <v>55</v>
      </c>
      <c r="E214" t="str">
        <f>"172"</f>
        <v>172</v>
      </c>
      <c r="F214" t="str">
        <f>"4"</f>
        <v>4</v>
      </c>
    </row>
    <row r="215" spans="1:6">
      <c r="A215" t="str">
        <f>"E150-9"</f>
        <v>E150-9</v>
      </c>
      <c r="B215" t="str">
        <f>"VIA GORIZIA  27R-"</f>
        <v>VIA GORIZIA  27R-</v>
      </c>
      <c r="C215" t="str">
        <f t="shared" si="17"/>
        <v>GEB</v>
      </c>
      <c r="D215">
        <v>55</v>
      </c>
      <c r="E215" t="str">
        <f>"394"</f>
        <v>394</v>
      </c>
      <c r="F215" t="str">
        <f>"30"</f>
        <v>30</v>
      </c>
    </row>
    <row r="216" spans="1:6">
      <c r="A216" t="str">
        <f>"E150-10"</f>
        <v>E150-10</v>
      </c>
      <c r="B216" t="str">
        <f>"VIA GORIZIA  25R-"</f>
        <v>VIA GORIZIA  25R-</v>
      </c>
      <c r="C216" t="str">
        <f t="shared" si="17"/>
        <v>GEB</v>
      </c>
      <c r="D216">
        <v>55</v>
      </c>
      <c r="E216" t="str">
        <f>"394"</f>
        <v>394</v>
      </c>
      <c r="F216" t="str">
        <f>"29"</f>
        <v>29</v>
      </c>
    </row>
    <row r="217" spans="1:6">
      <c r="A217" t="str">
        <f>"E150-11"</f>
        <v>E150-11</v>
      </c>
      <c r="B217" t="str">
        <f>"VIA GORIZIA  23R-"</f>
        <v>VIA GORIZIA  23R-</v>
      </c>
      <c r="C217" t="str">
        <f t="shared" si="17"/>
        <v>GEB</v>
      </c>
      <c r="D217">
        <v>55</v>
      </c>
      <c r="E217" t="str">
        <f>"394"</f>
        <v>394</v>
      </c>
      <c r="F217" t="str">
        <f>"28"</f>
        <v>28</v>
      </c>
    </row>
    <row r="218" spans="1:6">
      <c r="A218" t="str">
        <f>"E152-11"</f>
        <v>E152-11</v>
      </c>
      <c r="B218" t="str">
        <f>"VIA GORIZIA  31AR-"</f>
        <v>VIA GORIZIA  31AR-</v>
      </c>
      <c r="C218" t="str">
        <f t="shared" si="17"/>
        <v>GEB</v>
      </c>
      <c r="D218">
        <v>55</v>
      </c>
      <c r="E218" t="str">
        <f>"395"</f>
        <v>395</v>
      </c>
      <c r="F218" t="str">
        <f>"29"</f>
        <v>29</v>
      </c>
    </row>
    <row r="219" spans="1:6">
      <c r="A219" t="str">
        <f>"E152-12"</f>
        <v>E152-12</v>
      </c>
      <c r="B219" t="str">
        <f>"VIA GORIZIA  31R-"</f>
        <v>VIA GORIZIA  31R-</v>
      </c>
      <c r="C219" t="str">
        <f t="shared" si="17"/>
        <v>GEB</v>
      </c>
      <c r="D219">
        <v>55</v>
      </c>
      <c r="E219" t="str">
        <f>"395"</f>
        <v>395</v>
      </c>
      <c r="F219" t="str">
        <f>"27"</f>
        <v>27</v>
      </c>
    </row>
    <row r="220" spans="1:6">
      <c r="A220" t="str">
        <f>"E152-13"</f>
        <v>E152-13</v>
      </c>
      <c r="B220" t="str">
        <f>"VIA GORIZIA  29R-"</f>
        <v>VIA GORIZIA  29R-</v>
      </c>
      <c r="C220" t="str">
        <f t="shared" si="17"/>
        <v>GEB</v>
      </c>
      <c r="D220">
        <v>55</v>
      </c>
      <c r="E220" t="str">
        <f>"395"</f>
        <v>395</v>
      </c>
      <c r="F220" t="str">
        <f>"28"</f>
        <v>28</v>
      </c>
    </row>
    <row r="221" spans="1:6">
      <c r="A221" t="str">
        <f>"E154-2"</f>
        <v>E154-2</v>
      </c>
      <c r="B221" t="str">
        <f>"VIA ISONZO  7-"</f>
        <v>VIA ISONZO  7-</v>
      </c>
      <c r="C221" t="str">
        <f t="shared" si="17"/>
        <v>GEB</v>
      </c>
      <c r="D221">
        <v>55</v>
      </c>
      <c r="E221" t="str">
        <f>"188"</f>
        <v>188</v>
      </c>
      <c r="F221" t="str">
        <f>"11"</f>
        <v>11</v>
      </c>
    </row>
    <row r="222" spans="1:6">
      <c r="A222" t="str">
        <f>"E163-1"</f>
        <v>E163-1</v>
      </c>
      <c r="B222" t="str">
        <f t="shared" ref="B222:B227" si="18">"VIA BRENTA  30-"</f>
        <v>VIA BRENTA  30-</v>
      </c>
      <c r="C222" t="str">
        <f t="shared" si="17"/>
        <v>GEB</v>
      </c>
      <c r="D222">
        <v>55</v>
      </c>
      <c r="E222" t="str">
        <f t="shared" ref="E222:E235" si="19">"373"</f>
        <v>373</v>
      </c>
      <c r="F222" t="str">
        <f>"6"</f>
        <v>6</v>
      </c>
    </row>
    <row r="223" spans="1:6">
      <c r="A223" t="str">
        <f>"E163-2"</f>
        <v>E163-2</v>
      </c>
      <c r="B223" t="str">
        <f t="shared" si="18"/>
        <v>VIA BRENTA  30-</v>
      </c>
      <c r="C223" t="str">
        <f t="shared" si="17"/>
        <v>GEB</v>
      </c>
      <c r="D223">
        <v>55</v>
      </c>
      <c r="E223" t="str">
        <f t="shared" si="19"/>
        <v>373</v>
      </c>
      <c r="F223" t="str">
        <f>"8"</f>
        <v>8</v>
      </c>
    </row>
    <row r="224" spans="1:6">
      <c r="A224" t="str">
        <f>"E163-3"</f>
        <v>E163-3</v>
      </c>
      <c r="B224" t="str">
        <f t="shared" si="18"/>
        <v>VIA BRENTA  30-</v>
      </c>
      <c r="C224" t="str">
        <f t="shared" si="17"/>
        <v>GEB</v>
      </c>
      <c r="D224">
        <v>55</v>
      </c>
      <c r="E224" t="str">
        <f t="shared" si="19"/>
        <v>373</v>
      </c>
      <c r="F224" t="str">
        <f>"9"</f>
        <v>9</v>
      </c>
    </row>
    <row r="225" spans="1:6">
      <c r="A225" t="str">
        <f>"E163-4"</f>
        <v>E163-4</v>
      </c>
      <c r="B225" t="str">
        <f t="shared" si="18"/>
        <v>VIA BRENTA  30-</v>
      </c>
      <c r="C225" t="str">
        <f t="shared" si="17"/>
        <v>GEB</v>
      </c>
      <c r="D225">
        <v>55</v>
      </c>
      <c r="E225" t="str">
        <f t="shared" si="19"/>
        <v>373</v>
      </c>
      <c r="F225" t="str">
        <f>"10"</f>
        <v>10</v>
      </c>
    </row>
    <row r="226" spans="1:6">
      <c r="A226" t="str">
        <f>"E163-6"</f>
        <v>E163-6</v>
      </c>
      <c r="B226" t="str">
        <f t="shared" si="18"/>
        <v>VIA BRENTA  30-</v>
      </c>
      <c r="C226" t="str">
        <f t="shared" si="17"/>
        <v>GEB</v>
      </c>
      <c r="D226">
        <v>55</v>
      </c>
      <c r="E226" t="str">
        <f t="shared" si="19"/>
        <v>373</v>
      </c>
      <c r="F226" t="str">
        <f>"15"</f>
        <v>15</v>
      </c>
    </row>
    <row r="227" spans="1:6">
      <c r="A227" t="str">
        <f>"E163-7"</f>
        <v>E163-7</v>
      </c>
      <c r="B227" t="str">
        <f t="shared" si="18"/>
        <v>VIA BRENTA  30-</v>
      </c>
      <c r="C227" t="str">
        <f t="shared" si="17"/>
        <v>GEB</v>
      </c>
      <c r="D227">
        <v>55</v>
      </c>
      <c r="E227" t="str">
        <f t="shared" si="19"/>
        <v>373</v>
      </c>
      <c r="F227" t="str">
        <f>"16"</f>
        <v>16</v>
      </c>
    </row>
    <row r="228" spans="1:6">
      <c r="A228" t="str">
        <f>"E163-8"</f>
        <v>E163-8</v>
      </c>
      <c r="B228" t="str">
        <f>"VIA BRENTA  44-"</f>
        <v>VIA BRENTA  44-</v>
      </c>
      <c r="C228" t="str">
        <f t="shared" si="17"/>
        <v>GEB</v>
      </c>
      <c r="D228">
        <v>55</v>
      </c>
      <c r="E228" t="str">
        <f t="shared" si="19"/>
        <v>373</v>
      </c>
      <c r="F228" t="str">
        <f>"21"</f>
        <v>21</v>
      </c>
    </row>
    <row r="229" spans="1:6">
      <c r="A229" t="str">
        <f>"E163-9"</f>
        <v>E163-9</v>
      </c>
      <c r="B229" t="str">
        <f>"VIA BRENTA  44-"</f>
        <v>VIA BRENTA  44-</v>
      </c>
      <c r="C229" t="str">
        <f t="shared" si="17"/>
        <v>GEB</v>
      </c>
      <c r="D229">
        <v>55</v>
      </c>
      <c r="E229" t="str">
        <f t="shared" si="19"/>
        <v>373</v>
      </c>
      <c r="F229" t="str">
        <f>"23"</f>
        <v>23</v>
      </c>
    </row>
    <row r="230" spans="1:6">
      <c r="A230" t="str">
        <f>"E163-12"</f>
        <v>E163-12</v>
      </c>
      <c r="B230" t="str">
        <f>"VIA BRENTA  44-"</f>
        <v>VIA BRENTA  44-</v>
      </c>
      <c r="C230" t="str">
        <f t="shared" si="17"/>
        <v>GEB</v>
      </c>
      <c r="D230">
        <v>55</v>
      </c>
      <c r="E230" t="str">
        <f t="shared" si="19"/>
        <v>373</v>
      </c>
      <c r="F230" t="str">
        <f>"28"</f>
        <v>28</v>
      </c>
    </row>
    <row r="231" spans="1:6">
      <c r="A231" t="str">
        <f>"E163-13"</f>
        <v>E163-13</v>
      </c>
      <c r="B231" t="str">
        <f>"VIA BRENTA  44-"</f>
        <v>VIA BRENTA  44-</v>
      </c>
      <c r="C231" t="str">
        <f t="shared" si="17"/>
        <v>GEB</v>
      </c>
      <c r="D231">
        <v>55</v>
      </c>
      <c r="E231" t="str">
        <f t="shared" si="19"/>
        <v>373</v>
      </c>
      <c r="F231" t="str">
        <f>"29"</f>
        <v>29</v>
      </c>
    </row>
    <row r="232" spans="1:6">
      <c r="A232" t="str">
        <f>"E163-15"</f>
        <v>E163-15</v>
      </c>
      <c r="B232" t="str">
        <f>"VIA BRENTA  38-"</f>
        <v>VIA BRENTA  38-</v>
      </c>
      <c r="C232" t="str">
        <f t="shared" si="17"/>
        <v>GEB</v>
      </c>
      <c r="D232">
        <v>55</v>
      </c>
      <c r="E232" t="str">
        <f t="shared" si="19"/>
        <v>373</v>
      </c>
      <c r="F232" t="str">
        <f>"36"</f>
        <v>36</v>
      </c>
    </row>
    <row r="233" spans="1:6">
      <c r="A233" t="str">
        <f>"E163-16"</f>
        <v>E163-16</v>
      </c>
      <c r="B233" t="str">
        <f>"VIA BRENTA  34-"</f>
        <v>VIA BRENTA  34-</v>
      </c>
      <c r="C233" t="str">
        <f t="shared" si="17"/>
        <v>GEB</v>
      </c>
      <c r="D233">
        <v>55</v>
      </c>
      <c r="E233" t="str">
        <f t="shared" si="19"/>
        <v>373</v>
      </c>
      <c r="F233" t="str">
        <f>"35"</f>
        <v>35</v>
      </c>
    </row>
    <row r="234" spans="1:6">
      <c r="A234" t="str">
        <f>"E163-17"</f>
        <v>E163-17</v>
      </c>
      <c r="B234" t="str">
        <f>"VIA BRENTA  24-"</f>
        <v>VIA BRENTA  24-</v>
      </c>
      <c r="C234" t="str">
        <f t="shared" si="17"/>
        <v>GEB</v>
      </c>
      <c r="D234">
        <v>55</v>
      </c>
      <c r="E234" t="str">
        <f t="shared" si="19"/>
        <v>373</v>
      </c>
      <c r="F234" t="str">
        <f>"34"</f>
        <v>34</v>
      </c>
    </row>
    <row r="235" spans="1:6">
      <c r="A235" t="str">
        <f>"E163-18"</f>
        <v>E163-18</v>
      </c>
      <c r="B235" t="str">
        <f>"VIA BRENTA  30-"</f>
        <v>VIA BRENTA  30-</v>
      </c>
      <c r="C235" t="str">
        <f t="shared" si="17"/>
        <v>GEB</v>
      </c>
      <c r="D235">
        <v>55</v>
      </c>
      <c r="E235" t="str">
        <f t="shared" si="19"/>
        <v>373</v>
      </c>
      <c r="F235" t="str">
        <f>"19"</f>
        <v>19</v>
      </c>
    </row>
    <row r="236" spans="1:6">
      <c r="A236" t="str">
        <f>"E164-2"</f>
        <v>E164-2</v>
      </c>
      <c r="B236" t="str">
        <f>"VIA ISONZO  54R-"</f>
        <v>VIA ISONZO  54R-</v>
      </c>
      <c r="C236" t="str">
        <f t="shared" si="17"/>
        <v>GEB</v>
      </c>
      <c r="D236">
        <v>55</v>
      </c>
      <c r="E236" t="str">
        <f>"375"</f>
        <v>375</v>
      </c>
      <c r="F236" t="str">
        <f>"4"</f>
        <v>4</v>
      </c>
    </row>
    <row r="237" spans="1:6">
      <c r="A237" t="str">
        <f>"E164-3"</f>
        <v>E164-3</v>
      </c>
      <c r="B237" t="str">
        <f>"VIA ISONZO  28-"</f>
        <v>VIA ISONZO  28-</v>
      </c>
      <c r="C237" t="str">
        <f t="shared" si="17"/>
        <v>GEB</v>
      </c>
      <c r="D237">
        <v>55</v>
      </c>
      <c r="E237" t="str">
        <f>"375"</f>
        <v>375</v>
      </c>
      <c r="F237" t="str">
        <f>"16"</f>
        <v>16</v>
      </c>
    </row>
    <row r="238" spans="1:6">
      <c r="A238" t="str">
        <f>"E164-4"</f>
        <v>E164-4</v>
      </c>
      <c r="B238" t="str">
        <f>"VIA ISONZO  30-"</f>
        <v>VIA ISONZO  30-</v>
      </c>
      <c r="C238" t="str">
        <f t="shared" si="17"/>
        <v>GEB</v>
      </c>
      <c r="D238">
        <v>55</v>
      </c>
      <c r="E238" t="str">
        <f>"375"</f>
        <v>375</v>
      </c>
      <c r="F238" t="str">
        <f>"25"</f>
        <v>25</v>
      </c>
    </row>
    <row r="239" spans="1:6">
      <c r="A239" t="str">
        <f>"E164-5"</f>
        <v>E164-5</v>
      </c>
      <c r="B239" t="str">
        <f>"VIA ISONZO  50R-"</f>
        <v>VIA ISONZO  50R-</v>
      </c>
      <c r="C239" t="str">
        <f>"1"</f>
        <v>1</v>
      </c>
      <c r="D239">
        <v>78</v>
      </c>
      <c r="E239" t="str">
        <f>"128"</f>
        <v>128</v>
      </c>
      <c r="F239" t="str">
        <f>"0000"</f>
        <v>0000</v>
      </c>
    </row>
    <row r="240" spans="1:6">
      <c r="A240" t="str">
        <f>"E164-6"</f>
        <v>E164-6</v>
      </c>
      <c r="B240" t="str">
        <f>"VIA ISONZO  30-"</f>
        <v>VIA ISONZO  30-</v>
      </c>
      <c r="C240" t="str">
        <f>"GEB"</f>
        <v>GEB</v>
      </c>
      <c r="D240">
        <v>55</v>
      </c>
      <c r="E240" t="str">
        <f>"375"</f>
        <v>375</v>
      </c>
      <c r="F240" t="str">
        <f>"26"</f>
        <v>26</v>
      </c>
    </row>
    <row r="241" spans="1:6">
      <c r="A241" t="str">
        <f>"E178-1"</f>
        <v>E178-1</v>
      </c>
      <c r="B241" t="str">
        <f>"VIA CANNETO SAN DESIDERIO VICINO AL 2-"</f>
        <v>VIA CANNETO SAN DESIDERIO VICINO AL 2-</v>
      </c>
      <c r="C241" t="str">
        <f>"APP"</f>
        <v>APP</v>
      </c>
      <c r="D241">
        <v>4</v>
      </c>
      <c r="E241" t="str">
        <f>"227"</f>
        <v>227</v>
      </c>
      <c r="F241" t="str">
        <f>"0000"</f>
        <v>0000</v>
      </c>
    </row>
    <row r="242" spans="1:6">
      <c r="A242" t="str">
        <f>"E211-1"</f>
        <v>E211-1</v>
      </c>
      <c r="B242" t="str">
        <f>"PIAZZA ROTONDA  2-"</f>
        <v>PIAZZA ROTONDA  2-</v>
      </c>
      <c r="C242" t="str">
        <f>"1"</f>
        <v>1</v>
      </c>
      <c r="D242">
        <v>59</v>
      </c>
      <c r="E242" t="str">
        <f>"52"</f>
        <v>52</v>
      </c>
      <c r="F242" t="str">
        <f>"0000"</f>
        <v>0000</v>
      </c>
    </row>
    <row r="243" spans="1:6">
      <c r="C243" t="str">
        <f>"1"</f>
        <v>1</v>
      </c>
      <c r="D243">
        <v>59</v>
      </c>
      <c r="E243" t="str">
        <f>"56"</f>
        <v>56</v>
      </c>
      <c r="F243" t="str">
        <f>"0000"</f>
        <v>0000</v>
      </c>
    </row>
    <row r="244" spans="1:6">
      <c r="A244" t="str">
        <f>"E212-25"</f>
        <v>E212-25</v>
      </c>
      <c r="B244" t="str">
        <f>"VIA EVANGEL TORRICELLI  1-"</f>
        <v>VIA EVANGEL TORRICELLI  1-</v>
      </c>
      <c r="C244" t="str">
        <f t="shared" ref="C244:C279" si="20">"APP"</f>
        <v>APP</v>
      </c>
      <c r="D244">
        <v>47</v>
      </c>
      <c r="E244" t="str">
        <f>"435"</f>
        <v>435</v>
      </c>
      <c r="F244" t="str">
        <f>"25"</f>
        <v>25</v>
      </c>
    </row>
    <row r="245" spans="1:6">
      <c r="A245" t="str">
        <f>"E212-54"</f>
        <v>E212-54</v>
      </c>
      <c r="B245" t="str">
        <f>"VIA EVANGEL TORRICELLI  5-"</f>
        <v>VIA EVANGEL TORRICELLI  5-</v>
      </c>
      <c r="C245" t="str">
        <f t="shared" si="20"/>
        <v>APP</v>
      </c>
      <c r="D245">
        <v>47</v>
      </c>
      <c r="E245" t="str">
        <f>"435"</f>
        <v>435</v>
      </c>
      <c r="F245" t="str">
        <f>"54"</f>
        <v>54</v>
      </c>
    </row>
    <row r="246" spans="1:6">
      <c r="A246" t="str">
        <f>"E212-72"</f>
        <v>E212-72</v>
      </c>
      <c r="B246" t="str">
        <f>"VIA EVANGEL TORRICELLI  3-"</f>
        <v>VIA EVANGEL TORRICELLI  3-</v>
      </c>
      <c r="C246" t="str">
        <f t="shared" si="20"/>
        <v>APP</v>
      </c>
      <c r="D246">
        <v>47</v>
      </c>
      <c r="E246" t="str">
        <f>"435"</f>
        <v>435</v>
      </c>
      <c r="F246" t="str">
        <f>"48"</f>
        <v>48</v>
      </c>
    </row>
    <row r="247" spans="1:6">
      <c r="A247" t="str">
        <f>"E213-3"</f>
        <v>E213-3</v>
      </c>
      <c r="B247" t="str">
        <f>"VIA EVANGEL TORRICELLI  4-"</f>
        <v>VIA EVANGEL TORRICELLI  4-</v>
      </c>
      <c r="C247" t="str">
        <f t="shared" si="20"/>
        <v>APP</v>
      </c>
      <c r="D247">
        <v>47</v>
      </c>
      <c r="E247" t="str">
        <f t="shared" ref="E247:E254" si="21">"434"</f>
        <v>434</v>
      </c>
      <c r="F247" t="str">
        <f>"3"</f>
        <v>3</v>
      </c>
    </row>
    <row r="248" spans="1:6">
      <c r="A248" t="str">
        <f>"E213-13"</f>
        <v>E213-13</v>
      </c>
      <c r="B248" t="str">
        <f>"VIA EVANGEL TORRICELLI  4-"</f>
        <v>VIA EVANGEL TORRICELLI  4-</v>
      </c>
      <c r="C248" t="str">
        <f t="shared" si="20"/>
        <v>APP</v>
      </c>
      <c r="D248">
        <v>47</v>
      </c>
      <c r="E248" t="str">
        <f t="shared" si="21"/>
        <v>434</v>
      </c>
      <c r="F248" t="str">
        <f>"13"</f>
        <v>13</v>
      </c>
    </row>
    <row r="249" spans="1:6">
      <c r="A249" t="str">
        <f>"E213-16"</f>
        <v>E213-16</v>
      </c>
      <c r="B249" t="str">
        <f>"VIA EVANGEL TORRICELLI  4-"</f>
        <v>VIA EVANGEL TORRICELLI  4-</v>
      </c>
      <c r="C249" t="str">
        <f t="shared" si="20"/>
        <v>APP</v>
      </c>
      <c r="D249">
        <v>47</v>
      </c>
      <c r="E249" t="str">
        <f t="shared" si="21"/>
        <v>434</v>
      </c>
      <c r="F249" t="str">
        <f>"16"</f>
        <v>16</v>
      </c>
    </row>
    <row r="250" spans="1:6">
      <c r="A250" t="str">
        <f>"E213-26"</f>
        <v>E213-26</v>
      </c>
      <c r="B250" t="str">
        <f>"VIA EVANGEL TORRICELLI  4-"</f>
        <v>VIA EVANGEL TORRICELLI  4-</v>
      </c>
      <c r="C250" t="str">
        <f t="shared" si="20"/>
        <v>APP</v>
      </c>
      <c r="D250">
        <v>47</v>
      </c>
      <c r="E250" t="str">
        <f t="shared" si="21"/>
        <v>434</v>
      </c>
      <c r="F250" t="str">
        <f>"26"</f>
        <v>26</v>
      </c>
    </row>
    <row r="251" spans="1:6">
      <c r="A251" t="str">
        <f>"E213-28"</f>
        <v>E213-28</v>
      </c>
      <c r="B251" t="str">
        <f>"VIA EVANGEL TORRICELLI  4-"</f>
        <v>VIA EVANGEL TORRICELLI  4-</v>
      </c>
      <c r="C251" t="str">
        <f t="shared" si="20"/>
        <v>APP</v>
      </c>
      <c r="D251">
        <v>47</v>
      </c>
      <c r="E251" t="str">
        <f t="shared" si="21"/>
        <v>434</v>
      </c>
      <c r="F251" t="str">
        <f>"28"</f>
        <v>28</v>
      </c>
    </row>
    <row r="252" spans="1:6">
      <c r="A252" t="str">
        <f>"E213-29"</f>
        <v>E213-29</v>
      </c>
      <c r="B252" t="str">
        <f>"VIA EVANGEL TORRICELLI  6-"</f>
        <v>VIA EVANGEL TORRICELLI  6-</v>
      </c>
      <c r="C252" t="str">
        <f t="shared" si="20"/>
        <v>APP</v>
      </c>
      <c r="D252">
        <v>47</v>
      </c>
      <c r="E252" t="str">
        <f t="shared" si="21"/>
        <v>434</v>
      </c>
      <c r="F252" t="str">
        <f>"29"</f>
        <v>29</v>
      </c>
    </row>
    <row r="253" spans="1:6">
      <c r="A253" t="str">
        <f>"E213-37"</f>
        <v>E213-37</v>
      </c>
      <c r="B253" t="str">
        <f>"VIA EVANGEL TORRICELLI  6-"</f>
        <v>VIA EVANGEL TORRICELLI  6-</v>
      </c>
      <c r="C253" t="str">
        <f t="shared" si="20"/>
        <v>APP</v>
      </c>
      <c r="D253">
        <v>47</v>
      </c>
      <c r="E253" t="str">
        <f t="shared" si="21"/>
        <v>434</v>
      </c>
      <c r="F253" t="str">
        <f>"37"</f>
        <v>37</v>
      </c>
    </row>
    <row r="254" spans="1:6">
      <c r="A254" t="str">
        <f>"E213-38"</f>
        <v>E213-38</v>
      </c>
      <c r="B254" t="str">
        <f>"VIA EVANGEL TORRICELLI  6-"</f>
        <v>VIA EVANGEL TORRICELLI  6-</v>
      </c>
      <c r="C254" t="str">
        <f t="shared" si="20"/>
        <v>APP</v>
      </c>
      <c r="D254">
        <v>47</v>
      </c>
      <c r="E254" t="str">
        <f t="shared" si="21"/>
        <v>434</v>
      </c>
      <c r="F254" t="str">
        <f>"38"</f>
        <v>38</v>
      </c>
    </row>
    <row r="255" spans="1:6">
      <c r="A255" t="str">
        <f>"E214-23"</f>
        <v>E214-23</v>
      </c>
      <c r="B255" t="str">
        <f>"VIA EVANGEL TORRICELLI  7-"</f>
        <v>VIA EVANGEL TORRICELLI  7-</v>
      </c>
      <c r="C255" t="str">
        <f t="shared" si="20"/>
        <v>APP</v>
      </c>
      <c r="D255">
        <v>47</v>
      </c>
      <c r="E255" t="str">
        <f t="shared" ref="E255:E264" si="22">"436"</f>
        <v>436</v>
      </c>
      <c r="F255" t="str">
        <f>"23"</f>
        <v>23</v>
      </c>
    </row>
    <row r="256" spans="1:6">
      <c r="A256" t="str">
        <f>"E214-25"</f>
        <v>E214-25</v>
      </c>
      <c r="B256" t="str">
        <f>"VIA EVANGEL TORRICELLI  7-"</f>
        <v>VIA EVANGEL TORRICELLI  7-</v>
      </c>
      <c r="C256" t="str">
        <f t="shared" si="20"/>
        <v>APP</v>
      </c>
      <c r="D256">
        <v>47</v>
      </c>
      <c r="E256" t="str">
        <f t="shared" si="22"/>
        <v>436</v>
      </c>
      <c r="F256" t="str">
        <f>"25"</f>
        <v>25</v>
      </c>
    </row>
    <row r="257" spans="1:6">
      <c r="A257" t="str">
        <f>"E214-28"</f>
        <v>E214-28</v>
      </c>
      <c r="B257" t="str">
        <f>"VIA EVANGEL TORRICELLI  7-"</f>
        <v>VIA EVANGEL TORRICELLI  7-</v>
      </c>
      <c r="C257" t="str">
        <f t="shared" si="20"/>
        <v>APP</v>
      </c>
      <c r="D257">
        <v>47</v>
      </c>
      <c r="E257" t="str">
        <f t="shared" si="22"/>
        <v>436</v>
      </c>
      <c r="F257" t="str">
        <f>"28"</f>
        <v>28</v>
      </c>
    </row>
    <row r="258" spans="1:6">
      <c r="A258" t="str">
        <f>"E214-37"</f>
        <v>E214-37</v>
      </c>
      <c r="B258" t="str">
        <f t="shared" ref="B258:B264" si="23">"VIA EVANGEL TORRICELLI  9-"</f>
        <v>VIA EVANGEL TORRICELLI  9-</v>
      </c>
      <c r="C258" t="str">
        <f t="shared" si="20"/>
        <v>APP</v>
      </c>
      <c r="D258">
        <v>47</v>
      </c>
      <c r="E258" t="str">
        <f t="shared" si="22"/>
        <v>436</v>
      </c>
      <c r="F258" t="str">
        <f>"37"</f>
        <v>37</v>
      </c>
    </row>
    <row r="259" spans="1:6">
      <c r="A259" t="str">
        <f>"E214-38"</f>
        <v>E214-38</v>
      </c>
      <c r="B259" t="str">
        <f t="shared" si="23"/>
        <v>VIA EVANGEL TORRICELLI  9-</v>
      </c>
      <c r="C259" t="str">
        <f t="shared" si="20"/>
        <v>APP</v>
      </c>
      <c r="D259">
        <v>47</v>
      </c>
      <c r="E259" t="str">
        <f t="shared" si="22"/>
        <v>436</v>
      </c>
      <c r="F259" t="str">
        <f>"38"</f>
        <v>38</v>
      </c>
    </row>
    <row r="260" spans="1:6">
      <c r="A260" t="str">
        <f>"E214-44"</f>
        <v>E214-44</v>
      </c>
      <c r="B260" t="str">
        <f t="shared" si="23"/>
        <v>VIA EVANGEL TORRICELLI  9-</v>
      </c>
      <c r="C260" t="str">
        <f t="shared" si="20"/>
        <v>APP</v>
      </c>
      <c r="D260">
        <v>47</v>
      </c>
      <c r="E260" t="str">
        <f t="shared" si="22"/>
        <v>436</v>
      </c>
      <c r="F260" t="str">
        <f>"44"</f>
        <v>44</v>
      </c>
    </row>
    <row r="261" spans="1:6">
      <c r="A261" t="str">
        <f>"E214-45"</f>
        <v>E214-45</v>
      </c>
      <c r="B261" t="str">
        <f t="shared" si="23"/>
        <v>VIA EVANGEL TORRICELLI  9-</v>
      </c>
      <c r="C261" t="str">
        <f t="shared" si="20"/>
        <v>APP</v>
      </c>
      <c r="D261">
        <v>47</v>
      </c>
      <c r="E261" t="str">
        <f t="shared" si="22"/>
        <v>436</v>
      </c>
      <c r="F261" t="str">
        <f>"45"</f>
        <v>45</v>
      </c>
    </row>
    <row r="262" spans="1:6">
      <c r="A262" t="str">
        <f>"E214-47"</f>
        <v>E214-47</v>
      </c>
      <c r="B262" t="str">
        <f t="shared" si="23"/>
        <v>VIA EVANGEL TORRICELLI  9-</v>
      </c>
      <c r="C262" t="str">
        <f t="shared" si="20"/>
        <v>APP</v>
      </c>
      <c r="D262">
        <v>47</v>
      </c>
      <c r="E262" t="str">
        <f t="shared" si="22"/>
        <v>436</v>
      </c>
      <c r="F262" t="str">
        <f>"47"</f>
        <v>47</v>
      </c>
    </row>
    <row r="263" spans="1:6">
      <c r="A263" t="str">
        <f>"E214-51"</f>
        <v>E214-51</v>
      </c>
      <c r="B263" t="str">
        <f t="shared" si="23"/>
        <v>VIA EVANGEL TORRICELLI  9-</v>
      </c>
      <c r="C263" t="str">
        <f t="shared" si="20"/>
        <v>APP</v>
      </c>
      <c r="D263">
        <v>47</v>
      </c>
      <c r="E263" t="str">
        <f t="shared" si="22"/>
        <v>436</v>
      </c>
      <c r="F263" t="str">
        <f>"51"</f>
        <v>51</v>
      </c>
    </row>
    <row r="264" spans="1:6">
      <c r="A264" t="str">
        <f>"E214-55"</f>
        <v>E214-55</v>
      </c>
      <c r="B264" t="str">
        <f t="shared" si="23"/>
        <v>VIA EVANGEL TORRICELLI  9-</v>
      </c>
      <c r="C264" t="str">
        <f t="shared" si="20"/>
        <v>APP</v>
      </c>
      <c r="D264">
        <v>47</v>
      </c>
      <c r="E264" t="str">
        <f t="shared" si="22"/>
        <v>436</v>
      </c>
      <c r="F264" t="str">
        <f>"55"</f>
        <v>55</v>
      </c>
    </row>
    <row r="265" spans="1:6">
      <c r="A265" t="str">
        <f>"E215-26"</f>
        <v>E215-26</v>
      </c>
      <c r="B265" t="str">
        <f>"VIA EVANGEL TORRICELLI  8-"</f>
        <v>VIA EVANGEL TORRICELLI  8-</v>
      </c>
      <c r="C265" t="str">
        <f t="shared" si="20"/>
        <v>APP</v>
      </c>
      <c r="D265">
        <v>47</v>
      </c>
      <c r="E265" t="str">
        <f>"437"</f>
        <v>437</v>
      </c>
      <c r="F265" t="str">
        <f>"26"</f>
        <v>26</v>
      </c>
    </row>
    <row r="266" spans="1:6">
      <c r="A266" t="str">
        <f>"E215-28"</f>
        <v>E215-28</v>
      </c>
      <c r="B266" t="str">
        <f>"VIA EVANGEL TORRICELLI  8-"</f>
        <v>VIA EVANGEL TORRICELLI  8-</v>
      </c>
      <c r="C266" t="str">
        <f t="shared" si="20"/>
        <v>APP</v>
      </c>
      <c r="D266">
        <v>47</v>
      </c>
      <c r="E266" t="str">
        <f>"437"</f>
        <v>437</v>
      </c>
      <c r="F266" t="str">
        <f>"28"</f>
        <v>28</v>
      </c>
    </row>
    <row r="267" spans="1:6">
      <c r="A267" t="str">
        <f>"E215-34"</f>
        <v>E215-34</v>
      </c>
      <c r="B267" t="str">
        <f>"VIA EVANGEL TORRICELLI  10-"</f>
        <v>VIA EVANGEL TORRICELLI  10-</v>
      </c>
      <c r="C267" t="str">
        <f t="shared" si="20"/>
        <v>APP</v>
      </c>
      <c r="D267">
        <v>47</v>
      </c>
      <c r="E267" t="str">
        <f>"437"</f>
        <v>437</v>
      </c>
      <c r="F267" t="str">
        <f>"34"</f>
        <v>34</v>
      </c>
    </row>
    <row r="268" spans="1:6">
      <c r="A268" t="str">
        <f>"E215-41"</f>
        <v>E215-41</v>
      </c>
      <c r="B268" t="str">
        <f>"VIA EVANGEL TORRICELLI  10-"</f>
        <v>VIA EVANGEL TORRICELLI  10-</v>
      </c>
      <c r="C268" t="str">
        <f t="shared" si="20"/>
        <v>APP</v>
      </c>
      <c r="D268">
        <v>47</v>
      </c>
      <c r="E268" t="str">
        <f>"437"</f>
        <v>437</v>
      </c>
      <c r="F268" t="str">
        <f>"41"</f>
        <v>41</v>
      </c>
    </row>
    <row r="269" spans="1:6">
      <c r="A269" t="str">
        <f>"E216-29"</f>
        <v>E216-29</v>
      </c>
      <c r="B269" t="str">
        <f>"VIA EVANGEL TORRICELLI  13-"</f>
        <v>VIA EVANGEL TORRICELLI  13-</v>
      </c>
      <c r="C269" t="str">
        <f t="shared" si="20"/>
        <v>APP</v>
      </c>
      <c r="D269">
        <v>47</v>
      </c>
      <c r="E269" t="str">
        <f>"438"</f>
        <v>438</v>
      </c>
      <c r="F269" t="str">
        <f>"29"</f>
        <v>29</v>
      </c>
    </row>
    <row r="270" spans="1:6">
      <c r="A270" t="str">
        <f>"E217-13"</f>
        <v>E217-13</v>
      </c>
      <c r="B270" t="str">
        <f>"VIA EVANGEL TORRICELLI  12-"</f>
        <v>VIA EVANGEL TORRICELLI  12-</v>
      </c>
      <c r="C270" t="str">
        <f t="shared" si="20"/>
        <v>APP</v>
      </c>
      <c r="D270">
        <v>47</v>
      </c>
      <c r="E270" t="str">
        <f t="shared" ref="E270:E275" si="24">"439"</f>
        <v>439</v>
      </c>
      <c r="F270" t="str">
        <f>"13"</f>
        <v>13</v>
      </c>
    </row>
    <row r="271" spans="1:6">
      <c r="A271" t="str">
        <f>"E217-16"</f>
        <v>E217-16</v>
      </c>
      <c r="B271" t="str">
        <f>"VIA EVANGEL TORRICELLI  12-"</f>
        <v>VIA EVANGEL TORRICELLI  12-</v>
      </c>
      <c r="C271" t="str">
        <f t="shared" si="20"/>
        <v>APP</v>
      </c>
      <c r="D271">
        <v>47</v>
      </c>
      <c r="E271" t="str">
        <f t="shared" si="24"/>
        <v>439</v>
      </c>
      <c r="F271" t="str">
        <f>"16"</f>
        <v>16</v>
      </c>
    </row>
    <row r="272" spans="1:6">
      <c r="A272" t="str">
        <f>"E217-28"</f>
        <v>E217-28</v>
      </c>
      <c r="B272" t="str">
        <f>"VIA EVANGEL TORRICELLI  12-"</f>
        <v>VIA EVANGEL TORRICELLI  12-</v>
      </c>
      <c r="C272" t="str">
        <f t="shared" si="20"/>
        <v>APP</v>
      </c>
      <c r="D272">
        <v>47</v>
      </c>
      <c r="E272" t="str">
        <f t="shared" si="24"/>
        <v>439</v>
      </c>
      <c r="F272" t="str">
        <f>"28"</f>
        <v>28</v>
      </c>
    </row>
    <row r="273" spans="1:6">
      <c r="A273" t="str">
        <f>"E217-44"</f>
        <v>E217-44</v>
      </c>
      <c r="B273" t="str">
        <f>"VIA EVANGEL TORRICELLI  14-"</f>
        <v>VIA EVANGEL TORRICELLI  14-</v>
      </c>
      <c r="C273" t="str">
        <f t="shared" si="20"/>
        <v>APP</v>
      </c>
      <c r="D273">
        <v>47</v>
      </c>
      <c r="E273" t="str">
        <f t="shared" si="24"/>
        <v>439</v>
      </c>
      <c r="F273" t="str">
        <f>"44"</f>
        <v>44</v>
      </c>
    </row>
    <row r="274" spans="1:6">
      <c r="A274" t="str">
        <f>"E217-51"</f>
        <v>E217-51</v>
      </c>
      <c r="B274" t="str">
        <f>"VIA EVANGEL TORRICELLI  14-"</f>
        <v>VIA EVANGEL TORRICELLI  14-</v>
      </c>
      <c r="C274" t="str">
        <f t="shared" si="20"/>
        <v>APP</v>
      </c>
      <c r="D274">
        <v>47</v>
      </c>
      <c r="E274" t="str">
        <f t="shared" si="24"/>
        <v>439</v>
      </c>
      <c r="F274" t="str">
        <f>"51"</f>
        <v>51</v>
      </c>
    </row>
    <row r="275" spans="1:6">
      <c r="A275" t="str">
        <f>"E217-53"</f>
        <v>E217-53</v>
      </c>
      <c r="B275" t="str">
        <f>"VIA EVANGEL TORRICELLI  14-"</f>
        <v>VIA EVANGEL TORRICELLI  14-</v>
      </c>
      <c r="C275" t="str">
        <f t="shared" si="20"/>
        <v>APP</v>
      </c>
      <c r="D275">
        <v>47</v>
      </c>
      <c r="E275" t="str">
        <f t="shared" si="24"/>
        <v>439</v>
      </c>
      <c r="F275" t="str">
        <f>"53"</f>
        <v>53</v>
      </c>
    </row>
    <row r="276" spans="1:6">
      <c r="A276" t="str">
        <f>"E218-22"</f>
        <v>E218-22</v>
      </c>
      <c r="B276" t="str">
        <f>"VIA EVANGEL TORRICELLI  16-"</f>
        <v>VIA EVANGEL TORRICELLI  16-</v>
      </c>
      <c r="C276" t="str">
        <f t="shared" si="20"/>
        <v>APP</v>
      </c>
      <c r="D276">
        <v>47</v>
      </c>
      <c r="E276" t="str">
        <f>"440"</f>
        <v>440</v>
      </c>
      <c r="F276" t="str">
        <f>"22"</f>
        <v>22</v>
      </c>
    </row>
    <row r="277" spans="1:6">
      <c r="A277" t="str">
        <f>"E218-26"</f>
        <v>E218-26</v>
      </c>
      <c r="B277" t="str">
        <f>"VIA EVANGEL TORRICELLI  16-"</f>
        <v>VIA EVANGEL TORRICELLI  16-</v>
      </c>
      <c r="C277" t="str">
        <f t="shared" si="20"/>
        <v>APP</v>
      </c>
      <c r="D277">
        <v>47</v>
      </c>
      <c r="E277" t="str">
        <f>"440"</f>
        <v>440</v>
      </c>
      <c r="F277" t="str">
        <f>"26"</f>
        <v>26</v>
      </c>
    </row>
    <row r="278" spans="1:6">
      <c r="A278" t="str">
        <f>"E218-48"</f>
        <v>E218-48</v>
      </c>
      <c r="B278" t="str">
        <f>"VIA EVANGEL TORRICELLI  18-"</f>
        <v>VIA EVANGEL TORRICELLI  18-</v>
      </c>
      <c r="C278" t="str">
        <f t="shared" si="20"/>
        <v>APP</v>
      </c>
      <c r="D278">
        <v>47</v>
      </c>
      <c r="E278" t="str">
        <f>"440"</f>
        <v>440</v>
      </c>
      <c r="F278" t="str">
        <f>"48"</f>
        <v>48</v>
      </c>
    </row>
    <row r="279" spans="1:6">
      <c r="A279" t="str">
        <f>"E218-57"</f>
        <v>E218-57</v>
      </c>
      <c r="B279" t="str">
        <f>"VIA EVANGEL TORRICELLI  16-"</f>
        <v>VIA EVANGEL TORRICELLI  16-</v>
      </c>
      <c r="C279" t="str">
        <f t="shared" si="20"/>
        <v>APP</v>
      </c>
      <c r="D279">
        <v>47</v>
      </c>
      <c r="E279" t="str">
        <f>"440"</f>
        <v>440</v>
      </c>
      <c r="F279" t="str">
        <f>"57"</f>
        <v>57</v>
      </c>
    </row>
    <row r="280" spans="1:6">
      <c r="A280" t="str">
        <f>"E220-1"</f>
        <v>E220-1</v>
      </c>
      <c r="B280" t="str">
        <f>"PIAZZA DON ATTILIO CANEPA  6R-"</f>
        <v>PIAZZA DON ATTILIO CANEPA  6R-</v>
      </c>
      <c r="C280" t="str">
        <f>"6"</f>
        <v>6</v>
      </c>
      <c r="D280">
        <v>16</v>
      </c>
      <c r="E280" t="str">
        <f>"375"</f>
        <v>375</v>
      </c>
      <c r="F280" t="str">
        <f>"0000"</f>
        <v>0000</v>
      </c>
    </row>
    <row r="281" spans="1:6">
      <c r="A281" t="str">
        <f>"E221-2"</f>
        <v>E221-2</v>
      </c>
      <c r="B281" t="str">
        <f>"VIA CADIGHIARA VICINO AL 56-"</f>
        <v>VIA CADIGHIARA VICINO AL 56-</v>
      </c>
      <c r="C281" t="str">
        <f>"GED"</f>
        <v>GED</v>
      </c>
      <c r="D281">
        <v>39</v>
      </c>
      <c r="E281" t="str">
        <f>"731"</f>
        <v>731</v>
      </c>
      <c r="F281" t="str">
        <f>"2"</f>
        <v>2</v>
      </c>
    </row>
    <row r="282" spans="1:6">
      <c r="A282" t="str">
        <f>"E237-1"</f>
        <v>E237-1</v>
      </c>
      <c r="B282" t="str">
        <f>"VIA CAPOLUNGO  9-"</f>
        <v>VIA CAPOLUNGO  9-</v>
      </c>
      <c r="C282" t="str">
        <f>"9"</f>
        <v>9</v>
      </c>
      <c r="D282">
        <v>11</v>
      </c>
      <c r="E282" t="str">
        <f>"205"</f>
        <v>205</v>
      </c>
      <c r="F282" t="str">
        <f t="shared" ref="F282:F291" si="25">"0000"</f>
        <v>0000</v>
      </c>
    </row>
    <row r="283" spans="1:6">
      <c r="A283" t="str">
        <f>"E239-1"</f>
        <v>E239-1</v>
      </c>
      <c r="B283" t="str">
        <f>"VIA CAPOLUNGO  9-"</f>
        <v>VIA CAPOLUNGO  9-</v>
      </c>
      <c r="C283" t="str">
        <f>"9"</f>
        <v>9</v>
      </c>
      <c r="D283">
        <v>11</v>
      </c>
      <c r="E283" t="str">
        <f>"221"</f>
        <v>221</v>
      </c>
      <c r="F283" t="str">
        <f t="shared" si="25"/>
        <v>0000</v>
      </c>
    </row>
    <row r="284" spans="1:6">
      <c r="A284" t="str">
        <f>"E240-1"</f>
        <v>E240-1</v>
      </c>
      <c r="B284" t="str">
        <f>"VIA CAPOLUNGO  9-"</f>
        <v>VIA CAPOLUNGO  9-</v>
      </c>
      <c r="C284" t="str">
        <f>"9"</f>
        <v>9</v>
      </c>
      <c r="D284">
        <v>11</v>
      </c>
      <c r="E284" t="str">
        <f>"342"</f>
        <v>342</v>
      </c>
      <c r="F284" t="str">
        <f t="shared" si="25"/>
        <v>0000</v>
      </c>
    </row>
    <row r="285" spans="1:6">
      <c r="A285" t="str">
        <f>"E241-1"</f>
        <v>E241-1</v>
      </c>
      <c r="B285" t="str">
        <f>"VIA CAPOLUNGO  9-"</f>
        <v>VIA CAPOLUNGO  9-</v>
      </c>
      <c r="C285" t="str">
        <f>"9"</f>
        <v>9</v>
      </c>
      <c r="D285">
        <v>11</v>
      </c>
      <c r="E285" t="str">
        <f>"343"</f>
        <v>343</v>
      </c>
      <c r="F285" t="str">
        <f t="shared" si="25"/>
        <v>0000</v>
      </c>
    </row>
    <row r="286" spans="1:6">
      <c r="A286" t="str">
        <f>"E244-1"</f>
        <v>E244-1</v>
      </c>
      <c r="B286" t="str">
        <f>"VIA STALLO DI BAVARI VICINO AL 16-"</f>
        <v>VIA STALLO DI BAVARI VICINO AL 16-</v>
      </c>
      <c r="C286" t="str">
        <f>"5"</f>
        <v>5</v>
      </c>
      <c r="D286">
        <v>47</v>
      </c>
      <c r="E286" t="str">
        <f>"99999"</f>
        <v>99999</v>
      </c>
      <c r="F286" t="str">
        <f t="shared" si="25"/>
        <v>0000</v>
      </c>
    </row>
    <row r="287" spans="1:6">
      <c r="A287" t="str">
        <f>"E245-1"</f>
        <v>E245-1</v>
      </c>
      <c r="B287" t="str">
        <f>"SAL POGGIO DI APPARIZIONE VICINO AL 47-"</f>
        <v>SAL POGGIO DI APPARIZIONE VICINO AL 47-</v>
      </c>
      <c r="C287" t="str">
        <f>"APP"</f>
        <v>APP</v>
      </c>
      <c r="D287">
        <v>14</v>
      </c>
      <c r="E287" t="str">
        <f>"570"</f>
        <v>570</v>
      </c>
      <c r="F287" t="str">
        <f t="shared" si="25"/>
        <v>0000</v>
      </c>
    </row>
    <row r="288" spans="1:6">
      <c r="A288" t="str">
        <f>"E246-1"</f>
        <v>E246-1</v>
      </c>
      <c r="B288" t="str">
        <f>"VIA BURATELLA VICINO AL 77-"</f>
        <v>VIA BURATELLA VICINO AL 77-</v>
      </c>
      <c r="C288" t="str">
        <f>"APP"</f>
        <v>APP</v>
      </c>
      <c r="D288">
        <v>15</v>
      </c>
      <c r="E288" t="str">
        <f>"604"</f>
        <v>604</v>
      </c>
      <c r="F288" t="str">
        <f t="shared" si="25"/>
        <v>0000</v>
      </c>
    </row>
    <row r="289" spans="1:6">
      <c r="A289" t="str">
        <f>"E247-1"</f>
        <v>E247-1</v>
      </c>
      <c r="B289" t="str">
        <f>"VIA ANGELO OLIVIERI VICINO AL 68-"</f>
        <v>VIA ANGELO OLIVIERI VICINO AL 68-</v>
      </c>
      <c r="C289" t="str">
        <f>"APP"</f>
        <v>APP</v>
      </c>
      <c r="D289">
        <v>15</v>
      </c>
      <c r="E289" t="str">
        <f>"509"</f>
        <v>509</v>
      </c>
      <c r="F289" t="str">
        <f t="shared" si="25"/>
        <v>0000</v>
      </c>
    </row>
    <row r="290" spans="1:6">
      <c r="A290" t="str">
        <f>"E249-1"</f>
        <v>E249-1</v>
      </c>
      <c r="B290" t="str">
        <f>"VIA ETTORE BISAGNO  70-"</f>
        <v>VIA ETTORE BISAGNO  70-</v>
      </c>
      <c r="C290" t="str">
        <f>"APP"</f>
        <v>APP</v>
      </c>
      <c r="D290">
        <v>3</v>
      </c>
      <c r="E290" t="str">
        <f>"164"</f>
        <v>164</v>
      </c>
      <c r="F290" t="str">
        <f t="shared" si="25"/>
        <v>0000</v>
      </c>
    </row>
    <row r="291" spans="1:6">
      <c r="A291" t="str">
        <f>"E250-1"</f>
        <v>E250-1</v>
      </c>
      <c r="B291" t="str">
        <f>"VIA APPARIZIONE  16-"</f>
        <v>VIA APPARIZIONE  16-</v>
      </c>
      <c r="C291" t="str">
        <f>"GED"</f>
        <v>GED</v>
      </c>
      <c r="D291">
        <v>48</v>
      </c>
      <c r="E291" t="str">
        <f>"1229"</f>
        <v>1229</v>
      </c>
      <c r="F291" t="str">
        <f t="shared" si="25"/>
        <v>0000</v>
      </c>
    </row>
    <row r="292" spans="1:6">
      <c r="A292" t="str">
        <f>"E251-1"</f>
        <v>E251-1</v>
      </c>
      <c r="B292" t="str">
        <f>"VIA ANGELO OLIVIERI  71-"</f>
        <v>VIA ANGELO OLIVIERI  71-</v>
      </c>
      <c r="C292" t="str">
        <f>"APP"</f>
        <v>APP</v>
      </c>
      <c r="D292">
        <v>15</v>
      </c>
      <c r="E292" t="str">
        <f>"210"</f>
        <v>210</v>
      </c>
      <c r="F292" t="str">
        <f>"1"</f>
        <v>1</v>
      </c>
    </row>
    <row r="293" spans="1:6">
      <c r="A293" t="str">
        <f>"E251-2"</f>
        <v>E251-2</v>
      </c>
      <c r="B293" t="str">
        <f>"VIA ANGELO OLIVIERI  71-"</f>
        <v>VIA ANGELO OLIVIERI  71-</v>
      </c>
      <c r="C293" t="str">
        <f>"APP"</f>
        <v>APP</v>
      </c>
      <c r="D293">
        <v>15</v>
      </c>
      <c r="E293" t="str">
        <f>"210"</f>
        <v>210</v>
      </c>
      <c r="F293" t="str">
        <f>"2"</f>
        <v>2</v>
      </c>
    </row>
    <row r="294" spans="1:6">
      <c r="A294" t="str">
        <f>"E251-3"</f>
        <v>E251-3</v>
      </c>
      <c r="B294" t="str">
        <f>"VIA ANGELO OLIVIERI  71-"</f>
        <v>VIA ANGELO OLIVIERI  71-</v>
      </c>
      <c r="C294" t="str">
        <f>"APP"</f>
        <v>APP</v>
      </c>
      <c r="D294">
        <v>15</v>
      </c>
      <c r="E294" t="str">
        <f>"210"</f>
        <v>210</v>
      </c>
      <c r="F294" t="str">
        <f>"3"</f>
        <v>3</v>
      </c>
    </row>
    <row r="295" spans="1:6">
      <c r="A295" t="str">
        <f>"E253-41"</f>
        <v>E253-41</v>
      </c>
      <c r="B295" t="str">
        <f>"VIA NICOLO COPERNICO  1-"</f>
        <v>VIA NICOLO COPERNICO  1-</v>
      </c>
      <c r="C295" t="str">
        <f>"GED"</f>
        <v>GED</v>
      </c>
      <c r="D295">
        <v>48</v>
      </c>
      <c r="E295" t="str">
        <f>"636"</f>
        <v>636</v>
      </c>
      <c r="F295" t="str">
        <f>"41"</f>
        <v>41</v>
      </c>
    </row>
    <row r="296" spans="1:6">
      <c r="A296" t="str">
        <f>"E256-1"</f>
        <v>E256-1</v>
      </c>
      <c r="B296" t="str">
        <f>"VIA NICOLO COPERNICO  17R-"</f>
        <v>VIA NICOLO COPERNICO  17R-</v>
      </c>
      <c r="C296" t="str">
        <f>"GED"</f>
        <v>GED</v>
      </c>
      <c r="D296">
        <v>48</v>
      </c>
      <c r="E296" t="str">
        <f>"639"</f>
        <v>639</v>
      </c>
      <c r="F296" t="str">
        <f>"23"</f>
        <v>23</v>
      </c>
    </row>
    <row r="297" spans="1:6">
      <c r="A297" t="str">
        <f>"E259-1"</f>
        <v>E259-1</v>
      </c>
      <c r="B297" t="str">
        <f>"VIA NICOLO COPERNICO  2R-"</f>
        <v>VIA NICOLO COPERNICO  2R-</v>
      </c>
      <c r="C297" t="str">
        <f>"GED"</f>
        <v>GED</v>
      </c>
      <c r="D297">
        <v>48</v>
      </c>
      <c r="E297" t="str">
        <f>"635"</f>
        <v>635</v>
      </c>
      <c r="F297" t="str">
        <f>"1"</f>
        <v>1</v>
      </c>
    </row>
    <row r="298" spans="1:6">
      <c r="A298" t="str">
        <f>"E259-2"</f>
        <v>E259-2</v>
      </c>
      <c r="B298" t="str">
        <f>"VIA NICOLO COPERNICO  4R-"</f>
        <v>VIA NICOLO COPERNICO  4R-</v>
      </c>
      <c r="C298" t="str">
        <f>"GED"</f>
        <v>GED</v>
      </c>
      <c r="D298">
        <v>48</v>
      </c>
      <c r="E298" t="str">
        <f>"635"</f>
        <v>635</v>
      </c>
      <c r="F298" t="str">
        <f>"2"</f>
        <v>2</v>
      </c>
    </row>
    <row r="299" spans="1:6">
      <c r="A299" t="str">
        <f>"E265-2"</f>
        <v>E265-2</v>
      </c>
      <c r="B299" t="str">
        <f>"VIA NICOLO COPERNICO VICINO AL 2-"</f>
        <v>VIA NICOLO COPERNICO VICINO AL 2-</v>
      </c>
      <c r="C299" t="str">
        <f>"1"</f>
        <v>1</v>
      </c>
      <c r="D299">
        <v>57</v>
      </c>
      <c r="E299" t="str">
        <f>"517"</f>
        <v>517</v>
      </c>
      <c r="F299" t="str">
        <f>"0000"</f>
        <v>0000</v>
      </c>
    </row>
    <row r="300" spans="1:6">
      <c r="A300" t="str">
        <f>"E266-4"</f>
        <v>E266-4</v>
      </c>
      <c r="B300" t="str">
        <f>"VIA POSALUNGA  12-"</f>
        <v>VIA POSALUNGA  12-</v>
      </c>
      <c r="C300" t="str">
        <f>"GED"</f>
        <v>GED</v>
      </c>
      <c r="D300">
        <v>48</v>
      </c>
      <c r="E300" t="str">
        <f>"265"</f>
        <v>265</v>
      </c>
      <c r="F300" t="str">
        <f>"4"</f>
        <v>4</v>
      </c>
    </row>
    <row r="301" spans="1:6">
      <c r="A301" t="str">
        <f>"E267-1"</f>
        <v>E267-1</v>
      </c>
      <c r="B301" t="str">
        <f>"VIA NASCHE  45A-"</f>
        <v>VIA NASCHE  45A-</v>
      </c>
      <c r="C301" t="str">
        <f>"APP"</f>
        <v>APP</v>
      </c>
      <c r="D301">
        <v>2</v>
      </c>
      <c r="E301" t="str">
        <f>"497"</f>
        <v>497</v>
      </c>
      <c r="F301" t="str">
        <f>"0000"</f>
        <v>0000</v>
      </c>
    </row>
    <row r="302" spans="1:6">
      <c r="A302" t="str">
        <f>"E270-1"</f>
        <v>E270-1</v>
      </c>
      <c r="B302" t="str">
        <f t="shared" ref="B302:B307" si="26">"VIA CASALE  11B-"</f>
        <v>VIA CASALE  11B-</v>
      </c>
      <c r="C302" t="str">
        <f>"BAV"</f>
        <v>BAV</v>
      </c>
      <c r="D302">
        <v>47</v>
      </c>
      <c r="E302" t="str">
        <f>"1482"</f>
        <v>1482</v>
      </c>
      <c r="F302" t="str">
        <f>"2"</f>
        <v>2</v>
      </c>
    </row>
    <row r="303" spans="1:6">
      <c r="C303" t="str">
        <f>"BAV"</f>
        <v>BAV</v>
      </c>
      <c r="D303">
        <v>47</v>
      </c>
      <c r="E303" t="str">
        <f>"1483"</f>
        <v>1483</v>
      </c>
      <c r="F303" t="str">
        <f>"1"</f>
        <v>1</v>
      </c>
    </row>
    <row r="304" spans="1:6">
      <c r="A304" t="str">
        <f>"E271-1"</f>
        <v>E271-1</v>
      </c>
      <c r="B304" t="str">
        <f t="shared" si="26"/>
        <v>VIA CASALE  11B-</v>
      </c>
      <c r="C304" t="str">
        <f>"BAV"</f>
        <v>BAV</v>
      </c>
      <c r="D304">
        <v>47</v>
      </c>
      <c r="E304" t="str">
        <f>"1482"</f>
        <v>1482</v>
      </c>
      <c r="F304" t="str">
        <f>"1"</f>
        <v>1</v>
      </c>
    </row>
    <row r="305" spans="1:6">
      <c r="C305" t="str">
        <f>"BAV"</f>
        <v>BAV</v>
      </c>
      <c r="D305">
        <v>47</v>
      </c>
      <c r="E305" t="str">
        <f>"1483"</f>
        <v>1483</v>
      </c>
      <c r="F305" t="str">
        <f>"1"</f>
        <v>1</v>
      </c>
    </row>
    <row r="306" spans="1:6">
      <c r="A306" t="str">
        <f>"E271-2"</f>
        <v>E271-2</v>
      </c>
      <c r="B306" t="str">
        <f t="shared" si="26"/>
        <v>VIA CASALE  11B-</v>
      </c>
      <c r="C306" t="str">
        <f>"BAV"</f>
        <v>BAV</v>
      </c>
      <c r="D306">
        <v>47</v>
      </c>
      <c r="E306" t="str">
        <f>"1482"</f>
        <v>1482</v>
      </c>
      <c r="F306" t="str">
        <f>"0"</f>
        <v>0</v>
      </c>
    </row>
    <row r="307" spans="1:6">
      <c r="A307" t="str">
        <f>"E271-3"</f>
        <v>E271-3</v>
      </c>
      <c r="B307" t="str">
        <f t="shared" si="26"/>
        <v>VIA CASALE  11B-</v>
      </c>
      <c r="C307" t="str">
        <f>"5"</f>
        <v>5</v>
      </c>
      <c r="D307">
        <v>47</v>
      </c>
      <c r="E307" t="str">
        <f>"1481"</f>
        <v>1481</v>
      </c>
      <c r="F307" t="str">
        <f>"0000"</f>
        <v>0000</v>
      </c>
    </row>
    <row r="308" spans="1:6">
      <c r="C308" t="str">
        <f>"5"</f>
        <v>5</v>
      </c>
      <c r="D308">
        <v>47</v>
      </c>
      <c r="E308" t="str">
        <f>"1482"</f>
        <v>1482</v>
      </c>
      <c r="F308" t="str">
        <f>"0000"</f>
        <v>0000</v>
      </c>
    </row>
    <row r="309" spans="1:6">
      <c r="C309" t="str">
        <f>"5"</f>
        <v>5</v>
      </c>
      <c r="D309">
        <v>47</v>
      </c>
      <c r="E309" t="str">
        <f>"1483"</f>
        <v>1483</v>
      </c>
      <c r="F309" t="str">
        <f>"0000"</f>
        <v>0000</v>
      </c>
    </row>
    <row r="310" spans="1:6">
      <c r="A310" t="str">
        <f>"E273-1"</f>
        <v>E273-1</v>
      </c>
      <c r="B310" t="str">
        <f>"VIA AMEDEO CASABONA  3-"</f>
        <v>VIA AMEDEO CASABONA  3-</v>
      </c>
      <c r="C310" t="str">
        <f>"APP"</f>
        <v>APP</v>
      </c>
      <c r="D310">
        <v>3</v>
      </c>
      <c r="E310" t="str">
        <f>"325"</f>
        <v>325</v>
      </c>
      <c r="F310" t="str">
        <f>"13"</f>
        <v>13</v>
      </c>
    </row>
    <row r="311" spans="1:6">
      <c r="A311" t="str">
        <f>"E273-2"</f>
        <v>E273-2</v>
      </c>
      <c r="B311" t="str">
        <f>"VIA AMEDEO CASABONA  5-"</f>
        <v>VIA AMEDEO CASABONA  5-</v>
      </c>
      <c r="C311" t="str">
        <f>"APP"</f>
        <v>APP</v>
      </c>
      <c r="D311">
        <v>3</v>
      </c>
      <c r="E311" t="str">
        <f>"325"</f>
        <v>325</v>
      </c>
      <c r="F311" t="str">
        <f>"14"</f>
        <v>14</v>
      </c>
    </row>
    <row r="312" spans="1:6">
      <c r="A312" t="str">
        <f>"E274-1"</f>
        <v>E274-1</v>
      </c>
      <c r="B312" t="str">
        <f>"VIA CHIESA SAN DESIDERIO VICINO AL 6-"</f>
        <v>VIA CHIESA SAN DESIDERIO VICINO AL 6-</v>
      </c>
      <c r="C312" t="str">
        <f>"6"</f>
        <v>6</v>
      </c>
      <c r="D312">
        <v>3</v>
      </c>
      <c r="E312" t="str">
        <f>"325"</f>
        <v>325</v>
      </c>
      <c r="F312" t="str">
        <f>"0000"</f>
        <v>0000</v>
      </c>
    </row>
    <row r="313" spans="1:6">
      <c r="A313" t="str">
        <f>"E304-1"</f>
        <v>E304-1</v>
      </c>
      <c r="B313" t="str">
        <f>"VIA CAPOLUNGO VICINO AL 5-"</f>
        <v>VIA CAPOLUNGO VICINO AL 5-</v>
      </c>
      <c r="C313" t="str">
        <f>"NER"</f>
        <v>NER</v>
      </c>
      <c r="D313">
        <v>11</v>
      </c>
      <c r="E313" t="str">
        <f>"729"</f>
        <v>729</v>
      </c>
      <c r="F313" t="str">
        <f>"3"</f>
        <v>3</v>
      </c>
    </row>
    <row r="314" spans="1:6">
      <c r="A314" t="str">
        <f>"E370-1"</f>
        <v>E370-1</v>
      </c>
      <c r="B314" t="str">
        <f>"VIA BARTOLOMEO CHIGHIZOLA VICINO AL 1-"</f>
        <v>VIA BARTOLOMEO CHIGHIZOLA VICINO AL 1-</v>
      </c>
      <c r="C314" t="str">
        <f>"1"</f>
        <v>1</v>
      </c>
      <c r="D314">
        <v>94</v>
      </c>
      <c r="E314" t="str">
        <f>"282"</f>
        <v>282</v>
      </c>
      <c r="F314" t="str">
        <f>"0000"</f>
        <v>0000</v>
      </c>
    </row>
    <row r="315" spans="1:6">
      <c r="A315" t="str">
        <f>"E540-1"</f>
        <v>E540-1</v>
      </c>
      <c r="B315" t="str">
        <f>"VIA QUARTO VICINO AL 2-"</f>
        <v>VIA QUARTO VICINO AL 2-</v>
      </c>
      <c r="C315" t="str">
        <f t="shared" ref="C315:C320" si="27">"QUA"</f>
        <v>QUA</v>
      </c>
      <c r="D315">
        <v>7</v>
      </c>
      <c r="E315" t="str">
        <f>"566"</f>
        <v>566</v>
      </c>
      <c r="F315" t="str">
        <f>"1"</f>
        <v>1</v>
      </c>
    </row>
    <row r="316" spans="1:6">
      <c r="A316" t="str">
        <f>"E540-2"</f>
        <v>E540-2</v>
      </c>
      <c r="B316" t="str">
        <f>"VIA QUARTO VICINO AL 2-"</f>
        <v>VIA QUARTO VICINO AL 2-</v>
      </c>
      <c r="C316" t="str">
        <f t="shared" si="27"/>
        <v>QUA</v>
      </c>
      <c r="D316">
        <v>7</v>
      </c>
      <c r="E316" t="str">
        <f>"566"</f>
        <v>566</v>
      </c>
      <c r="F316" t="str">
        <f>"2"</f>
        <v>2</v>
      </c>
    </row>
    <row r="317" spans="1:6">
      <c r="A317" t="str">
        <f>"E540-3"</f>
        <v>E540-3</v>
      </c>
      <c r="B317" t="str">
        <f>"VIA QUARTO VICINO AL 2-"</f>
        <v>VIA QUARTO VICINO AL 2-</v>
      </c>
      <c r="C317" t="str">
        <f t="shared" si="27"/>
        <v>QUA</v>
      </c>
      <c r="D317">
        <v>7</v>
      </c>
      <c r="E317" t="str">
        <f>"566"</f>
        <v>566</v>
      </c>
      <c r="F317" t="str">
        <f>"3"</f>
        <v>3</v>
      </c>
    </row>
    <row r="318" spans="1:6">
      <c r="A318" t="str">
        <f>"E540-4"</f>
        <v>E540-4</v>
      </c>
      <c r="B318" t="str">
        <f>"VIA QUARTO VICINO AL 2-"</f>
        <v>VIA QUARTO VICINO AL 2-</v>
      </c>
      <c r="C318" t="str">
        <f t="shared" si="27"/>
        <v>QUA</v>
      </c>
      <c r="D318">
        <v>7</v>
      </c>
      <c r="E318" t="str">
        <f>"566"</f>
        <v>566</v>
      </c>
      <c r="F318" t="str">
        <f>"4"</f>
        <v>4</v>
      </c>
    </row>
    <row r="319" spans="1:6">
      <c r="A319" t="str">
        <f>"E541-1"</f>
        <v>E541-1</v>
      </c>
      <c r="B319" t="str">
        <f>"VIA CINQUE MAGGIO VICINO AL 30-"</f>
        <v>VIA CINQUE MAGGIO VICINO AL 30-</v>
      </c>
      <c r="C319" t="str">
        <f t="shared" si="27"/>
        <v>QUA</v>
      </c>
      <c r="D319">
        <v>7</v>
      </c>
      <c r="E319" t="str">
        <f>"2066"</f>
        <v>2066</v>
      </c>
      <c r="F319" t="str">
        <f>"1"</f>
        <v>1</v>
      </c>
    </row>
    <row r="320" spans="1:6">
      <c r="A320" t="str">
        <f>"E542-4"</f>
        <v>E542-4</v>
      </c>
      <c r="B320" t="str">
        <f>"VIA PRIARUGGIA  50-"</f>
        <v>VIA PRIARUGGIA  50-</v>
      </c>
      <c r="C320" t="str">
        <f t="shared" si="27"/>
        <v>QUA</v>
      </c>
      <c r="D320">
        <v>7</v>
      </c>
      <c r="E320" t="str">
        <f>"2875"</f>
        <v>2875</v>
      </c>
      <c r="F320" t="str">
        <f>"4"</f>
        <v>4</v>
      </c>
    </row>
    <row r="321" spans="1:6">
      <c r="A321" t="str">
        <f>"E578-1"</f>
        <v>E578-1</v>
      </c>
      <c r="B321" t="str">
        <f>"VIA BART.'MACISTE' PAGANO  59-"</f>
        <v>VIA BART.'MACISTE' PAGANO  59-</v>
      </c>
      <c r="C321" t="str">
        <f t="shared" ref="C321:C347" si="28">"9"</f>
        <v>9</v>
      </c>
      <c r="D321">
        <v>8</v>
      </c>
      <c r="E321" t="str">
        <f t="shared" ref="E321:E347" si="29">"99999"</f>
        <v>99999</v>
      </c>
      <c r="F321" t="str">
        <f t="shared" ref="F321:F348" si="30">"0000"</f>
        <v>0000</v>
      </c>
    </row>
    <row r="322" spans="1:6">
      <c r="A322" t="str">
        <f>"E578-2"</f>
        <v>E578-2</v>
      </c>
      <c r="B322" t="str">
        <f>"VIA BART.'MACISTE' PAGANO  57-"</f>
        <v>VIA BART.'MACISTE' PAGANO  57-</v>
      </c>
      <c r="C322" t="str">
        <f t="shared" si="28"/>
        <v>9</v>
      </c>
      <c r="D322">
        <v>8</v>
      </c>
      <c r="E322" t="str">
        <f t="shared" si="29"/>
        <v>99999</v>
      </c>
      <c r="F322" t="str">
        <f t="shared" si="30"/>
        <v>0000</v>
      </c>
    </row>
    <row r="323" spans="1:6">
      <c r="A323" t="str">
        <f>"E578-3"</f>
        <v>E578-3</v>
      </c>
      <c r="B323" t="str">
        <f>"VIA BART.'MACISTE' PAGANO  55-"</f>
        <v>VIA BART.'MACISTE' PAGANO  55-</v>
      </c>
      <c r="C323" t="str">
        <f t="shared" si="28"/>
        <v>9</v>
      </c>
      <c r="D323">
        <v>8</v>
      </c>
      <c r="E323" t="str">
        <f t="shared" si="29"/>
        <v>99999</v>
      </c>
      <c r="F323" t="str">
        <f t="shared" si="30"/>
        <v>0000</v>
      </c>
    </row>
    <row r="324" spans="1:6">
      <c r="A324" t="str">
        <f>"E578-4"</f>
        <v>E578-4</v>
      </c>
      <c r="B324" t="str">
        <f>"VIA BART.'MACISTE' PAGANO  53-"</f>
        <v>VIA BART.'MACISTE' PAGANO  53-</v>
      </c>
      <c r="C324" t="str">
        <f t="shared" si="28"/>
        <v>9</v>
      </c>
      <c r="D324">
        <v>8</v>
      </c>
      <c r="E324" t="str">
        <f t="shared" si="29"/>
        <v>99999</v>
      </c>
      <c r="F324" t="str">
        <f t="shared" si="30"/>
        <v>0000</v>
      </c>
    </row>
    <row r="325" spans="1:6">
      <c r="A325" t="str">
        <f>"E578-5"</f>
        <v>E578-5</v>
      </c>
      <c r="B325" t="str">
        <f>"VIA BART.'MACISTE' PAGANO  51-"</f>
        <v>VIA BART.'MACISTE' PAGANO  51-</v>
      </c>
      <c r="C325" t="str">
        <f t="shared" si="28"/>
        <v>9</v>
      </c>
      <c r="D325">
        <v>8</v>
      </c>
      <c r="E325" t="str">
        <f t="shared" si="29"/>
        <v>99999</v>
      </c>
      <c r="F325" t="str">
        <f t="shared" si="30"/>
        <v>0000</v>
      </c>
    </row>
    <row r="326" spans="1:6">
      <c r="A326" t="str">
        <f>"E578-6"</f>
        <v>E578-6</v>
      </c>
      <c r="B326" t="str">
        <f>"VIA BART.'MACISTE' PAGANO  49-"</f>
        <v>VIA BART.'MACISTE' PAGANO  49-</v>
      </c>
      <c r="C326" t="str">
        <f t="shared" si="28"/>
        <v>9</v>
      </c>
      <c r="D326">
        <v>8</v>
      </c>
      <c r="E326" t="str">
        <f t="shared" si="29"/>
        <v>99999</v>
      </c>
      <c r="F326" t="str">
        <f t="shared" si="30"/>
        <v>0000</v>
      </c>
    </row>
    <row r="327" spans="1:6">
      <c r="A327" t="str">
        <f>"E578-7"</f>
        <v>E578-7</v>
      </c>
      <c r="B327" t="str">
        <f>"VIA BART.'MACISTE' PAGANO  47-"</f>
        <v>VIA BART.'MACISTE' PAGANO  47-</v>
      </c>
      <c r="C327" t="str">
        <f t="shared" si="28"/>
        <v>9</v>
      </c>
      <c r="D327">
        <v>8</v>
      </c>
      <c r="E327" t="str">
        <f t="shared" si="29"/>
        <v>99999</v>
      </c>
      <c r="F327" t="str">
        <f t="shared" si="30"/>
        <v>0000</v>
      </c>
    </row>
    <row r="328" spans="1:6">
      <c r="A328" t="str">
        <f>"E578-8"</f>
        <v>E578-8</v>
      </c>
      <c r="B328" t="str">
        <f>"VIA BART.'MACISTE' PAGANO  45-"</f>
        <v>VIA BART.'MACISTE' PAGANO  45-</v>
      </c>
      <c r="C328" t="str">
        <f t="shared" si="28"/>
        <v>9</v>
      </c>
      <c r="D328">
        <v>8</v>
      </c>
      <c r="E328" t="str">
        <f t="shared" si="29"/>
        <v>99999</v>
      </c>
      <c r="F328" t="str">
        <f t="shared" si="30"/>
        <v>0000</v>
      </c>
    </row>
    <row r="329" spans="1:6">
      <c r="A329" t="str">
        <f>"E578-9"</f>
        <v>E578-9</v>
      </c>
      <c r="B329" t="str">
        <f>"VIA BART.'MACISTE' PAGANO  43-"</f>
        <v>VIA BART.'MACISTE' PAGANO  43-</v>
      </c>
      <c r="C329" t="str">
        <f t="shared" si="28"/>
        <v>9</v>
      </c>
      <c r="D329">
        <v>8</v>
      </c>
      <c r="E329" t="str">
        <f t="shared" si="29"/>
        <v>99999</v>
      </c>
      <c r="F329" t="str">
        <f t="shared" si="30"/>
        <v>0000</v>
      </c>
    </row>
    <row r="330" spans="1:6">
      <c r="A330" t="str">
        <f>"E578-10"</f>
        <v>E578-10</v>
      </c>
      <c r="B330" t="str">
        <f>"VIA BART.'MACISTE' PAGANO  41-"</f>
        <v>VIA BART.'MACISTE' PAGANO  41-</v>
      </c>
      <c r="C330" t="str">
        <f t="shared" si="28"/>
        <v>9</v>
      </c>
      <c r="D330">
        <v>8</v>
      </c>
      <c r="E330" t="str">
        <f t="shared" si="29"/>
        <v>99999</v>
      </c>
      <c r="F330" t="str">
        <f t="shared" si="30"/>
        <v>0000</v>
      </c>
    </row>
    <row r="331" spans="1:6">
      <c r="A331" t="str">
        <f>"E578-12"</f>
        <v>E578-12</v>
      </c>
      <c r="B331" t="str">
        <f>"VIA DEL COMMERCIO VICINO AL 3-"</f>
        <v>VIA DEL COMMERCIO VICINO AL 3-</v>
      </c>
      <c r="C331" t="str">
        <f t="shared" si="28"/>
        <v>9</v>
      </c>
      <c r="D331">
        <v>8</v>
      </c>
      <c r="E331" t="str">
        <f t="shared" si="29"/>
        <v>99999</v>
      </c>
      <c r="F331" t="str">
        <f t="shared" si="30"/>
        <v>0000</v>
      </c>
    </row>
    <row r="332" spans="1:6">
      <c r="A332" t="str">
        <f>"E578-13"</f>
        <v>E578-13</v>
      </c>
      <c r="B332" t="str">
        <f>"VIA DEL COMMERCIO VICINO AL 3-"</f>
        <v>VIA DEL COMMERCIO VICINO AL 3-</v>
      </c>
      <c r="C332" t="str">
        <f t="shared" si="28"/>
        <v>9</v>
      </c>
      <c r="D332">
        <v>8</v>
      </c>
      <c r="E332" t="str">
        <f t="shared" si="29"/>
        <v>99999</v>
      </c>
      <c r="F332" t="str">
        <f t="shared" si="30"/>
        <v>0000</v>
      </c>
    </row>
    <row r="333" spans="1:6">
      <c r="A333" t="str">
        <f>"E578-14"</f>
        <v>E578-14</v>
      </c>
      <c r="B333" t="str">
        <f>"VIA DEL COMMERCIO VICINO AL 3-"</f>
        <v>VIA DEL COMMERCIO VICINO AL 3-</v>
      </c>
      <c r="C333" t="str">
        <f t="shared" si="28"/>
        <v>9</v>
      </c>
      <c r="D333">
        <v>8</v>
      </c>
      <c r="E333" t="str">
        <f t="shared" si="29"/>
        <v>99999</v>
      </c>
      <c r="F333" t="str">
        <f t="shared" si="30"/>
        <v>0000</v>
      </c>
    </row>
    <row r="334" spans="1:6">
      <c r="A334" t="str">
        <f>"E578-15"</f>
        <v>E578-15</v>
      </c>
      <c r="B334" t="str">
        <f t="shared" ref="B334:B346" si="31">"VIA CANNE VICINO AL 5-"</f>
        <v>VIA CANNE VICINO AL 5-</v>
      </c>
      <c r="C334" t="str">
        <f t="shared" si="28"/>
        <v>9</v>
      </c>
      <c r="D334">
        <v>8</v>
      </c>
      <c r="E334" t="str">
        <f t="shared" si="29"/>
        <v>99999</v>
      </c>
      <c r="F334" t="str">
        <f t="shared" si="30"/>
        <v>0000</v>
      </c>
    </row>
    <row r="335" spans="1:6">
      <c r="A335" t="str">
        <f>"E578-16"</f>
        <v>E578-16</v>
      </c>
      <c r="B335" t="str">
        <f t="shared" si="31"/>
        <v>VIA CANNE VICINO AL 5-</v>
      </c>
      <c r="C335" t="str">
        <f t="shared" si="28"/>
        <v>9</v>
      </c>
      <c r="D335">
        <v>8</v>
      </c>
      <c r="E335" t="str">
        <f t="shared" si="29"/>
        <v>99999</v>
      </c>
      <c r="F335" t="str">
        <f t="shared" si="30"/>
        <v>0000</v>
      </c>
    </row>
    <row r="336" spans="1:6">
      <c r="A336" t="str">
        <f>"E578-17"</f>
        <v>E578-17</v>
      </c>
      <c r="B336" t="str">
        <f t="shared" si="31"/>
        <v>VIA CANNE VICINO AL 5-</v>
      </c>
      <c r="C336" t="str">
        <f t="shared" si="28"/>
        <v>9</v>
      </c>
      <c r="D336">
        <v>8</v>
      </c>
      <c r="E336" t="str">
        <f t="shared" si="29"/>
        <v>99999</v>
      </c>
      <c r="F336" t="str">
        <f t="shared" si="30"/>
        <v>0000</v>
      </c>
    </row>
    <row r="337" spans="1:6">
      <c r="A337" t="str">
        <f>"E578-18"</f>
        <v>E578-18</v>
      </c>
      <c r="B337" t="str">
        <f t="shared" si="31"/>
        <v>VIA CANNE VICINO AL 5-</v>
      </c>
      <c r="C337" t="str">
        <f t="shared" si="28"/>
        <v>9</v>
      </c>
      <c r="D337">
        <v>8</v>
      </c>
      <c r="E337" t="str">
        <f t="shared" si="29"/>
        <v>99999</v>
      </c>
      <c r="F337" t="str">
        <f t="shared" si="30"/>
        <v>0000</v>
      </c>
    </row>
    <row r="338" spans="1:6">
      <c r="A338" t="str">
        <f>"E578-19"</f>
        <v>E578-19</v>
      </c>
      <c r="B338" t="str">
        <f t="shared" si="31"/>
        <v>VIA CANNE VICINO AL 5-</v>
      </c>
      <c r="C338" t="str">
        <f t="shared" si="28"/>
        <v>9</v>
      </c>
      <c r="D338">
        <v>8</v>
      </c>
      <c r="E338" t="str">
        <f t="shared" si="29"/>
        <v>99999</v>
      </c>
      <c r="F338" t="str">
        <f t="shared" si="30"/>
        <v>0000</v>
      </c>
    </row>
    <row r="339" spans="1:6">
      <c r="A339" t="str">
        <f>"E578-20"</f>
        <v>E578-20</v>
      </c>
      <c r="B339" t="str">
        <f t="shared" si="31"/>
        <v>VIA CANNE VICINO AL 5-</v>
      </c>
      <c r="C339" t="str">
        <f t="shared" si="28"/>
        <v>9</v>
      </c>
      <c r="D339">
        <v>8</v>
      </c>
      <c r="E339" t="str">
        <f t="shared" si="29"/>
        <v>99999</v>
      </c>
      <c r="F339" t="str">
        <f t="shared" si="30"/>
        <v>0000</v>
      </c>
    </row>
    <row r="340" spans="1:6">
      <c r="A340" t="str">
        <f>"E578-21"</f>
        <v>E578-21</v>
      </c>
      <c r="B340" t="str">
        <f t="shared" si="31"/>
        <v>VIA CANNE VICINO AL 5-</v>
      </c>
      <c r="C340" t="str">
        <f t="shared" si="28"/>
        <v>9</v>
      </c>
      <c r="D340">
        <v>8</v>
      </c>
      <c r="E340" t="str">
        <f t="shared" si="29"/>
        <v>99999</v>
      </c>
      <c r="F340" t="str">
        <f t="shared" si="30"/>
        <v>0000</v>
      </c>
    </row>
    <row r="341" spans="1:6">
      <c r="A341" t="str">
        <f>"E578-22"</f>
        <v>E578-22</v>
      </c>
      <c r="B341" t="str">
        <f t="shared" si="31"/>
        <v>VIA CANNE VICINO AL 5-</v>
      </c>
      <c r="C341" t="str">
        <f t="shared" si="28"/>
        <v>9</v>
      </c>
      <c r="D341">
        <v>8</v>
      </c>
      <c r="E341" t="str">
        <f t="shared" si="29"/>
        <v>99999</v>
      </c>
      <c r="F341" t="str">
        <f t="shared" si="30"/>
        <v>0000</v>
      </c>
    </row>
    <row r="342" spans="1:6">
      <c r="A342" t="str">
        <f>"E578-23"</f>
        <v>E578-23</v>
      </c>
      <c r="B342" t="str">
        <f t="shared" si="31"/>
        <v>VIA CANNE VICINO AL 5-</v>
      </c>
      <c r="C342" t="str">
        <f t="shared" si="28"/>
        <v>9</v>
      </c>
      <c r="D342">
        <v>8</v>
      </c>
      <c r="E342" t="str">
        <f t="shared" si="29"/>
        <v>99999</v>
      </c>
      <c r="F342" t="str">
        <f t="shared" si="30"/>
        <v>0000</v>
      </c>
    </row>
    <row r="343" spans="1:6">
      <c r="A343" t="str">
        <f>"E578-24"</f>
        <v>E578-24</v>
      </c>
      <c r="B343" t="str">
        <f t="shared" si="31"/>
        <v>VIA CANNE VICINO AL 5-</v>
      </c>
      <c r="C343" t="str">
        <f t="shared" si="28"/>
        <v>9</v>
      </c>
      <c r="D343">
        <v>8</v>
      </c>
      <c r="E343" t="str">
        <f t="shared" si="29"/>
        <v>99999</v>
      </c>
      <c r="F343" t="str">
        <f t="shared" si="30"/>
        <v>0000</v>
      </c>
    </row>
    <row r="344" spans="1:6">
      <c r="A344" t="str">
        <f>"E578-25"</f>
        <v>E578-25</v>
      </c>
      <c r="B344" t="str">
        <f t="shared" si="31"/>
        <v>VIA CANNE VICINO AL 5-</v>
      </c>
      <c r="C344" t="str">
        <f t="shared" si="28"/>
        <v>9</v>
      </c>
      <c r="D344">
        <v>8</v>
      </c>
      <c r="E344" t="str">
        <f t="shared" si="29"/>
        <v>99999</v>
      </c>
      <c r="F344" t="str">
        <f t="shared" si="30"/>
        <v>0000</v>
      </c>
    </row>
    <row r="345" spans="1:6">
      <c r="A345" t="str">
        <f>"E578-26"</f>
        <v>E578-26</v>
      </c>
      <c r="B345" t="str">
        <f t="shared" si="31"/>
        <v>VIA CANNE VICINO AL 5-</v>
      </c>
      <c r="C345" t="str">
        <f t="shared" si="28"/>
        <v>9</v>
      </c>
      <c r="D345">
        <v>8</v>
      </c>
      <c r="E345" t="str">
        <f t="shared" si="29"/>
        <v>99999</v>
      </c>
      <c r="F345" t="str">
        <f t="shared" si="30"/>
        <v>0000</v>
      </c>
    </row>
    <row r="346" spans="1:6">
      <c r="A346" t="str">
        <f>"E578-27"</f>
        <v>E578-27</v>
      </c>
      <c r="B346" t="str">
        <f t="shared" si="31"/>
        <v>VIA CANNE VICINO AL 5-</v>
      </c>
      <c r="C346" t="str">
        <f t="shared" si="28"/>
        <v>9</v>
      </c>
      <c r="D346">
        <v>8</v>
      </c>
      <c r="E346" t="str">
        <f t="shared" si="29"/>
        <v>99999</v>
      </c>
      <c r="F346" t="str">
        <f t="shared" si="30"/>
        <v>0000</v>
      </c>
    </row>
    <row r="347" spans="1:6">
      <c r="A347" t="str">
        <f>"E578-28"</f>
        <v>E578-28</v>
      </c>
      <c r="B347" t="str">
        <f>"VIA BART.'MACISTE' PAGANO VICINO AL 41-"</f>
        <v>VIA BART.'MACISTE' PAGANO VICINO AL 41-</v>
      </c>
      <c r="C347" t="str">
        <f t="shared" si="28"/>
        <v>9</v>
      </c>
      <c r="D347">
        <v>8</v>
      </c>
      <c r="E347" t="str">
        <f t="shared" si="29"/>
        <v>99999</v>
      </c>
      <c r="F347" t="str">
        <f t="shared" si="30"/>
        <v>0000</v>
      </c>
    </row>
    <row r="348" spans="1:6">
      <c r="A348" t="str">
        <f>"E586-1"</f>
        <v>E586-1</v>
      </c>
      <c r="B348" t="str">
        <f>"VIA PIANI DI FERRETTO  9-"</f>
        <v>VIA PIANI DI FERRETTO  9-</v>
      </c>
      <c r="C348" t="str">
        <f>"BAV"</f>
        <v>BAV</v>
      </c>
      <c r="D348">
        <v>49</v>
      </c>
      <c r="E348" t="str">
        <f>"921"</f>
        <v>921</v>
      </c>
      <c r="F348" t="str">
        <f t="shared" si="30"/>
        <v>0000</v>
      </c>
    </row>
    <row r="349" spans="1:6">
      <c r="A349" t="str">
        <f>"E614-1"</f>
        <v>E614-1</v>
      </c>
      <c r="B349" t="str">
        <f>"VIA SERRA GROPALLO VICINO AL 6-"</f>
        <v>VIA SERRA GROPALLO VICINO AL 6-</v>
      </c>
      <c r="C349" t="str">
        <f>"NER"</f>
        <v>NER</v>
      </c>
      <c r="D349">
        <v>11</v>
      </c>
      <c r="E349" t="str">
        <f>"216"</f>
        <v>216</v>
      </c>
      <c r="F349" t="str">
        <f>"1"</f>
        <v>1</v>
      </c>
    </row>
    <row r="350" spans="1:6">
      <c r="A350" t="str">
        <f>"E629-1"</f>
        <v>E629-1</v>
      </c>
      <c r="B350" t="str">
        <f>"VIA SERRA GROPALLO VICINO AL 6-"</f>
        <v>VIA SERRA GROPALLO VICINO AL 6-</v>
      </c>
      <c r="C350" t="str">
        <f>"9"</f>
        <v>9</v>
      </c>
      <c r="D350">
        <v>11</v>
      </c>
      <c r="E350" t="str">
        <f>"216"</f>
        <v>216</v>
      </c>
      <c r="F350" t="str">
        <f t="shared" ref="F350:F355" si="32">"0000"</f>
        <v>0000</v>
      </c>
    </row>
    <row r="351" spans="1:6">
      <c r="A351" t="str">
        <f>"E646-1"</f>
        <v>E646-1</v>
      </c>
      <c r="B351" t="str">
        <f>"VIA DEL COMMERCIO VICINO AL 116-"</f>
        <v>VIA DEL COMMERCIO VICINO AL 116-</v>
      </c>
      <c r="C351" t="str">
        <f>"NER"</f>
        <v>NER</v>
      </c>
      <c r="D351">
        <v>5</v>
      </c>
      <c r="E351" t="str">
        <f>"156"</f>
        <v>156</v>
      </c>
      <c r="F351" t="str">
        <f t="shared" si="32"/>
        <v>0000</v>
      </c>
    </row>
    <row r="352" spans="1:6">
      <c r="A352" t="str">
        <f>"E663-1"</f>
        <v>E663-1</v>
      </c>
      <c r="B352" t="str">
        <f>"VIA FEDERICO SCLOPIS  1R-"</f>
        <v>VIA FEDERICO SCLOPIS  1R-</v>
      </c>
      <c r="C352" t="str">
        <f>"GEB"</f>
        <v>GEB</v>
      </c>
      <c r="D352">
        <v>62</v>
      </c>
      <c r="E352" t="str">
        <f>"203"</f>
        <v>203</v>
      </c>
      <c r="F352" t="str">
        <f t="shared" si="32"/>
        <v>0000</v>
      </c>
    </row>
    <row r="353" spans="1:6">
      <c r="A353" t="str">
        <f>"E667-1"</f>
        <v>E667-1</v>
      </c>
      <c r="B353" t="str">
        <f>"VIA QUINTO VICINO AL 1-"</f>
        <v>VIA QUINTO VICINO AL 1-</v>
      </c>
      <c r="C353" t="str">
        <f>"7"</f>
        <v>7</v>
      </c>
      <c r="D353">
        <v>7</v>
      </c>
      <c r="E353" t="str">
        <f>"384"</f>
        <v>384</v>
      </c>
      <c r="F353" t="str">
        <f t="shared" si="32"/>
        <v>0000</v>
      </c>
    </row>
    <row r="354" spans="1:6">
      <c r="A354" t="str">
        <f>"E667-1"</f>
        <v>E667-1</v>
      </c>
      <c r="B354" t="str">
        <f>"VIA QUINTO VICINO AL 1-"</f>
        <v>VIA QUINTO VICINO AL 1-</v>
      </c>
      <c r="C354" t="str">
        <f>"8"</f>
        <v>8</v>
      </c>
      <c r="D354">
        <v>3</v>
      </c>
      <c r="E354" t="str">
        <f>"319"</f>
        <v>319</v>
      </c>
      <c r="F354" t="str">
        <f t="shared" si="32"/>
        <v>0000</v>
      </c>
    </row>
    <row r="355" spans="1:6">
      <c r="A355" t="str">
        <f>"E668-1"</f>
        <v>E668-1</v>
      </c>
      <c r="B355" t="str">
        <f>"VIA DEL TRITONE  18-"</f>
        <v>VIA DEL TRITONE  18-</v>
      </c>
      <c r="C355" t="str">
        <f>"1"</f>
        <v>1</v>
      </c>
      <c r="D355">
        <v>94</v>
      </c>
      <c r="E355" t="str">
        <f>"332"</f>
        <v>332</v>
      </c>
      <c r="F355" t="str">
        <f t="shared" si="32"/>
        <v>0000</v>
      </c>
    </row>
    <row r="356" spans="1:6">
      <c r="A356" t="str">
        <f>"E1328-1"</f>
        <v>E1328-1</v>
      </c>
      <c r="B356" t="str">
        <f>"VIA BOTTINI  27-"</f>
        <v>VIA BOTTINI  27-</v>
      </c>
      <c r="C356" t="str">
        <f>"GEB"</f>
        <v>GEB</v>
      </c>
      <c r="D356">
        <v>63</v>
      </c>
      <c r="E356" t="str">
        <f>"28"</f>
        <v>28</v>
      </c>
      <c r="F356" t="str">
        <f>"1"</f>
        <v>1</v>
      </c>
    </row>
    <row r="357" spans="1:6">
      <c r="A357" t="str">
        <f>"E1328-2"</f>
        <v>E1328-2</v>
      </c>
      <c r="B357" t="str">
        <f>"VIA BOTTINI VICINO AL 27-"</f>
        <v>VIA BOTTINI VICINO AL 27-</v>
      </c>
      <c r="C357" t="str">
        <f>"GEB"</f>
        <v>GEB</v>
      </c>
      <c r="D357">
        <v>63</v>
      </c>
      <c r="E357" t="str">
        <f>"28"</f>
        <v>28</v>
      </c>
      <c r="F357" t="str">
        <f>"2"</f>
        <v>2</v>
      </c>
    </row>
    <row r="358" spans="1:6">
      <c r="A358" t="str">
        <f>"E1813-1"</f>
        <v>E1813-1</v>
      </c>
      <c r="B358" t="str">
        <f>"VIA POSALUNGA  9-"</f>
        <v>VIA POSALUNGA  9-</v>
      </c>
      <c r="C358" t="str">
        <f>"GEB"</f>
        <v>GEB</v>
      </c>
      <c r="D358">
        <v>56</v>
      </c>
      <c r="E358" t="str">
        <f>"955"</f>
        <v>955</v>
      </c>
      <c r="F358" t="str">
        <f>"0000"</f>
        <v>0000</v>
      </c>
    </row>
    <row r="359" spans="1:6">
      <c r="A359" t="str">
        <f>"E1853-1"</f>
        <v>E1853-1</v>
      </c>
      <c r="B359" t="str">
        <f>"VIA DELLE GENZIANE SITO NEL 13-"</f>
        <v>VIA DELLE GENZIANE SITO NEL 13-</v>
      </c>
      <c r="C359" t="str">
        <f>"QUA"</f>
        <v>QUA</v>
      </c>
      <c r="D359">
        <v>4</v>
      </c>
      <c r="E359" t="str">
        <f>"958"</f>
        <v>958</v>
      </c>
      <c r="F359" t="str">
        <f>"0000"</f>
        <v>0000</v>
      </c>
    </row>
    <row r="360" spans="1:6">
      <c r="A360" t="str">
        <f>"E1865-1"</f>
        <v>E1865-1</v>
      </c>
      <c r="B360" t="str">
        <f>"VIALE CEMBRANO  2-"</f>
        <v>VIALE CEMBRANO  2-</v>
      </c>
      <c r="C360" t="str">
        <f>"QUA"</f>
        <v>QUA</v>
      </c>
      <c r="D360">
        <v>6</v>
      </c>
      <c r="E360" t="str">
        <f>"476"</f>
        <v>476</v>
      </c>
      <c r="F360" t="str">
        <f>"3"</f>
        <v>3</v>
      </c>
    </row>
    <row r="361" spans="1:6">
      <c r="C361" t="str">
        <f>"QUA"</f>
        <v>QUA</v>
      </c>
      <c r="D361">
        <v>6</v>
      </c>
      <c r="E361" t="str">
        <f>"736"</f>
        <v>736</v>
      </c>
      <c r="F361" t="str">
        <f>"5"</f>
        <v>5</v>
      </c>
    </row>
    <row r="362" spans="1:6">
      <c r="A362" t="str">
        <f>"E1872-1"</f>
        <v>E1872-1</v>
      </c>
      <c r="B362" t="str">
        <f>"VIA DEI MILLE  10-"</f>
        <v>VIA DEI MILLE  10-</v>
      </c>
      <c r="C362" t="str">
        <f>"GEB"</f>
        <v>GEB</v>
      </c>
      <c r="D362">
        <v>63</v>
      </c>
      <c r="E362" t="str">
        <f>"101"</f>
        <v>101</v>
      </c>
      <c r="F362" t="str">
        <f>"0000"</f>
        <v>0000</v>
      </c>
    </row>
    <row r="363" spans="1:6">
      <c r="A363" t="str">
        <f>"E1929-1"</f>
        <v>E1929-1</v>
      </c>
      <c r="B363" t="str">
        <f>"VIA EVANGEL TORRICELLI  1AR-"</f>
        <v>VIA EVANGEL TORRICELLI  1AR-</v>
      </c>
      <c r="C363" t="str">
        <f>"APP"</f>
        <v>APP</v>
      </c>
      <c r="D363">
        <v>47</v>
      </c>
      <c r="E363" t="str">
        <f>"1115"</f>
        <v>1115</v>
      </c>
      <c r="F363" t="str">
        <f>"0000"</f>
        <v>0000</v>
      </c>
    </row>
    <row r="364" spans="1:6">
      <c r="A364" t="str">
        <f>"E1948-1"</f>
        <v>E1948-1</v>
      </c>
      <c r="B364" t="str">
        <f>"VIA GIOVANNI BETTOLO  4-"</f>
        <v>VIA GIOVANNI BETTOLO  4-</v>
      </c>
      <c r="C364" t="str">
        <f>"NER"</f>
        <v>NER</v>
      </c>
      <c r="D364">
        <v>7</v>
      </c>
      <c r="E364" t="str">
        <f>"434"</f>
        <v>434</v>
      </c>
      <c r="F364" t="str">
        <f>"0000"</f>
        <v>0000</v>
      </c>
    </row>
    <row r="365" spans="1:6">
      <c r="A365" t="str">
        <f>"E1951-1"</f>
        <v>E1951-1</v>
      </c>
      <c r="B365" t="str">
        <f>"VIA ALCIDE DE GASPERI  53-"</f>
        <v>VIA ALCIDE DE GASPERI  53-</v>
      </c>
      <c r="C365" t="str">
        <f>"QUI"</f>
        <v>QUI</v>
      </c>
      <c r="D365">
        <v>1</v>
      </c>
      <c r="E365" t="str">
        <f>"1223"</f>
        <v>1223</v>
      </c>
      <c r="F365" t="str">
        <f>"13"</f>
        <v>13</v>
      </c>
    </row>
    <row r="366" spans="1:6">
      <c r="C366" t="str">
        <f>"QUI"</f>
        <v>QUI</v>
      </c>
      <c r="D366">
        <v>1</v>
      </c>
      <c r="E366" t="str">
        <f>"1328"</f>
        <v>1328</v>
      </c>
      <c r="F366" t="str">
        <f>"15"</f>
        <v>15</v>
      </c>
    </row>
    <row r="367" spans="1:6">
      <c r="A367" t="str">
        <f>"E1951-2"</f>
        <v>E1951-2</v>
      </c>
      <c r="B367" t="str">
        <f>"VIA ALCIDE DE GASPERI  53-"</f>
        <v>VIA ALCIDE DE GASPERI  53-</v>
      </c>
      <c r="C367" t="str">
        <f>"QUI"</f>
        <v>QUI</v>
      </c>
      <c r="D367">
        <v>1</v>
      </c>
      <c r="E367" t="str">
        <f>"1328"</f>
        <v>1328</v>
      </c>
      <c r="F367" t="str">
        <f>"28"</f>
        <v>28</v>
      </c>
    </row>
    <row r="368" spans="1:6">
      <c r="A368" t="str">
        <f>"E1953-1"</f>
        <v>E1953-1</v>
      </c>
      <c r="B368" t="str">
        <f>"VIA BRIGATA SALERNO  6-"</f>
        <v>VIA BRIGATA SALERNO  6-</v>
      </c>
      <c r="C368" t="str">
        <f>"GEB"</f>
        <v>GEB</v>
      </c>
      <c r="D368">
        <v>63</v>
      </c>
      <c r="E368" t="str">
        <f>"794"</f>
        <v>794</v>
      </c>
      <c r="F368" t="str">
        <f>"0000"</f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59"/>
  <sheetViews>
    <sheetView workbookViewId="0">
      <selection activeCell="A158" sqref="A158:IV158"/>
    </sheetView>
  </sheetViews>
  <sheetFormatPr defaultRowHeight="12.75"/>
  <cols>
    <col min="1" max="1" width="14.5703125" bestFit="1" customWidth="1"/>
    <col min="2" max="2" width="19.5703125" bestFit="1" customWidth="1"/>
    <col min="3" max="3" width="34.28515625" bestFit="1" customWidth="1"/>
  </cols>
  <sheetData>
    <row r="1" spans="1:7">
      <c r="A1" s="1" t="str">
        <f>"LOCALITA"</f>
        <v>LOCALITA</v>
      </c>
      <c r="B1" s="1" t="str">
        <f>"codice identificativo"</f>
        <v>codice identificativo</v>
      </c>
      <c r="C1" s="1" t="str">
        <f>"Indirizzo/Località"</f>
        <v>Indirizzo/Località</v>
      </c>
      <c r="D1" s="1" t="str">
        <f>"SEZIONE"</f>
        <v>SEZIONE</v>
      </c>
      <c r="E1" s="1" t="str">
        <f>"FOGLIO"</f>
        <v>FOGLIO</v>
      </c>
      <c r="F1" s="1" t="str">
        <f>"MAPPALE"</f>
        <v>MAPPALE</v>
      </c>
      <c r="G1" s="1" t="str">
        <f>"SUB"</f>
        <v>SUB</v>
      </c>
    </row>
    <row r="2" spans="1:7">
      <c r="A2" t="str">
        <f>"BERGAMASCO"</f>
        <v>BERGAMASCO</v>
      </c>
      <c r="B2" t="str">
        <f>"E1952-1"</f>
        <v>E1952-1</v>
      </c>
      <c r="C2" t="str">
        <f>"VIA PER CASTELNUOVO BELBO  39-"</f>
        <v>VIA PER CASTELNUOVO BELBO  39-</v>
      </c>
      <c r="D2" t="str">
        <f>"000"</f>
        <v>000</v>
      </c>
      <c r="E2">
        <v>10</v>
      </c>
      <c r="F2" t="str">
        <f>"592"</f>
        <v>592</v>
      </c>
      <c r="G2" t="str">
        <f>"0000"</f>
        <v>0000</v>
      </c>
    </row>
    <row r="4" spans="1:7">
      <c r="A4" t="str">
        <f t="shared" ref="A4:A10" si="0">"MORGEX"</f>
        <v>MORGEX</v>
      </c>
      <c r="B4" t="str">
        <f>"E1307-1"</f>
        <v>E1307-1</v>
      </c>
      <c r="C4" t="str">
        <f t="shared" ref="C4:C10" si="1">"STRADA VIC.LE DI CUVALOP  1-"</f>
        <v>STRADA VIC.LE DI CUVALOP  1-</v>
      </c>
      <c r="D4" t="str">
        <f>"U"</f>
        <v>U</v>
      </c>
      <c r="E4">
        <v>44</v>
      </c>
      <c r="F4" t="str">
        <f t="shared" ref="F4:F9" si="2">"255"</f>
        <v>255</v>
      </c>
      <c r="G4" t="str">
        <f>"7"</f>
        <v>7</v>
      </c>
    </row>
    <row r="5" spans="1:7">
      <c r="A5" t="str">
        <f t="shared" si="0"/>
        <v>MORGEX</v>
      </c>
      <c r="B5" t="str">
        <f>"E1308-1"</f>
        <v>E1308-1</v>
      </c>
      <c r="C5" t="str">
        <f t="shared" si="1"/>
        <v>STRADA VIC.LE DI CUVALOP  1-</v>
      </c>
      <c r="D5" t="str">
        <f>"999"</f>
        <v>999</v>
      </c>
      <c r="E5">
        <v>44</v>
      </c>
      <c r="F5" t="str">
        <f t="shared" si="2"/>
        <v>255</v>
      </c>
      <c r="G5" t="str">
        <f>"0000"</f>
        <v>0000</v>
      </c>
    </row>
    <row r="6" spans="1:7">
      <c r="A6" t="str">
        <f t="shared" si="0"/>
        <v>MORGEX</v>
      </c>
      <c r="B6" t="str">
        <f>"E1460-1"</f>
        <v>E1460-1</v>
      </c>
      <c r="C6" t="str">
        <f t="shared" si="1"/>
        <v>STRADA VIC.LE DI CUVALOP  1-</v>
      </c>
      <c r="D6" t="str">
        <f>"U"</f>
        <v>U</v>
      </c>
      <c r="E6">
        <v>44</v>
      </c>
      <c r="F6" t="str">
        <f t="shared" si="2"/>
        <v>255</v>
      </c>
      <c r="G6" t="str">
        <f>"7"</f>
        <v>7</v>
      </c>
    </row>
    <row r="7" spans="1:7">
      <c r="A7" t="str">
        <f t="shared" si="0"/>
        <v>MORGEX</v>
      </c>
      <c r="B7" t="str">
        <f>"E1461-1"</f>
        <v>E1461-1</v>
      </c>
      <c r="C7" t="str">
        <f t="shared" si="1"/>
        <v>STRADA VIC.LE DI CUVALOP  1-</v>
      </c>
      <c r="D7" t="str">
        <f>"U"</f>
        <v>U</v>
      </c>
      <c r="E7">
        <v>44</v>
      </c>
      <c r="F7" t="str">
        <f t="shared" si="2"/>
        <v>255</v>
      </c>
      <c r="G7" t="str">
        <f>"7"</f>
        <v>7</v>
      </c>
    </row>
    <row r="8" spans="1:7">
      <c r="A8" t="str">
        <f t="shared" si="0"/>
        <v>MORGEX</v>
      </c>
      <c r="B8" t="str">
        <f>"E1462-1"</f>
        <v>E1462-1</v>
      </c>
      <c r="C8" t="str">
        <f t="shared" si="1"/>
        <v>STRADA VIC.LE DI CUVALOP  1-</v>
      </c>
      <c r="D8" t="str">
        <f>"U"</f>
        <v>U</v>
      </c>
      <c r="E8">
        <v>44</v>
      </c>
      <c r="F8" t="str">
        <f t="shared" si="2"/>
        <v>255</v>
      </c>
      <c r="G8" t="str">
        <f>"7"</f>
        <v>7</v>
      </c>
    </row>
    <row r="9" spans="1:7">
      <c r="A9" t="str">
        <f t="shared" si="0"/>
        <v>MORGEX</v>
      </c>
      <c r="B9" t="str">
        <f>"E1463-1"</f>
        <v>E1463-1</v>
      </c>
      <c r="C9" t="str">
        <f t="shared" si="1"/>
        <v>STRADA VIC.LE DI CUVALOP  1-</v>
      </c>
      <c r="D9" t="str">
        <f>"U"</f>
        <v>U</v>
      </c>
      <c r="E9">
        <v>44</v>
      </c>
      <c r="F9" t="str">
        <f t="shared" si="2"/>
        <v>255</v>
      </c>
      <c r="G9" t="str">
        <f>"7"</f>
        <v>7</v>
      </c>
    </row>
    <row r="10" spans="1:7">
      <c r="A10" t="str">
        <f t="shared" si="0"/>
        <v>MORGEX</v>
      </c>
      <c r="B10" t="str">
        <f>"E1540-1"</f>
        <v>E1540-1</v>
      </c>
      <c r="C10" t="str">
        <f t="shared" si="1"/>
        <v>STRADA VIC.LE DI CUVALOP  1-</v>
      </c>
      <c r="D10" t="str">
        <f>"999"</f>
        <v>999</v>
      </c>
      <c r="E10">
        <v>44</v>
      </c>
      <c r="F10" t="str">
        <f>"272"</f>
        <v>272</v>
      </c>
      <c r="G10" t="str">
        <f>"0000"</f>
        <v>0000</v>
      </c>
    </row>
    <row r="12" spans="1:7">
      <c r="A12" t="str">
        <f>"BARGAGLI"</f>
        <v>BARGAGLI</v>
      </c>
      <c r="B12" t="str">
        <f>"E1800-1"</f>
        <v>E1800-1</v>
      </c>
      <c r="C12" t="str">
        <f>"VIA MARTINI  2-"</f>
        <v>VIA MARTINI  2-</v>
      </c>
      <c r="D12" t="str">
        <f t="shared" ref="D12:D44" si="3">"U"</f>
        <v>U</v>
      </c>
      <c r="E12">
        <v>3</v>
      </c>
      <c r="F12" t="str">
        <f>"310"</f>
        <v>310</v>
      </c>
      <c r="G12" t="str">
        <f>"0000"</f>
        <v>0000</v>
      </c>
    </row>
    <row r="14" spans="1:7">
      <c r="A14" t="str">
        <f t="shared" ref="A14:A45" si="4">"BUSALLA"</f>
        <v>BUSALLA</v>
      </c>
      <c r="B14" t="str">
        <f>"E1752-1"</f>
        <v>E1752-1</v>
      </c>
      <c r="C14" t="str">
        <f t="shared" ref="C14:C52" si="5">"VIA PRIVATA DE FERRARI  24-"</f>
        <v>VIA PRIVATA DE FERRARI  24-</v>
      </c>
      <c r="D14" t="str">
        <f t="shared" si="3"/>
        <v>U</v>
      </c>
      <c r="E14">
        <v>19</v>
      </c>
      <c r="F14" t="str">
        <f>"166"</f>
        <v>166</v>
      </c>
      <c r="G14" t="str">
        <f>"0000"</f>
        <v>0000</v>
      </c>
    </row>
    <row r="15" spans="1:7">
      <c r="A15" t="str">
        <f t="shared" si="4"/>
        <v>BUSALLA</v>
      </c>
      <c r="B15" t="str">
        <f>"E1752-1"</f>
        <v>E1752-1</v>
      </c>
      <c r="C15" t="str">
        <f t="shared" si="5"/>
        <v>VIA PRIVATA DE FERRARI  24-</v>
      </c>
      <c r="D15" t="str">
        <f t="shared" si="3"/>
        <v>U</v>
      </c>
      <c r="E15">
        <v>19</v>
      </c>
      <c r="F15" t="str">
        <f>"634"</f>
        <v>634</v>
      </c>
      <c r="G15" t="str">
        <f>"1"</f>
        <v>1</v>
      </c>
    </row>
    <row r="16" spans="1:7">
      <c r="A16" t="str">
        <f t="shared" si="4"/>
        <v>BUSALLA</v>
      </c>
      <c r="B16" t="str">
        <f>"E1752-2"</f>
        <v>E1752-2</v>
      </c>
      <c r="C16" t="str">
        <f t="shared" si="5"/>
        <v>VIA PRIVATA DE FERRARI  24-</v>
      </c>
      <c r="D16" t="str">
        <f t="shared" si="3"/>
        <v>U</v>
      </c>
      <c r="E16">
        <v>19</v>
      </c>
      <c r="F16" t="str">
        <f>"287"</f>
        <v>287</v>
      </c>
      <c r="G16" t="str">
        <f>"0000"</f>
        <v>0000</v>
      </c>
    </row>
    <row r="17" spans="1:7">
      <c r="A17" t="str">
        <f t="shared" si="4"/>
        <v>BUSALLA</v>
      </c>
      <c r="B17" t="str">
        <f>"E1752-2"</f>
        <v>E1752-2</v>
      </c>
      <c r="C17" t="str">
        <f t="shared" si="5"/>
        <v>VIA PRIVATA DE FERRARI  24-</v>
      </c>
      <c r="D17" t="str">
        <f t="shared" si="3"/>
        <v>U</v>
      </c>
      <c r="E17">
        <v>19</v>
      </c>
      <c r="F17" t="str">
        <f>"634"</f>
        <v>634</v>
      </c>
      <c r="G17" t="str">
        <f>"2"</f>
        <v>2</v>
      </c>
    </row>
    <row r="18" spans="1:7">
      <c r="A18" t="str">
        <f t="shared" si="4"/>
        <v>BUSALLA</v>
      </c>
      <c r="B18" t="str">
        <f>"E1752-3"</f>
        <v>E1752-3</v>
      </c>
      <c r="C18" t="str">
        <f t="shared" si="5"/>
        <v>VIA PRIVATA DE FERRARI  24-</v>
      </c>
      <c r="D18" t="str">
        <f t="shared" si="3"/>
        <v>U</v>
      </c>
      <c r="E18">
        <v>19</v>
      </c>
      <c r="F18" t="str">
        <f>"291"</f>
        <v>291</v>
      </c>
      <c r="G18" t="str">
        <f>"0000"</f>
        <v>0000</v>
      </c>
    </row>
    <row r="19" spans="1:7">
      <c r="A19" t="str">
        <f t="shared" si="4"/>
        <v>BUSALLA</v>
      </c>
      <c r="B19" t="str">
        <f>"E1752-3"</f>
        <v>E1752-3</v>
      </c>
      <c r="C19" t="str">
        <f t="shared" si="5"/>
        <v>VIA PRIVATA DE FERRARI  24-</v>
      </c>
      <c r="D19" t="str">
        <f t="shared" si="3"/>
        <v>U</v>
      </c>
      <c r="E19">
        <v>19</v>
      </c>
      <c r="F19" t="str">
        <f>"634"</f>
        <v>634</v>
      </c>
      <c r="G19" t="str">
        <f>"3"</f>
        <v>3</v>
      </c>
    </row>
    <row r="20" spans="1:7">
      <c r="A20" t="str">
        <f t="shared" si="4"/>
        <v>BUSALLA</v>
      </c>
      <c r="B20" t="str">
        <f>"E1752-4"</f>
        <v>E1752-4</v>
      </c>
      <c r="C20" t="str">
        <f t="shared" si="5"/>
        <v>VIA PRIVATA DE FERRARI  24-</v>
      </c>
      <c r="D20" t="str">
        <f t="shared" si="3"/>
        <v>U</v>
      </c>
      <c r="E20">
        <v>19</v>
      </c>
      <c r="F20" t="str">
        <f>"292"</f>
        <v>292</v>
      </c>
      <c r="G20" t="str">
        <f>"0000"</f>
        <v>0000</v>
      </c>
    </row>
    <row r="21" spans="1:7">
      <c r="A21" t="str">
        <f t="shared" si="4"/>
        <v>BUSALLA</v>
      </c>
      <c r="B21" t="str">
        <f>"E1752-4"</f>
        <v>E1752-4</v>
      </c>
      <c r="C21" t="str">
        <f t="shared" si="5"/>
        <v>VIA PRIVATA DE FERRARI  24-</v>
      </c>
      <c r="D21" t="str">
        <f t="shared" si="3"/>
        <v>U</v>
      </c>
      <c r="E21">
        <v>19</v>
      </c>
      <c r="F21" t="str">
        <f t="shared" ref="F21:F52" si="6">"634"</f>
        <v>634</v>
      </c>
      <c r="G21" t="str">
        <f>"4"</f>
        <v>4</v>
      </c>
    </row>
    <row r="22" spans="1:7">
      <c r="A22" t="str">
        <f t="shared" si="4"/>
        <v>BUSALLA</v>
      </c>
      <c r="B22" t="str">
        <f>"E1752-5"</f>
        <v>E1752-5</v>
      </c>
      <c r="C22" t="str">
        <f t="shared" si="5"/>
        <v>VIA PRIVATA DE FERRARI  24-</v>
      </c>
      <c r="D22" t="str">
        <f t="shared" si="3"/>
        <v>U</v>
      </c>
      <c r="E22">
        <v>19</v>
      </c>
      <c r="F22" t="str">
        <f t="shared" si="6"/>
        <v>634</v>
      </c>
      <c r="G22" t="str">
        <f>"5"</f>
        <v>5</v>
      </c>
    </row>
    <row r="23" spans="1:7">
      <c r="A23" t="str">
        <f t="shared" si="4"/>
        <v>BUSALLA</v>
      </c>
      <c r="B23" t="str">
        <f>"E1752-6"</f>
        <v>E1752-6</v>
      </c>
      <c r="C23" t="str">
        <f t="shared" si="5"/>
        <v>VIA PRIVATA DE FERRARI  24-</v>
      </c>
      <c r="D23" t="str">
        <f t="shared" si="3"/>
        <v>U</v>
      </c>
      <c r="E23">
        <v>19</v>
      </c>
      <c r="F23" t="str">
        <f t="shared" si="6"/>
        <v>634</v>
      </c>
      <c r="G23" t="str">
        <f>"6"</f>
        <v>6</v>
      </c>
    </row>
    <row r="24" spans="1:7">
      <c r="A24" t="str">
        <f t="shared" si="4"/>
        <v>BUSALLA</v>
      </c>
      <c r="B24" t="str">
        <f>"E1752-7"</f>
        <v>E1752-7</v>
      </c>
      <c r="C24" t="str">
        <f t="shared" si="5"/>
        <v>VIA PRIVATA DE FERRARI  24-</v>
      </c>
      <c r="D24" t="str">
        <f t="shared" si="3"/>
        <v>U</v>
      </c>
      <c r="E24">
        <v>19</v>
      </c>
      <c r="F24" t="str">
        <f t="shared" si="6"/>
        <v>634</v>
      </c>
      <c r="G24" t="str">
        <f>"7"</f>
        <v>7</v>
      </c>
    </row>
    <row r="25" spans="1:7">
      <c r="A25" t="str">
        <f t="shared" si="4"/>
        <v>BUSALLA</v>
      </c>
      <c r="B25" t="str">
        <f>"E1752-8"</f>
        <v>E1752-8</v>
      </c>
      <c r="C25" t="str">
        <f t="shared" si="5"/>
        <v>VIA PRIVATA DE FERRARI  24-</v>
      </c>
      <c r="D25" t="str">
        <f t="shared" si="3"/>
        <v>U</v>
      </c>
      <c r="E25">
        <v>19</v>
      </c>
      <c r="F25" t="str">
        <f t="shared" si="6"/>
        <v>634</v>
      </c>
      <c r="G25" t="str">
        <f>"8"</f>
        <v>8</v>
      </c>
    </row>
    <row r="26" spans="1:7">
      <c r="A26" t="str">
        <f t="shared" si="4"/>
        <v>BUSALLA</v>
      </c>
      <c r="B26" t="str">
        <f>"E1752-9"</f>
        <v>E1752-9</v>
      </c>
      <c r="C26" t="str">
        <f t="shared" si="5"/>
        <v>VIA PRIVATA DE FERRARI  24-</v>
      </c>
      <c r="D26" t="str">
        <f t="shared" si="3"/>
        <v>U</v>
      </c>
      <c r="E26">
        <v>19</v>
      </c>
      <c r="F26" t="str">
        <f t="shared" si="6"/>
        <v>634</v>
      </c>
      <c r="G26" t="str">
        <f>"9"</f>
        <v>9</v>
      </c>
    </row>
    <row r="27" spans="1:7">
      <c r="A27" t="str">
        <f t="shared" si="4"/>
        <v>BUSALLA</v>
      </c>
      <c r="B27" t="str">
        <f>"E1752-10"</f>
        <v>E1752-10</v>
      </c>
      <c r="C27" t="str">
        <f t="shared" si="5"/>
        <v>VIA PRIVATA DE FERRARI  24-</v>
      </c>
      <c r="D27" t="str">
        <f t="shared" si="3"/>
        <v>U</v>
      </c>
      <c r="E27">
        <v>19</v>
      </c>
      <c r="F27" t="str">
        <f t="shared" si="6"/>
        <v>634</v>
      </c>
      <c r="G27" t="str">
        <f>"10"</f>
        <v>10</v>
      </c>
    </row>
    <row r="28" spans="1:7">
      <c r="A28" t="str">
        <f t="shared" si="4"/>
        <v>BUSALLA</v>
      </c>
      <c r="B28" t="str">
        <f>"E1752-11"</f>
        <v>E1752-11</v>
      </c>
      <c r="C28" t="str">
        <f t="shared" si="5"/>
        <v>VIA PRIVATA DE FERRARI  24-</v>
      </c>
      <c r="D28" t="str">
        <f t="shared" si="3"/>
        <v>U</v>
      </c>
      <c r="E28">
        <v>19</v>
      </c>
      <c r="F28" t="str">
        <f t="shared" si="6"/>
        <v>634</v>
      </c>
      <c r="G28" t="str">
        <f>"11"</f>
        <v>11</v>
      </c>
    </row>
    <row r="29" spans="1:7">
      <c r="A29" t="str">
        <f t="shared" si="4"/>
        <v>BUSALLA</v>
      </c>
      <c r="B29" t="str">
        <f>"E1752-12"</f>
        <v>E1752-12</v>
      </c>
      <c r="C29" t="str">
        <f t="shared" si="5"/>
        <v>VIA PRIVATA DE FERRARI  24-</v>
      </c>
      <c r="D29" t="str">
        <f t="shared" si="3"/>
        <v>U</v>
      </c>
      <c r="E29">
        <v>19</v>
      </c>
      <c r="F29" t="str">
        <f t="shared" si="6"/>
        <v>634</v>
      </c>
      <c r="G29" t="str">
        <f>"12"</f>
        <v>12</v>
      </c>
    </row>
    <row r="30" spans="1:7">
      <c r="A30" t="str">
        <f t="shared" si="4"/>
        <v>BUSALLA</v>
      </c>
      <c r="B30" t="str">
        <f>"E1752-13"</f>
        <v>E1752-13</v>
      </c>
      <c r="C30" t="str">
        <f t="shared" si="5"/>
        <v>VIA PRIVATA DE FERRARI  24-</v>
      </c>
      <c r="D30" t="str">
        <f t="shared" si="3"/>
        <v>U</v>
      </c>
      <c r="E30">
        <v>19</v>
      </c>
      <c r="F30" t="str">
        <f t="shared" si="6"/>
        <v>634</v>
      </c>
      <c r="G30" t="str">
        <f>"13"</f>
        <v>13</v>
      </c>
    </row>
    <row r="31" spans="1:7">
      <c r="A31" t="str">
        <f t="shared" si="4"/>
        <v>BUSALLA</v>
      </c>
      <c r="B31" t="str">
        <f>"E1752-14"</f>
        <v>E1752-14</v>
      </c>
      <c r="C31" t="str">
        <f t="shared" si="5"/>
        <v>VIA PRIVATA DE FERRARI  24-</v>
      </c>
      <c r="D31" t="str">
        <f t="shared" si="3"/>
        <v>U</v>
      </c>
      <c r="E31">
        <v>19</v>
      </c>
      <c r="F31" t="str">
        <f t="shared" si="6"/>
        <v>634</v>
      </c>
      <c r="G31" t="str">
        <f>"14"</f>
        <v>14</v>
      </c>
    </row>
    <row r="32" spans="1:7">
      <c r="A32" t="str">
        <f t="shared" si="4"/>
        <v>BUSALLA</v>
      </c>
      <c r="B32" t="str">
        <f>"E1752-15"</f>
        <v>E1752-15</v>
      </c>
      <c r="C32" t="str">
        <f t="shared" si="5"/>
        <v>VIA PRIVATA DE FERRARI  24-</v>
      </c>
      <c r="D32" t="str">
        <f t="shared" si="3"/>
        <v>U</v>
      </c>
      <c r="E32">
        <v>19</v>
      </c>
      <c r="F32" t="str">
        <f t="shared" si="6"/>
        <v>634</v>
      </c>
      <c r="G32" t="str">
        <f>"15"</f>
        <v>15</v>
      </c>
    </row>
    <row r="33" spans="1:7">
      <c r="A33" t="str">
        <f t="shared" si="4"/>
        <v>BUSALLA</v>
      </c>
      <c r="B33" t="str">
        <f>"E1752-16"</f>
        <v>E1752-16</v>
      </c>
      <c r="C33" t="str">
        <f t="shared" si="5"/>
        <v>VIA PRIVATA DE FERRARI  24-</v>
      </c>
      <c r="D33" t="str">
        <f t="shared" si="3"/>
        <v>U</v>
      </c>
      <c r="E33">
        <v>19</v>
      </c>
      <c r="F33" t="str">
        <f t="shared" si="6"/>
        <v>634</v>
      </c>
      <c r="G33" t="str">
        <f>"16"</f>
        <v>16</v>
      </c>
    </row>
    <row r="34" spans="1:7">
      <c r="A34" t="str">
        <f t="shared" si="4"/>
        <v>BUSALLA</v>
      </c>
      <c r="B34" t="str">
        <f>"E1752-17"</f>
        <v>E1752-17</v>
      </c>
      <c r="C34" t="str">
        <f t="shared" si="5"/>
        <v>VIA PRIVATA DE FERRARI  24-</v>
      </c>
      <c r="D34" t="str">
        <f t="shared" si="3"/>
        <v>U</v>
      </c>
      <c r="E34">
        <v>19</v>
      </c>
      <c r="F34" t="str">
        <f t="shared" si="6"/>
        <v>634</v>
      </c>
      <c r="G34" t="str">
        <f>"17"</f>
        <v>17</v>
      </c>
    </row>
    <row r="35" spans="1:7">
      <c r="A35" t="str">
        <f t="shared" si="4"/>
        <v>BUSALLA</v>
      </c>
      <c r="B35" t="str">
        <f>"E1752-18"</f>
        <v>E1752-18</v>
      </c>
      <c r="C35" t="str">
        <f t="shared" si="5"/>
        <v>VIA PRIVATA DE FERRARI  24-</v>
      </c>
      <c r="D35" t="str">
        <f t="shared" si="3"/>
        <v>U</v>
      </c>
      <c r="E35">
        <v>19</v>
      </c>
      <c r="F35" t="str">
        <f t="shared" si="6"/>
        <v>634</v>
      </c>
      <c r="G35" t="str">
        <f>"18"</f>
        <v>18</v>
      </c>
    </row>
    <row r="36" spans="1:7">
      <c r="A36" t="str">
        <f t="shared" si="4"/>
        <v>BUSALLA</v>
      </c>
      <c r="B36" t="str">
        <f>"E1752-19"</f>
        <v>E1752-19</v>
      </c>
      <c r="C36" t="str">
        <f t="shared" si="5"/>
        <v>VIA PRIVATA DE FERRARI  24-</v>
      </c>
      <c r="D36" t="str">
        <f t="shared" si="3"/>
        <v>U</v>
      </c>
      <c r="E36">
        <v>19</v>
      </c>
      <c r="F36" t="str">
        <f t="shared" si="6"/>
        <v>634</v>
      </c>
      <c r="G36" t="str">
        <f>"19"</f>
        <v>19</v>
      </c>
    </row>
    <row r="37" spans="1:7">
      <c r="A37" t="str">
        <f t="shared" si="4"/>
        <v>BUSALLA</v>
      </c>
      <c r="B37" t="str">
        <f>"E1752-20"</f>
        <v>E1752-20</v>
      </c>
      <c r="C37" t="str">
        <f t="shared" si="5"/>
        <v>VIA PRIVATA DE FERRARI  24-</v>
      </c>
      <c r="D37" t="str">
        <f t="shared" si="3"/>
        <v>U</v>
      </c>
      <c r="E37">
        <v>19</v>
      </c>
      <c r="F37" t="str">
        <f t="shared" si="6"/>
        <v>634</v>
      </c>
      <c r="G37" t="str">
        <f>"20"</f>
        <v>20</v>
      </c>
    </row>
    <row r="38" spans="1:7">
      <c r="A38" t="str">
        <f t="shared" si="4"/>
        <v>BUSALLA</v>
      </c>
      <c r="B38" t="str">
        <f>"E1752-21"</f>
        <v>E1752-21</v>
      </c>
      <c r="C38" t="str">
        <f t="shared" si="5"/>
        <v>VIA PRIVATA DE FERRARI  24-</v>
      </c>
      <c r="D38" t="str">
        <f t="shared" si="3"/>
        <v>U</v>
      </c>
      <c r="E38">
        <v>19</v>
      </c>
      <c r="F38" t="str">
        <f t="shared" si="6"/>
        <v>634</v>
      </c>
      <c r="G38" t="str">
        <f>"21"</f>
        <v>21</v>
      </c>
    </row>
    <row r="39" spans="1:7">
      <c r="A39" t="str">
        <f t="shared" si="4"/>
        <v>BUSALLA</v>
      </c>
      <c r="B39" t="str">
        <f>"E1752-22"</f>
        <v>E1752-22</v>
      </c>
      <c r="C39" t="str">
        <f t="shared" si="5"/>
        <v>VIA PRIVATA DE FERRARI  24-</v>
      </c>
      <c r="D39" t="str">
        <f t="shared" si="3"/>
        <v>U</v>
      </c>
      <c r="E39">
        <v>19</v>
      </c>
      <c r="F39" t="str">
        <f t="shared" si="6"/>
        <v>634</v>
      </c>
      <c r="G39" t="str">
        <f>"22"</f>
        <v>22</v>
      </c>
    </row>
    <row r="40" spans="1:7">
      <c r="A40" t="str">
        <f t="shared" si="4"/>
        <v>BUSALLA</v>
      </c>
      <c r="B40" t="str">
        <f>"E1752-23"</f>
        <v>E1752-23</v>
      </c>
      <c r="C40" t="str">
        <f t="shared" si="5"/>
        <v>VIA PRIVATA DE FERRARI  24-</v>
      </c>
      <c r="D40" t="str">
        <f t="shared" si="3"/>
        <v>U</v>
      </c>
      <c r="E40">
        <v>19</v>
      </c>
      <c r="F40" t="str">
        <f t="shared" si="6"/>
        <v>634</v>
      </c>
      <c r="G40" t="str">
        <f>"23"</f>
        <v>23</v>
      </c>
    </row>
    <row r="41" spans="1:7">
      <c r="A41" t="str">
        <f t="shared" si="4"/>
        <v>BUSALLA</v>
      </c>
      <c r="B41" t="str">
        <f>"E1752-24"</f>
        <v>E1752-24</v>
      </c>
      <c r="C41" t="str">
        <f t="shared" si="5"/>
        <v>VIA PRIVATA DE FERRARI  24-</v>
      </c>
      <c r="D41" t="str">
        <f t="shared" si="3"/>
        <v>U</v>
      </c>
      <c r="E41">
        <v>19</v>
      </c>
      <c r="F41" t="str">
        <f t="shared" si="6"/>
        <v>634</v>
      </c>
      <c r="G41" t="str">
        <f>"24"</f>
        <v>24</v>
      </c>
    </row>
    <row r="42" spans="1:7">
      <c r="A42" t="str">
        <f t="shared" si="4"/>
        <v>BUSALLA</v>
      </c>
      <c r="B42" t="str">
        <f>"E1752-25"</f>
        <v>E1752-25</v>
      </c>
      <c r="C42" t="str">
        <f t="shared" si="5"/>
        <v>VIA PRIVATA DE FERRARI  24-</v>
      </c>
      <c r="D42" t="str">
        <f t="shared" si="3"/>
        <v>U</v>
      </c>
      <c r="E42">
        <v>19</v>
      </c>
      <c r="F42" t="str">
        <f t="shared" si="6"/>
        <v>634</v>
      </c>
      <c r="G42" t="str">
        <f>"25"</f>
        <v>25</v>
      </c>
    </row>
    <row r="43" spans="1:7">
      <c r="A43" t="str">
        <f t="shared" si="4"/>
        <v>BUSALLA</v>
      </c>
      <c r="B43" t="str">
        <f>"E1752-26"</f>
        <v>E1752-26</v>
      </c>
      <c r="C43" t="str">
        <f t="shared" si="5"/>
        <v>VIA PRIVATA DE FERRARI  24-</v>
      </c>
      <c r="D43" t="str">
        <f t="shared" si="3"/>
        <v>U</v>
      </c>
      <c r="E43">
        <v>19</v>
      </c>
      <c r="F43" t="str">
        <f t="shared" si="6"/>
        <v>634</v>
      </c>
      <c r="G43" t="str">
        <f>"26"</f>
        <v>26</v>
      </c>
    </row>
    <row r="44" spans="1:7">
      <c r="A44" t="str">
        <f t="shared" si="4"/>
        <v>BUSALLA</v>
      </c>
      <c r="B44" t="str">
        <f>"E1752-27"</f>
        <v>E1752-27</v>
      </c>
      <c r="C44" t="str">
        <f t="shared" si="5"/>
        <v>VIA PRIVATA DE FERRARI  24-</v>
      </c>
      <c r="D44" t="str">
        <f t="shared" si="3"/>
        <v>U</v>
      </c>
      <c r="E44">
        <v>19</v>
      </c>
      <c r="F44" t="str">
        <f t="shared" si="6"/>
        <v>634</v>
      </c>
      <c r="G44" t="str">
        <f>"27"</f>
        <v>27</v>
      </c>
    </row>
    <row r="45" spans="1:7">
      <c r="A45" t="str">
        <f t="shared" si="4"/>
        <v>BUSALLA</v>
      </c>
      <c r="B45" t="str">
        <f>"E1752-28"</f>
        <v>E1752-28</v>
      </c>
      <c r="C45" t="str">
        <f t="shared" si="5"/>
        <v>VIA PRIVATA DE FERRARI  24-</v>
      </c>
      <c r="D45" t="str">
        <f t="shared" ref="D45:D77" si="7">"U"</f>
        <v>U</v>
      </c>
      <c r="E45">
        <v>19</v>
      </c>
      <c r="F45" t="str">
        <f t="shared" si="6"/>
        <v>634</v>
      </c>
      <c r="G45" t="str">
        <f>"28"</f>
        <v>28</v>
      </c>
    </row>
    <row r="46" spans="1:7">
      <c r="A46" t="str">
        <f t="shared" ref="A46:A74" si="8">"BUSALLA"</f>
        <v>BUSALLA</v>
      </c>
      <c r="B46" t="str">
        <f>"E1752-29"</f>
        <v>E1752-29</v>
      </c>
      <c r="C46" t="str">
        <f t="shared" si="5"/>
        <v>VIA PRIVATA DE FERRARI  24-</v>
      </c>
      <c r="D46" t="str">
        <f t="shared" si="7"/>
        <v>U</v>
      </c>
      <c r="E46">
        <v>19</v>
      </c>
      <c r="F46" t="str">
        <f t="shared" si="6"/>
        <v>634</v>
      </c>
      <c r="G46" t="str">
        <f>"29"</f>
        <v>29</v>
      </c>
    </row>
    <row r="47" spans="1:7">
      <c r="A47" t="str">
        <f t="shared" si="8"/>
        <v>BUSALLA</v>
      </c>
      <c r="B47" t="str">
        <f>"E1752-30"</f>
        <v>E1752-30</v>
      </c>
      <c r="C47" t="str">
        <f t="shared" si="5"/>
        <v>VIA PRIVATA DE FERRARI  24-</v>
      </c>
      <c r="D47" t="str">
        <f t="shared" si="7"/>
        <v>U</v>
      </c>
      <c r="E47">
        <v>19</v>
      </c>
      <c r="F47" t="str">
        <f t="shared" si="6"/>
        <v>634</v>
      </c>
      <c r="G47" t="str">
        <f>"30"</f>
        <v>30</v>
      </c>
    </row>
    <row r="48" spans="1:7">
      <c r="A48" t="str">
        <f t="shared" si="8"/>
        <v>BUSALLA</v>
      </c>
      <c r="B48" t="str">
        <f>"E1752-31"</f>
        <v>E1752-31</v>
      </c>
      <c r="C48" t="str">
        <f t="shared" si="5"/>
        <v>VIA PRIVATA DE FERRARI  24-</v>
      </c>
      <c r="D48" t="str">
        <f t="shared" si="7"/>
        <v>U</v>
      </c>
      <c r="E48">
        <v>19</v>
      </c>
      <c r="F48" t="str">
        <f t="shared" si="6"/>
        <v>634</v>
      </c>
      <c r="G48" t="str">
        <f>"31"</f>
        <v>31</v>
      </c>
    </row>
    <row r="49" spans="1:7">
      <c r="A49" t="str">
        <f t="shared" si="8"/>
        <v>BUSALLA</v>
      </c>
      <c r="B49" t="str">
        <f>"E1752-32"</f>
        <v>E1752-32</v>
      </c>
      <c r="C49" t="str">
        <f t="shared" si="5"/>
        <v>VIA PRIVATA DE FERRARI  24-</v>
      </c>
      <c r="D49" t="str">
        <f t="shared" si="7"/>
        <v>U</v>
      </c>
      <c r="E49">
        <v>19</v>
      </c>
      <c r="F49" t="str">
        <f t="shared" si="6"/>
        <v>634</v>
      </c>
      <c r="G49" t="str">
        <f>"32"</f>
        <v>32</v>
      </c>
    </row>
    <row r="50" spans="1:7">
      <c r="A50" t="str">
        <f t="shared" si="8"/>
        <v>BUSALLA</v>
      </c>
      <c r="B50" t="str">
        <f>"E1752-33"</f>
        <v>E1752-33</v>
      </c>
      <c r="C50" t="str">
        <f t="shared" si="5"/>
        <v>VIA PRIVATA DE FERRARI  24-</v>
      </c>
      <c r="D50" t="str">
        <f t="shared" si="7"/>
        <v>U</v>
      </c>
      <c r="E50">
        <v>19</v>
      </c>
      <c r="F50" t="str">
        <f t="shared" si="6"/>
        <v>634</v>
      </c>
      <c r="G50" t="str">
        <f>"33"</f>
        <v>33</v>
      </c>
    </row>
    <row r="51" spans="1:7">
      <c r="A51" t="str">
        <f t="shared" si="8"/>
        <v>BUSALLA</v>
      </c>
      <c r="B51" t="str">
        <f>"E1752-34"</f>
        <v>E1752-34</v>
      </c>
      <c r="C51" t="str">
        <f t="shared" si="5"/>
        <v>VIA PRIVATA DE FERRARI  24-</v>
      </c>
      <c r="D51" t="str">
        <f t="shared" si="7"/>
        <v>U</v>
      </c>
      <c r="E51">
        <v>19</v>
      </c>
      <c r="F51" t="str">
        <f t="shared" si="6"/>
        <v>634</v>
      </c>
      <c r="G51" t="str">
        <f>"34"</f>
        <v>34</v>
      </c>
    </row>
    <row r="52" spans="1:7">
      <c r="A52" t="str">
        <f t="shared" si="8"/>
        <v>BUSALLA</v>
      </c>
      <c r="B52" t="str">
        <f>"E1752-35"</f>
        <v>E1752-35</v>
      </c>
      <c r="C52" t="str">
        <f t="shared" si="5"/>
        <v>VIA PRIVATA DE FERRARI  24-</v>
      </c>
      <c r="D52" t="str">
        <f t="shared" si="7"/>
        <v>U</v>
      </c>
      <c r="E52">
        <v>19</v>
      </c>
      <c r="F52" t="str">
        <f t="shared" si="6"/>
        <v>634</v>
      </c>
      <c r="G52" t="str">
        <f>"35"</f>
        <v>35</v>
      </c>
    </row>
    <row r="53" spans="1:7">
      <c r="A53" t="str">
        <f t="shared" si="8"/>
        <v>BUSALLA</v>
      </c>
      <c r="B53" t="str">
        <f>"E1754-1"</f>
        <v>E1754-1</v>
      </c>
      <c r="C53" t="str">
        <f t="shared" ref="C53:C74" si="9">"VIA MACCIO'  18H-"</f>
        <v>VIA MACCIO'  18H-</v>
      </c>
      <c r="D53" t="str">
        <f t="shared" si="7"/>
        <v>U</v>
      </c>
      <c r="E53">
        <v>21</v>
      </c>
      <c r="F53" t="str">
        <f t="shared" ref="F53:F74" si="10">"290"</f>
        <v>290</v>
      </c>
      <c r="G53" t="str">
        <f>"1"</f>
        <v>1</v>
      </c>
    </row>
    <row r="54" spans="1:7">
      <c r="A54" t="str">
        <f t="shared" si="8"/>
        <v>BUSALLA</v>
      </c>
      <c r="B54" t="str">
        <f>"E1754-3"</f>
        <v>E1754-3</v>
      </c>
      <c r="C54" t="str">
        <f t="shared" si="9"/>
        <v>VIA MACCIO'  18H-</v>
      </c>
      <c r="D54" t="str">
        <f t="shared" si="7"/>
        <v>U</v>
      </c>
      <c r="E54">
        <v>21</v>
      </c>
      <c r="F54" t="str">
        <f t="shared" si="10"/>
        <v>290</v>
      </c>
      <c r="G54" t="str">
        <f>"3"</f>
        <v>3</v>
      </c>
    </row>
    <row r="55" spans="1:7">
      <c r="A55" t="str">
        <f t="shared" si="8"/>
        <v>BUSALLA</v>
      </c>
      <c r="B55" t="str">
        <f>"E1754-4"</f>
        <v>E1754-4</v>
      </c>
      <c r="C55" t="str">
        <f t="shared" si="9"/>
        <v>VIA MACCIO'  18H-</v>
      </c>
      <c r="D55" t="str">
        <f t="shared" si="7"/>
        <v>U</v>
      </c>
      <c r="E55">
        <v>21</v>
      </c>
      <c r="F55" t="str">
        <f t="shared" si="10"/>
        <v>290</v>
      </c>
      <c r="G55" t="str">
        <f>"4"</f>
        <v>4</v>
      </c>
    </row>
    <row r="56" spans="1:7">
      <c r="A56" t="str">
        <f t="shared" si="8"/>
        <v>BUSALLA</v>
      </c>
      <c r="B56" t="str">
        <f>"E1754-5"</f>
        <v>E1754-5</v>
      </c>
      <c r="C56" t="str">
        <f t="shared" si="9"/>
        <v>VIA MACCIO'  18H-</v>
      </c>
      <c r="D56" t="str">
        <f t="shared" si="7"/>
        <v>U</v>
      </c>
      <c r="E56">
        <v>21</v>
      </c>
      <c r="F56" t="str">
        <f t="shared" si="10"/>
        <v>290</v>
      </c>
      <c r="G56" t="str">
        <f>"5"</f>
        <v>5</v>
      </c>
    </row>
    <row r="57" spans="1:7">
      <c r="A57" t="str">
        <f t="shared" si="8"/>
        <v>BUSALLA</v>
      </c>
      <c r="B57" t="str">
        <f>"E1754-6"</f>
        <v>E1754-6</v>
      </c>
      <c r="C57" t="str">
        <f t="shared" si="9"/>
        <v>VIA MACCIO'  18H-</v>
      </c>
      <c r="D57" t="str">
        <f t="shared" si="7"/>
        <v>U</v>
      </c>
      <c r="E57">
        <v>21</v>
      </c>
      <c r="F57" t="str">
        <f t="shared" si="10"/>
        <v>290</v>
      </c>
      <c r="G57" t="str">
        <f>"6"</f>
        <v>6</v>
      </c>
    </row>
    <row r="58" spans="1:7">
      <c r="A58" t="str">
        <f t="shared" si="8"/>
        <v>BUSALLA</v>
      </c>
      <c r="B58" t="str">
        <f>"E1754-10"</f>
        <v>E1754-10</v>
      </c>
      <c r="C58" t="str">
        <f t="shared" si="9"/>
        <v>VIA MACCIO'  18H-</v>
      </c>
      <c r="D58" t="str">
        <f t="shared" si="7"/>
        <v>U</v>
      </c>
      <c r="E58">
        <v>21</v>
      </c>
      <c r="F58" t="str">
        <f t="shared" si="10"/>
        <v>290</v>
      </c>
      <c r="G58" t="str">
        <f>"10"</f>
        <v>10</v>
      </c>
    </row>
    <row r="59" spans="1:7">
      <c r="A59" t="str">
        <f t="shared" si="8"/>
        <v>BUSALLA</v>
      </c>
      <c r="B59" t="str">
        <f>"E1754-11"</f>
        <v>E1754-11</v>
      </c>
      <c r="C59" t="str">
        <f t="shared" si="9"/>
        <v>VIA MACCIO'  18H-</v>
      </c>
      <c r="D59" t="str">
        <f t="shared" si="7"/>
        <v>U</v>
      </c>
      <c r="E59">
        <v>21</v>
      </c>
      <c r="F59" t="str">
        <f t="shared" si="10"/>
        <v>290</v>
      </c>
      <c r="G59" t="str">
        <f>"11"</f>
        <v>11</v>
      </c>
    </row>
    <row r="60" spans="1:7">
      <c r="A60" t="str">
        <f t="shared" si="8"/>
        <v>BUSALLA</v>
      </c>
      <c r="B60" t="str">
        <f>"E1754-12"</f>
        <v>E1754-12</v>
      </c>
      <c r="C60" t="str">
        <f t="shared" si="9"/>
        <v>VIA MACCIO'  18H-</v>
      </c>
      <c r="D60" t="str">
        <f t="shared" si="7"/>
        <v>U</v>
      </c>
      <c r="E60">
        <v>21</v>
      </c>
      <c r="F60" t="str">
        <f t="shared" si="10"/>
        <v>290</v>
      </c>
      <c r="G60" t="str">
        <f>"12"</f>
        <v>12</v>
      </c>
    </row>
    <row r="61" spans="1:7">
      <c r="A61" t="str">
        <f t="shared" si="8"/>
        <v>BUSALLA</v>
      </c>
      <c r="B61" t="str">
        <f>"E1754-13"</f>
        <v>E1754-13</v>
      </c>
      <c r="C61" t="str">
        <f t="shared" si="9"/>
        <v>VIA MACCIO'  18H-</v>
      </c>
      <c r="D61" t="str">
        <f t="shared" si="7"/>
        <v>U</v>
      </c>
      <c r="E61">
        <v>21</v>
      </c>
      <c r="F61" t="str">
        <f t="shared" si="10"/>
        <v>290</v>
      </c>
      <c r="G61" t="str">
        <f>"13"</f>
        <v>13</v>
      </c>
    </row>
    <row r="62" spans="1:7">
      <c r="A62" t="str">
        <f t="shared" si="8"/>
        <v>BUSALLA</v>
      </c>
      <c r="B62" t="str">
        <f>"E1754-15"</f>
        <v>E1754-15</v>
      </c>
      <c r="C62" t="str">
        <f t="shared" si="9"/>
        <v>VIA MACCIO'  18H-</v>
      </c>
      <c r="D62" t="str">
        <f t="shared" si="7"/>
        <v>U</v>
      </c>
      <c r="E62">
        <v>21</v>
      </c>
      <c r="F62" t="str">
        <f t="shared" si="10"/>
        <v>290</v>
      </c>
      <c r="G62" t="str">
        <f>"15"</f>
        <v>15</v>
      </c>
    </row>
    <row r="63" spans="1:7">
      <c r="A63" t="str">
        <f t="shared" si="8"/>
        <v>BUSALLA</v>
      </c>
      <c r="B63" t="str">
        <f>"E1754-16"</f>
        <v>E1754-16</v>
      </c>
      <c r="C63" t="str">
        <f t="shared" si="9"/>
        <v>VIA MACCIO'  18H-</v>
      </c>
      <c r="D63" t="str">
        <f t="shared" si="7"/>
        <v>U</v>
      </c>
      <c r="E63">
        <v>21</v>
      </c>
      <c r="F63" t="str">
        <f t="shared" si="10"/>
        <v>290</v>
      </c>
      <c r="G63" t="str">
        <f>"16"</f>
        <v>16</v>
      </c>
    </row>
    <row r="64" spans="1:7">
      <c r="A64" t="str">
        <f t="shared" si="8"/>
        <v>BUSALLA</v>
      </c>
      <c r="B64" t="str">
        <f>"E1754-18"</f>
        <v>E1754-18</v>
      </c>
      <c r="C64" t="str">
        <f t="shared" si="9"/>
        <v>VIA MACCIO'  18H-</v>
      </c>
      <c r="D64" t="str">
        <f t="shared" si="7"/>
        <v>U</v>
      </c>
      <c r="E64">
        <v>21</v>
      </c>
      <c r="F64" t="str">
        <f t="shared" si="10"/>
        <v>290</v>
      </c>
      <c r="G64" t="str">
        <f>"18"</f>
        <v>18</v>
      </c>
    </row>
    <row r="65" spans="1:7">
      <c r="A65" t="str">
        <f t="shared" si="8"/>
        <v>BUSALLA</v>
      </c>
      <c r="B65" t="str">
        <f>"E1754-19"</f>
        <v>E1754-19</v>
      </c>
      <c r="C65" t="str">
        <f t="shared" si="9"/>
        <v>VIA MACCIO'  18H-</v>
      </c>
      <c r="D65" t="str">
        <f t="shared" si="7"/>
        <v>U</v>
      </c>
      <c r="E65">
        <v>21</v>
      </c>
      <c r="F65" t="str">
        <f t="shared" si="10"/>
        <v>290</v>
      </c>
      <c r="G65" t="str">
        <f>"19"</f>
        <v>19</v>
      </c>
    </row>
    <row r="66" spans="1:7">
      <c r="A66" t="str">
        <f t="shared" si="8"/>
        <v>BUSALLA</v>
      </c>
      <c r="B66" t="str">
        <f>"E1754-20"</f>
        <v>E1754-20</v>
      </c>
      <c r="C66" t="str">
        <f t="shared" si="9"/>
        <v>VIA MACCIO'  18H-</v>
      </c>
      <c r="D66" t="str">
        <f t="shared" si="7"/>
        <v>U</v>
      </c>
      <c r="E66">
        <v>21</v>
      </c>
      <c r="F66" t="str">
        <f t="shared" si="10"/>
        <v>290</v>
      </c>
      <c r="G66" t="str">
        <f>"20"</f>
        <v>20</v>
      </c>
    </row>
    <row r="67" spans="1:7">
      <c r="A67" t="str">
        <f t="shared" si="8"/>
        <v>BUSALLA</v>
      </c>
      <c r="B67" t="str">
        <f>"E1754-21"</f>
        <v>E1754-21</v>
      </c>
      <c r="C67" t="str">
        <f t="shared" si="9"/>
        <v>VIA MACCIO'  18H-</v>
      </c>
      <c r="D67" t="str">
        <f t="shared" si="7"/>
        <v>U</v>
      </c>
      <c r="E67">
        <v>21</v>
      </c>
      <c r="F67" t="str">
        <f t="shared" si="10"/>
        <v>290</v>
      </c>
      <c r="G67" t="str">
        <f>"21"</f>
        <v>21</v>
      </c>
    </row>
    <row r="68" spans="1:7">
      <c r="A68" t="str">
        <f t="shared" si="8"/>
        <v>BUSALLA</v>
      </c>
      <c r="B68" t="str">
        <f>"E1754-22"</f>
        <v>E1754-22</v>
      </c>
      <c r="C68" t="str">
        <f t="shared" si="9"/>
        <v>VIA MACCIO'  18H-</v>
      </c>
      <c r="D68" t="str">
        <f t="shared" si="7"/>
        <v>U</v>
      </c>
      <c r="E68">
        <v>21</v>
      </c>
      <c r="F68" t="str">
        <f t="shared" si="10"/>
        <v>290</v>
      </c>
      <c r="G68" t="str">
        <f>"22"</f>
        <v>22</v>
      </c>
    </row>
    <row r="69" spans="1:7">
      <c r="A69" t="str">
        <f t="shared" si="8"/>
        <v>BUSALLA</v>
      </c>
      <c r="B69" t="str">
        <f>"E1754-26"</f>
        <v>E1754-26</v>
      </c>
      <c r="C69" t="str">
        <f t="shared" si="9"/>
        <v>VIA MACCIO'  18H-</v>
      </c>
      <c r="D69" t="str">
        <f t="shared" si="7"/>
        <v>U</v>
      </c>
      <c r="E69">
        <v>21</v>
      </c>
      <c r="F69" t="str">
        <f t="shared" si="10"/>
        <v>290</v>
      </c>
      <c r="G69" t="str">
        <f>"26"</f>
        <v>26</v>
      </c>
    </row>
    <row r="70" spans="1:7">
      <c r="A70" t="str">
        <f t="shared" si="8"/>
        <v>BUSALLA</v>
      </c>
      <c r="B70" t="str">
        <f>"E1754-28"</f>
        <v>E1754-28</v>
      </c>
      <c r="C70" t="str">
        <f t="shared" si="9"/>
        <v>VIA MACCIO'  18H-</v>
      </c>
      <c r="D70" t="str">
        <f t="shared" si="7"/>
        <v>U</v>
      </c>
      <c r="E70">
        <v>21</v>
      </c>
      <c r="F70" t="str">
        <f t="shared" si="10"/>
        <v>290</v>
      </c>
      <c r="G70" t="str">
        <f>"28"</f>
        <v>28</v>
      </c>
    </row>
    <row r="71" spans="1:7">
      <c r="A71" t="str">
        <f t="shared" si="8"/>
        <v>BUSALLA</v>
      </c>
      <c r="B71" t="str">
        <f>"E1754-29"</f>
        <v>E1754-29</v>
      </c>
      <c r="C71" t="str">
        <f t="shared" si="9"/>
        <v>VIA MACCIO'  18H-</v>
      </c>
      <c r="D71" t="str">
        <f t="shared" si="7"/>
        <v>U</v>
      </c>
      <c r="E71">
        <v>21</v>
      </c>
      <c r="F71" t="str">
        <f t="shared" si="10"/>
        <v>290</v>
      </c>
      <c r="G71" t="str">
        <f>"29"</f>
        <v>29</v>
      </c>
    </row>
    <row r="72" spans="1:7">
      <c r="A72" t="str">
        <f t="shared" si="8"/>
        <v>BUSALLA</v>
      </c>
      <c r="B72" t="str">
        <f>"E1754-30"</f>
        <v>E1754-30</v>
      </c>
      <c r="C72" t="str">
        <f t="shared" si="9"/>
        <v>VIA MACCIO'  18H-</v>
      </c>
      <c r="D72" t="str">
        <f t="shared" si="7"/>
        <v>U</v>
      </c>
      <c r="E72">
        <v>21</v>
      </c>
      <c r="F72" t="str">
        <f t="shared" si="10"/>
        <v>290</v>
      </c>
      <c r="G72" t="str">
        <f>"30"</f>
        <v>30</v>
      </c>
    </row>
    <row r="73" spans="1:7">
      <c r="A73" t="str">
        <f t="shared" si="8"/>
        <v>BUSALLA</v>
      </c>
      <c r="B73" t="str">
        <f>"E1754-31"</f>
        <v>E1754-31</v>
      </c>
      <c r="C73" t="str">
        <f t="shared" si="9"/>
        <v>VIA MACCIO'  18H-</v>
      </c>
      <c r="D73" t="str">
        <f t="shared" si="7"/>
        <v>U</v>
      </c>
      <c r="E73">
        <v>21</v>
      </c>
      <c r="F73" t="str">
        <f t="shared" si="10"/>
        <v>290</v>
      </c>
      <c r="G73" t="str">
        <f>"31"</f>
        <v>31</v>
      </c>
    </row>
    <row r="74" spans="1:7">
      <c r="A74" t="str">
        <f t="shared" si="8"/>
        <v>BUSALLA</v>
      </c>
      <c r="B74" t="str">
        <f>"E1754-32"</f>
        <v>E1754-32</v>
      </c>
      <c r="C74" t="str">
        <f t="shared" si="9"/>
        <v>VIA MACCIO'  18H-</v>
      </c>
      <c r="D74" t="str">
        <f t="shared" si="7"/>
        <v>U</v>
      </c>
      <c r="E74">
        <v>21</v>
      </c>
      <c r="F74" t="str">
        <f t="shared" si="10"/>
        <v>290</v>
      </c>
      <c r="G74" t="str">
        <f>"32"</f>
        <v>32</v>
      </c>
    </row>
    <row r="76" spans="1:7">
      <c r="A76" t="str">
        <f>"MELE"</f>
        <v>MELE</v>
      </c>
      <c r="B76" t="str">
        <f>"E1766-1"</f>
        <v>E1766-1</v>
      </c>
      <c r="C76" t="str">
        <f>"STR.PROV.MARTIRI TURCHINO  1-"</f>
        <v>STR.PROV.MARTIRI TURCHINO  1-</v>
      </c>
      <c r="D76" t="str">
        <f t="shared" si="7"/>
        <v>U</v>
      </c>
      <c r="E76">
        <v>1</v>
      </c>
      <c r="F76" t="str">
        <f>"100"</f>
        <v>100</v>
      </c>
      <c r="G76" t="str">
        <f>"0000"</f>
        <v>0000</v>
      </c>
    </row>
    <row r="77" spans="1:7">
      <c r="A77" t="str">
        <f>"MELE"</f>
        <v>MELE</v>
      </c>
      <c r="B77" t="str">
        <f>"E1766-1"</f>
        <v>E1766-1</v>
      </c>
      <c r="C77" t="str">
        <f>"STR.PROV.MARTIRI TURCHINO  1-"</f>
        <v>STR.PROV.MARTIRI TURCHINO  1-</v>
      </c>
      <c r="D77" t="str">
        <f t="shared" si="7"/>
        <v>U</v>
      </c>
      <c r="E77">
        <v>1</v>
      </c>
      <c r="F77" t="str">
        <f>"101"</f>
        <v>101</v>
      </c>
      <c r="G77" t="str">
        <f>"0000"</f>
        <v>0000</v>
      </c>
    </row>
    <row r="79" spans="1:7">
      <c r="A79" t="str">
        <f t="shared" ref="A79:A102" si="11">"MIGNANEGO"</f>
        <v>MIGNANEGO</v>
      </c>
      <c r="B79" t="str">
        <f>"E1764-1"</f>
        <v>E1764-1</v>
      </c>
      <c r="C79" t="str">
        <f t="shared" ref="C79:C88" si="12">"VIA TOLMINO  4-"</f>
        <v>VIA TOLMINO  4-</v>
      </c>
      <c r="D79" t="str">
        <f t="shared" ref="D79:D88" si="13">"U"</f>
        <v>U</v>
      </c>
      <c r="E79">
        <v>13</v>
      </c>
      <c r="F79" t="str">
        <f t="shared" ref="F79:F88" si="14">"571"</f>
        <v>571</v>
      </c>
      <c r="G79" t="str">
        <f>"14"</f>
        <v>14</v>
      </c>
    </row>
    <row r="80" spans="1:7">
      <c r="A80" t="str">
        <f t="shared" si="11"/>
        <v>MIGNANEGO</v>
      </c>
      <c r="B80" t="str">
        <f>"E1764-2"</f>
        <v>E1764-2</v>
      </c>
      <c r="C80" t="str">
        <f t="shared" si="12"/>
        <v>VIA TOLMINO  4-</v>
      </c>
      <c r="D80" t="str">
        <f t="shared" si="13"/>
        <v>U</v>
      </c>
      <c r="E80">
        <v>13</v>
      </c>
      <c r="F80" t="str">
        <f t="shared" si="14"/>
        <v>571</v>
      </c>
      <c r="G80" t="str">
        <f>"15"</f>
        <v>15</v>
      </c>
    </row>
    <row r="81" spans="1:7">
      <c r="A81" t="str">
        <f t="shared" si="11"/>
        <v>MIGNANEGO</v>
      </c>
      <c r="B81" t="str">
        <f>"E1764-3"</f>
        <v>E1764-3</v>
      </c>
      <c r="C81" t="str">
        <f t="shared" si="12"/>
        <v>VIA TOLMINO  4-</v>
      </c>
      <c r="D81" t="str">
        <f t="shared" si="13"/>
        <v>U</v>
      </c>
      <c r="E81">
        <v>13</v>
      </c>
      <c r="F81" t="str">
        <f t="shared" si="14"/>
        <v>571</v>
      </c>
      <c r="G81" t="str">
        <f>"6"</f>
        <v>6</v>
      </c>
    </row>
    <row r="82" spans="1:7">
      <c r="A82" t="str">
        <f t="shared" si="11"/>
        <v>MIGNANEGO</v>
      </c>
      <c r="B82" t="str">
        <f>"E1764-4"</f>
        <v>E1764-4</v>
      </c>
      <c r="C82" t="str">
        <f t="shared" si="12"/>
        <v>VIA TOLMINO  4-</v>
      </c>
      <c r="D82" t="str">
        <f t="shared" si="13"/>
        <v>U</v>
      </c>
      <c r="E82">
        <v>13</v>
      </c>
      <c r="F82" t="str">
        <f t="shared" si="14"/>
        <v>571</v>
      </c>
      <c r="G82" t="str">
        <f>"7"</f>
        <v>7</v>
      </c>
    </row>
    <row r="83" spans="1:7">
      <c r="A83" t="str">
        <f t="shared" si="11"/>
        <v>MIGNANEGO</v>
      </c>
      <c r="B83" t="str">
        <f>"E1764-5"</f>
        <v>E1764-5</v>
      </c>
      <c r="C83" t="str">
        <f t="shared" si="12"/>
        <v>VIA TOLMINO  4-</v>
      </c>
      <c r="D83" t="str">
        <f t="shared" si="13"/>
        <v>U</v>
      </c>
      <c r="E83">
        <v>13</v>
      </c>
      <c r="F83" t="str">
        <f t="shared" si="14"/>
        <v>571</v>
      </c>
      <c r="G83" t="str">
        <f>"8"</f>
        <v>8</v>
      </c>
    </row>
    <row r="84" spans="1:7">
      <c r="A84" t="str">
        <f t="shared" si="11"/>
        <v>MIGNANEGO</v>
      </c>
      <c r="B84" t="str">
        <f>"E1764-6"</f>
        <v>E1764-6</v>
      </c>
      <c r="C84" t="str">
        <f t="shared" si="12"/>
        <v>VIA TOLMINO  4-</v>
      </c>
      <c r="D84" t="str">
        <f t="shared" si="13"/>
        <v>U</v>
      </c>
      <c r="E84">
        <v>13</v>
      </c>
      <c r="F84" t="str">
        <f t="shared" si="14"/>
        <v>571</v>
      </c>
      <c r="G84" t="str">
        <f>"9"</f>
        <v>9</v>
      </c>
    </row>
    <row r="85" spans="1:7">
      <c r="A85" t="str">
        <f t="shared" si="11"/>
        <v>MIGNANEGO</v>
      </c>
      <c r="B85" t="str">
        <f>"E1764-7"</f>
        <v>E1764-7</v>
      </c>
      <c r="C85" t="str">
        <f t="shared" si="12"/>
        <v>VIA TOLMINO  4-</v>
      </c>
      <c r="D85" t="str">
        <f t="shared" si="13"/>
        <v>U</v>
      </c>
      <c r="E85">
        <v>13</v>
      </c>
      <c r="F85" t="str">
        <f t="shared" si="14"/>
        <v>571</v>
      </c>
      <c r="G85" t="str">
        <f>"10"</f>
        <v>10</v>
      </c>
    </row>
    <row r="86" spans="1:7">
      <c r="A86" t="str">
        <f t="shared" si="11"/>
        <v>MIGNANEGO</v>
      </c>
      <c r="B86" t="str">
        <f>"E1764-8"</f>
        <v>E1764-8</v>
      </c>
      <c r="C86" t="str">
        <f t="shared" si="12"/>
        <v>VIA TOLMINO  4-</v>
      </c>
      <c r="D86" t="str">
        <f t="shared" si="13"/>
        <v>U</v>
      </c>
      <c r="E86">
        <v>13</v>
      </c>
      <c r="F86" t="str">
        <f t="shared" si="14"/>
        <v>571</v>
      </c>
      <c r="G86" t="str">
        <f>"11"</f>
        <v>11</v>
      </c>
    </row>
    <row r="87" spans="1:7">
      <c r="A87" t="str">
        <f t="shared" si="11"/>
        <v>MIGNANEGO</v>
      </c>
      <c r="B87" t="str">
        <f>"E1764-9"</f>
        <v>E1764-9</v>
      </c>
      <c r="C87" t="str">
        <f t="shared" si="12"/>
        <v>VIA TOLMINO  4-</v>
      </c>
      <c r="D87" t="str">
        <f t="shared" si="13"/>
        <v>U</v>
      </c>
      <c r="E87">
        <v>13</v>
      </c>
      <c r="F87" t="str">
        <f t="shared" si="14"/>
        <v>571</v>
      </c>
      <c r="G87" t="str">
        <f>"12"</f>
        <v>12</v>
      </c>
    </row>
    <row r="88" spans="1:7">
      <c r="A88" t="str">
        <f t="shared" si="11"/>
        <v>MIGNANEGO</v>
      </c>
      <c r="B88" t="str">
        <f>"E1764-10"</f>
        <v>E1764-10</v>
      </c>
      <c r="C88" t="str">
        <f t="shared" si="12"/>
        <v>VIA TOLMINO  4-</v>
      </c>
      <c r="D88" t="str">
        <f t="shared" si="13"/>
        <v>U</v>
      </c>
      <c r="E88">
        <v>13</v>
      </c>
      <c r="F88" t="str">
        <f t="shared" si="14"/>
        <v>571</v>
      </c>
      <c r="G88" t="str">
        <f>"13"</f>
        <v>13</v>
      </c>
    </row>
    <row r="89" spans="1:7">
      <c r="A89" t="str">
        <f t="shared" si="11"/>
        <v>MIGNANEGO</v>
      </c>
      <c r="B89" t="str">
        <f>"E1764-11"</f>
        <v>E1764-11</v>
      </c>
      <c r="C89" t="str">
        <f t="shared" ref="C89:C102" si="15">"VIA TOLMINO VICINO AL 4-"</f>
        <v>VIA TOLMINO VICINO AL 4-</v>
      </c>
      <c r="D89" t="str">
        <f t="shared" ref="D89:D102" si="16">"999"</f>
        <v>999</v>
      </c>
      <c r="E89">
        <v>13</v>
      </c>
      <c r="F89" t="str">
        <f>"603"</f>
        <v>603</v>
      </c>
      <c r="G89" t="str">
        <f t="shared" ref="G89:G102" si="17">"0000"</f>
        <v>0000</v>
      </c>
    </row>
    <row r="90" spans="1:7">
      <c r="A90" t="str">
        <f t="shared" si="11"/>
        <v>MIGNANEGO</v>
      </c>
      <c r="B90" t="str">
        <f>"E1764-11"</f>
        <v>E1764-11</v>
      </c>
      <c r="C90" t="str">
        <f t="shared" si="15"/>
        <v>VIA TOLMINO VICINO AL 4-</v>
      </c>
      <c r="D90" t="str">
        <f t="shared" si="16"/>
        <v>999</v>
      </c>
      <c r="E90">
        <v>13</v>
      </c>
      <c r="F90" t="str">
        <f>"604"</f>
        <v>604</v>
      </c>
      <c r="G90" t="str">
        <f t="shared" si="17"/>
        <v>0000</v>
      </c>
    </row>
    <row r="91" spans="1:7">
      <c r="A91" t="str">
        <f t="shared" si="11"/>
        <v>MIGNANEGO</v>
      </c>
      <c r="B91" t="str">
        <f>"E1764-12"</f>
        <v>E1764-12</v>
      </c>
      <c r="C91" t="str">
        <f t="shared" si="15"/>
        <v>VIA TOLMINO VICINO AL 4-</v>
      </c>
      <c r="D91" t="str">
        <f t="shared" si="16"/>
        <v>999</v>
      </c>
      <c r="E91">
        <v>13</v>
      </c>
      <c r="F91" t="str">
        <f>"603"</f>
        <v>603</v>
      </c>
      <c r="G91" t="str">
        <f t="shared" si="17"/>
        <v>0000</v>
      </c>
    </row>
    <row r="92" spans="1:7">
      <c r="A92" t="str">
        <f t="shared" si="11"/>
        <v>MIGNANEGO</v>
      </c>
      <c r="B92" t="str">
        <f>"E1764-12"</f>
        <v>E1764-12</v>
      </c>
      <c r="C92" t="str">
        <f t="shared" si="15"/>
        <v>VIA TOLMINO VICINO AL 4-</v>
      </c>
      <c r="D92" t="str">
        <f t="shared" si="16"/>
        <v>999</v>
      </c>
      <c r="E92">
        <v>13</v>
      </c>
      <c r="F92" t="str">
        <f>"604"</f>
        <v>604</v>
      </c>
      <c r="G92" t="str">
        <f t="shared" si="17"/>
        <v>0000</v>
      </c>
    </row>
    <row r="93" spans="1:7">
      <c r="A93" t="str">
        <f t="shared" si="11"/>
        <v>MIGNANEGO</v>
      </c>
      <c r="B93" t="str">
        <f>"E1764-13"</f>
        <v>E1764-13</v>
      </c>
      <c r="C93" t="str">
        <f t="shared" si="15"/>
        <v>VIA TOLMINO VICINO AL 4-</v>
      </c>
      <c r="D93" t="str">
        <f t="shared" si="16"/>
        <v>999</v>
      </c>
      <c r="E93">
        <v>13</v>
      </c>
      <c r="F93" t="str">
        <f>"603"</f>
        <v>603</v>
      </c>
      <c r="G93" t="str">
        <f t="shared" si="17"/>
        <v>0000</v>
      </c>
    </row>
    <row r="94" spans="1:7">
      <c r="A94" t="str">
        <f t="shared" si="11"/>
        <v>MIGNANEGO</v>
      </c>
      <c r="B94" t="str">
        <f>"E1764-13"</f>
        <v>E1764-13</v>
      </c>
      <c r="C94" t="str">
        <f t="shared" si="15"/>
        <v>VIA TOLMINO VICINO AL 4-</v>
      </c>
      <c r="D94" t="str">
        <f t="shared" si="16"/>
        <v>999</v>
      </c>
      <c r="E94">
        <v>13</v>
      </c>
      <c r="F94" t="str">
        <f>"604"</f>
        <v>604</v>
      </c>
      <c r="G94" t="str">
        <f t="shared" si="17"/>
        <v>0000</v>
      </c>
    </row>
    <row r="95" spans="1:7">
      <c r="A95" t="str">
        <f t="shared" si="11"/>
        <v>MIGNANEGO</v>
      </c>
      <c r="B95" t="str">
        <f>"E1764-14"</f>
        <v>E1764-14</v>
      </c>
      <c r="C95" t="str">
        <f t="shared" si="15"/>
        <v>VIA TOLMINO VICINO AL 4-</v>
      </c>
      <c r="D95" t="str">
        <f t="shared" si="16"/>
        <v>999</v>
      </c>
      <c r="E95">
        <v>13</v>
      </c>
      <c r="F95" t="str">
        <f>"603"</f>
        <v>603</v>
      </c>
      <c r="G95" t="str">
        <f t="shared" si="17"/>
        <v>0000</v>
      </c>
    </row>
    <row r="96" spans="1:7">
      <c r="A96" t="str">
        <f t="shared" si="11"/>
        <v>MIGNANEGO</v>
      </c>
      <c r="B96" t="str">
        <f>"E1764-14"</f>
        <v>E1764-14</v>
      </c>
      <c r="C96" t="str">
        <f t="shared" si="15"/>
        <v>VIA TOLMINO VICINO AL 4-</v>
      </c>
      <c r="D96" t="str">
        <f t="shared" si="16"/>
        <v>999</v>
      </c>
      <c r="E96">
        <v>13</v>
      </c>
      <c r="F96" t="str">
        <f>"604"</f>
        <v>604</v>
      </c>
      <c r="G96" t="str">
        <f t="shared" si="17"/>
        <v>0000</v>
      </c>
    </row>
    <row r="97" spans="1:7">
      <c r="A97" t="str">
        <f t="shared" si="11"/>
        <v>MIGNANEGO</v>
      </c>
      <c r="B97" t="str">
        <f>"E1764-15"</f>
        <v>E1764-15</v>
      </c>
      <c r="C97" t="str">
        <f t="shared" si="15"/>
        <v>VIA TOLMINO VICINO AL 4-</v>
      </c>
      <c r="D97" t="str">
        <f t="shared" si="16"/>
        <v>999</v>
      </c>
      <c r="E97">
        <v>13</v>
      </c>
      <c r="F97" t="str">
        <f>"603"</f>
        <v>603</v>
      </c>
      <c r="G97" t="str">
        <f t="shared" si="17"/>
        <v>0000</v>
      </c>
    </row>
    <row r="98" spans="1:7">
      <c r="A98" t="str">
        <f t="shared" si="11"/>
        <v>MIGNANEGO</v>
      </c>
      <c r="B98" t="str">
        <f>"E1764-15"</f>
        <v>E1764-15</v>
      </c>
      <c r="C98" t="str">
        <f t="shared" si="15"/>
        <v>VIA TOLMINO VICINO AL 4-</v>
      </c>
      <c r="D98" t="str">
        <f t="shared" si="16"/>
        <v>999</v>
      </c>
      <c r="E98">
        <v>13</v>
      </c>
      <c r="F98" t="str">
        <f>"604"</f>
        <v>604</v>
      </c>
      <c r="G98" t="str">
        <f t="shared" si="17"/>
        <v>0000</v>
      </c>
    </row>
    <row r="99" spans="1:7">
      <c r="A99" t="str">
        <f t="shared" si="11"/>
        <v>MIGNANEGO</v>
      </c>
      <c r="B99" t="str">
        <f>"E1764-16"</f>
        <v>E1764-16</v>
      </c>
      <c r="C99" t="str">
        <f t="shared" si="15"/>
        <v>VIA TOLMINO VICINO AL 4-</v>
      </c>
      <c r="D99" t="str">
        <f t="shared" si="16"/>
        <v>999</v>
      </c>
      <c r="E99">
        <v>13</v>
      </c>
      <c r="F99" t="str">
        <f>"603"</f>
        <v>603</v>
      </c>
      <c r="G99" t="str">
        <f t="shared" si="17"/>
        <v>0000</v>
      </c>
    </row>
    <row r="100" spans="1:7">
      <c r="A100" t="str">
        <f t="shared" si="11"/>
        <v>MIGNANEGO</v>
      </c>
      <c r="B100" t="str">
        <f>"E1764-16"</f>
        <v>E1764-16</v>
      </c>
      <c r="C100" t="str">
        <f t="shared" si="15"/>
        <v>VIA TOLMINO VICINO AL 4-</v>
      </c>
      <c r="D100" t="str">
        <f t="shared" si="16"/>
        <v>999</v>
      </c>
      <c r="E100">
        <v>13</v>
      </c>
      <c r="F100" t="str">
        <f>"604"</f>
        <v>604</v>
      </c>
      <c r="G100" t="str">
        <f t="shared" si="17"/>
        <v>0000</v>
      </c>
    </row>
    <row r="101" spans="1:7">
      <c r="A101" t="str">
        <f t="shared" si="11"/>
        <v>MIGNANEGO</v>
      </c>
      <c r="B101" t="str">
        <f>"E1764-17"</f>
        <v>E1764-17</v>
      </c>
      <c r="C101" t="str">
        <f t="shared" si="15"/>
        <v>VIA TOLMINO VICINO AL 4-</v>
      </c>
      <c r="D101" t="str">
        <f t="shared" si="16"/>
        <v>999</v>
      </c>
      <c r="E101">
        <v>13</v>
      </c>
      <c r="F101" t="str">
        <f>"603"</f>
        <v>603</v>
      </c>
      <c r="G101" t="str">
        <f t="shared" si="17"/>
        <v>0000</v>
      </c>
    </row>
    <row r="102" spans="1:7">
      <c r="A102" t="str">
        <f t="shared" si="11"/>
        <v>MIGNANEGO</v>
      </c>
      <c r="B102" t="str">
        <f>"E1764-17"</f>
        <v>E1764-17</v>
      </c>
      <c r="C102" t="str">
        <f t="shared" si="15"/>
        <v>VIA TOLMINO VICINO AL 4-</v>
      </c>
      <c r="D102" t="str">
        <f t="shared" si="16"/>
        <v>999</v>
      </c>
      <c r="E102">
        <v>13</v>
      </c>
      <c r="F102" t="str">
        <f>"604"</f>
        <v>604</v>
      </c>
      <c r="G102" t="str">
        <f t="shared" si="17"/>
        <v>0000</v>
      </c>
    </row>
    <row r="104" spans="1:7">
      <c r="A104" t="str">
        <f>"MONTOGGIO"</f>
        <v>MONTOGGIO</v>
      </c>
      <c r="B104" t="str">
        <f>"E1757-1"</f>
        <v>E1757-1</v>
      </c>
      <c r="C104" t="str">
        <f>"VIA MILITE IGNOTO  56A-"</f>
        <v>VIA MILITE IGNOTO  56A-</v>
      </c>
      <c r="D104" t="str">
        <f t="shared" ref="D104:D136" si="18">"U"</f>
        <v>U</v>
      </c>
      <c r="E104">
        <v>34</v>
      </c>
      <c r="F104" t="str">
        <f>"369"</f>
        <v>369</v>
      </c>
      <c r="G104" t="str">
        <f>"2"</f>
        <v>2</v>
      </c>
    </row>
    <row r="105" spans="1:7">
      <c r="A105" t="str">
        <f>"MONTOGGIO"</f>
        <v>MONTOGGIO</v>
      </c>
      <c r="B105" t="str">
        <f>"E1757-3"</f>
        <v>E1757-3</v>
      </c>
      <c r="C105" t="str">
        <f>"VIA MILITE IGNOTO  56A-"</f>
        <v>VIA MILITE IGNOTO  56A-</v>
      </c>
      <c r="D105" t="str">
        <f t="shared" si="18"/>
        <v>U</v>
      </c>
      <c r="E105">
        <v>34</v>
      </c>
      <c r="F105" t="str">
        <f>"369"</f>
        <v>369</v>
      </c>
      <c r="G105" t="str">
        <f>"4"</f>
        <v>4</v>
      </c>
    </row>
    <row r="106" spans="1:7">
      <c r="A106" t="str">
        <f>"MONTOGGIO"</f>
        <v>MONTOGGIO</v>
      </c>
      <c r="B106" t="str">
        <f>"E1757-4"</f>
        <v>E1757-4</v>
      </c>
      <c r="C106" t="str">
        <f>"VIA MILITE IGNOTO  56A-"</f>
        <v>VIA MILITE IGNOTO  56A-</v>
      </c>
      <c r="D106" t="str">
        <f t="shared" si="18"/>
        <v>U</v>
      </c>
      <c r="E106">
        <v>34</v>
      </c>
      <c r="F106" t="str">
        <f>"369"</f>
        <v>369</v>
      </c>
      <c r="G106" t="str">
        <f>"5"</f>
        <v>5</v>
      </c>
    </row>
    <row r="107" spans="1:7">
      <c r="A107" t="str">
        <f>"MONTOGGIO"</f>
        <v>MONTOGGIO</v>
      </c>
      <c r="B107" t="str">
        <f>"E1757-5"</f>
        <v>E1757-5</v>
      </c>
      <c r="C107" t="str">
        <f>"VIA MILITE IGNOTO  56A-"</f>
        <v>VIA MILITE IGNOTO  56A-</v>
      </c>
      <c r="D107" t="str">
        <f t="shared" si="18"/>
        <v>U</v>
      </c>
      <c r="E107">
        <v>34</v>
      </c>
      <c r="F107" t="str">
        <f>"369"</f>
        <v>369</v>
      </c>
      <c r="G107" t="str">
        <f>"8"</f>
        <v>8</v>
      </c>
    </row>
    <row r="108" spans="1:7">
      <c r="A108" t="str">
        <f>"MONTOGGIO"</f>
        <v>MONTOGGIO</v>
      </c>
      <c r="B108" t="str">
        <f>"E1757-6"</f>
        <v>E1757-6</v>
      </c>
      <c r="C108" t="str">
        <f>"VIA MILITE IGNOTO  56A-"</f>
        <v>VIA MILITE IGNOTO  56A-</v>
      </c>
      <c r="D108" t="str">
        <f t="shared" si="18"/>
        <v>U</v>
      </c>
      <c r="E108">
        <v>34</v>
      </c>
      <c r="F108" t="str">
        <f>"369"</f>
        <v>369</v>
      </c>
      <c r="G108" t="str">
        <f>"7"</f>
        <v>7</v>
      </c>
    </row>
    <row r="110" spans="1:7">
      <c r="A110" t="str">
        <f t="shared" ref="A110:A157" si="19">"SANT'OLCESE"</f>
        <v>SANT'OLCESE</v>
      </c>
      <c r="B110" t="str">
        <f>"E1756-2"</f>
        <v>E1756-2</v>
      </c>
      <c r="C110" t="str">
        <f>"VIA CASSISSA  2-"</f>
        <v>VIA CASSISSA  2-</v>
      </c>
      <c r="D110" t="str">
        <f t="shared" si="18"/>
        <v>U</v>
      </c>
      <c r="E110">
        <v>5</v>
      </c>
      <c r="F110" t="str">
        <f>"479"</f>
        <v>479</v>
      </c>
      <c r="G110" t="str">
        <f>"3"</f>
        <v>3</v>
      </c>
    </row>
    <row r="111" spans="1:7">
      <c r="A111" t="str">
        <f t="shared" si="19"/>
        <v>SANT'OLCESE</v>
      </c>
      <c r="B111" t="str">
        <f>"E1756-4"</f>
        <v>E1756-4</v>
      </c>
      <c r="C111" t="str">
        <f>"VIA CASSISSA  2-"</f>
        <v>VIA CASSISSA  2-</v>
      </c>
      <c r="D111" t="str">
        <f t="shared" si="18"/>
        <v>U</v>
      </c>
      <c r="E111">
        <v>5</v>
      </c>
      <c r="F111" t="str">
        <f>"479"</f>
        <v>479</v>
      </c>
      <c r="G111" t="str">
        <f>"5"</f>
        <v>5</v>
      </c>
    </row>
    <row r="112" spans="1:7">
      <c r="A112" t="str">
        <f t="shared" si="19"/>
        <v>SANT'OLCESE</v>
      </c>
      <c r="B112" t="str">
        <f>"E1756-5"</f>
        <v>E1756-5</v>
      </c>
      <c r="C112" t="str">
        <f>"VIA CASSISSA  2-"</f>
        <v>VIA CASSISSA  2-</v>
      </c>
      <c r="D112" t="str">
        <f t="shared" si="18"/>
        <v>U</v>
      </c>
      <c r="E112">
        <v>5</v>
      </c>
      <c r="F112" t="str">
        <f>"479"</f>
        <v>479</v>
      </c>
      <c r="G112" t="str">
        <f>"6"</f>
        <v>6</v>
      </c>
    </row>
    <row r="113" spans="1:7">
      <c r="A113" t="str">
        <f t="shared" si="19"/>
        <v>SANT'OLCESE</v>
      </c>
      <c r="B113" t="str">
        <f>"E1756-6"</f>
        <v>E1756-6</v>
      </c>
      <c r="C113" t="str">
        <f t="shared" ref="C113:C139" si="20">"VIA CASSISSA  6-"</f>
        <v>VIA CASSISSA  6-</v>
      </c>
      <c r="D113" t="str">
        <f t="shared" si="18"/>
        <v>U</v>
      </c>
      <c r="E113">
        <v>5</v>
      </c>
      <c r="F113" t="str">
        <f t="shared" ref="F113:F139" si="21">"480"</f>
        <v>480</v>
      </c>
      <c r="G113" t="str">
        <f>"1"</f>
        <v>1</v>
      </c>
    </row>
    <row r="114" spans="1:7">
      <c r="A114" t="str">
        <f t="shared" si="19"/>
        <v>SANT'OLCESE</v>
      </c>
      <c r="B114" t="str">
        <f>"E1756-7"</f>
        <v>E1756-7</v>
      </c>
      <c r="C114" t="str">
        <f t="shared" si="20"/>
        <v>VIA CASSISSA  6-</v>
      </c>
      <c r="D114" t="str">
        <f t="shared" si="18"/>
        <v>U</v>
      </c>
      <c r="E114">
        <v>5</v>
      </c>
      <c r="F114" t="str">
        <f t="shared" si="21"/>
        <v>480</v>
      </c>
      <c r="G114" t="str">
        <f>"2"</f>
        <v>2</v>
      </c>
    </row>
    <row r="115" spans="1:7">
      <c r="A115" t="str">
        <f t="shared" si="19"/>
        <v>SANT'OLCESE</v>
      </c>
      <c r="B115" t="str">
        <f>"E1756-8"</f>
        <v>E1756-8</v>
      </c>
      <c r="C115" t="str">
        <f t="shared" si="20"/>
        <v>VIA CASSISSA  6-</v>
      </c>
      <c r="D115" t="str">
        <f t="shared" si="18"/>
        <v>U</v>
      </c>
      <c r="E115">
        <v>5</v>
      </c>
      <c r="F115" t="str">
        <f t="shared" si="21"/>
        <v>480</v>
      </c>
      <c r="G115" t="str">
        <f>"3"</f>
        <v>3</v>
      </c>
    </row>
    <row r="116" spans="1:7">
      <c r="A116" t="str">
        <f t="shared" si="19"/>
        <v>SANT'OLCESE</v>
      </c>
      <c r="B116" t="str">
        <f>"E1756-9"</f>
        <v>E1756-9</v>
      </c>
      <c r="C116" t="str">
        <f t="shared" si="20"/>
        <v>VIA CASSISSA  6-</v>
      </c>
      <c r="D116" t="str">
        <f t="shared" si="18"/>
        <v>U</v>
      </c>
      <c r="E116">
        <v>5</v>
      </c>
      <c r="F116" t="str">
        <f t="shared" si="21"/>
        <v>480</v>
      </c>
      <c r="G116" t="str">
        <f>"4"</f>
        <v>4</v>
      </c>
    </row>
    <row r="117" spans="1:7">
      <c r="A117" t="str">
        <f t="shared" si="19"/>
        <v>SANT'OLCESE</v>
      </c>
      <c r="B117" t="str">
        <f>"E1756-10"</f>
        <v>E1756-10</v>
      </c>
      <c r="C117" t="str">
        <f t="shared" si="20"/>
        <v>VIA CASSISSA  6-</v>
      </c>
      <c r="D117" t="str">
        <f t="shared" si="18"/>
        <v>U</v>
      </c>
      <c r="E117">
        <v>5</v>
      </c>
      <c r="F117" t="str">
        <f t="shared" si="21"/>
        <v>480</v>
      </c>
      <c r="G117" t="str">
        <f>"5"</f>
        <v>5</v>
      </c>
    </row>
    <row r="118" spans="1:7">
      <c r="A118" t="str">
        <f t="shared" si="19"/>
        <v>SANT'OLCESE</v>
      </c>
      <c r="B118" t="str">
        <f>"E1756-11"</f>
        <v>E1756-11</v>
      </c>
      <c r="C118" t="str">
        <f t="shared" si="20"/>
        <v>VIA CASSISSA  6-</v>
      </c>
      <c r="D118" t="str">
        <f t="shared" si="18"/>
        <v>U</v>
      </c>
      <c r="E118">
        <v>5</v>
      </c>
      <c r="F118" t="str">
        <f t="shared" si="21"/>
        <v>480</v>
      </c>
      <c r="G118" t="str">
        <f>"6"</f>
        <v>6</v>
      </c>
    </row>
    <row r="119" spans="1:7">
      <c r="A119" t="str">
        <f t="shared" si="19"/>
        <v>SANT'OLCESE</v>
      </c>
      <c r="B119" t="str">
        <f>"E1756-13"</f>
        <v>E1756-13</v>
      </c>
      <c r="C119" t="str">
        <f t="shared" si="20"/>
        <v>VIA CASSISSA  6-</v>
      </c>
      <c r="D119" t="str">
        <f t="shared" si="18"/>
        <v>U</v>
      </c>
      <c r="E119">
        <v>5</v>
      </c>
      <c r="F119" t="str">
        <f t="shared" si="21"/>
        <v>480</v>
      </c>
      <c r="G119" t="str">
        <f>"8"</f>
        <v>8</v>
      </c>
    </row>
    <row r="120" spans="1:7">
      <c r="A120" t="str">
        <f t="shared" si="19"/>
        <v>SANT'OLCESE</v>
      </c>
      <c r="B120" t="str">
        <f>"E1756-14"</f>
        <v>E1756-14</v>
      </c>
      <c r="C120" t="str">
        <f t="shared" si="20"/>
        <v>VIA CASSISSA  6-</v>
      </c>
      <c r="D120" t="str">
        <f t="shared" si="18"/>
        <v>U</v>
      </c>
      <c r="E120">
        <v>5</v>
      </c>
      <c r="F120" t="str">
        <f t="shared" si="21"/>
        <v>480</v>
      </c>
      <c r="G120" t="str">
        <f>"9"</f>
        <v>9</v>
      </c>
    </row>
    <row r="121" spans="1:7">
      <c r="A121" t="str">
        <f t="shared" si="19"/>
        <v>SANT'OLCESE</v>
      </c>
      <c r="B121" t="str">
        <f>"E1756-15"</f>
        <v>E1756-15</v>
      </c>
      <c r="C121" t="str">
        <f t="shared" si="20"/>
        <v>VIA CASSISSA  6-</v>
      </c>
      <c r="D121" t="str">
        <f t="shared" si="18"/>
        <v>U</v>
      </c>
      <c r="E121">
        <v>5</v>
      </c>
      <c r="F121" t="str">
        <f t="shared" si="21"/>
        <v>480</v>
      </c>
      <c r="G121" t="str">
        <f>"10"</f>
        <v>10</v>
      </c>
    </row>
    <row r="122" spans="1:7">
      <c r="A122" t="str">
        <f t="shared" si="19"/>
        <v>SANT'OLCESE</v>
      </c>
      <c r="B122" t="str">
        <f>"E1756-16"</f>
        <v>E1756-16</v>
      </c>
      <c r="C122" t="str">
        <f t="shared" si="20"/>
        <v>VIA CASSISSA  6-</v>
      </c>
      <c r="D122" t="str">
        <f t="shared" si="18"/>
        <v>U</v>
      </c>
      <c r="E122">
        <v>5</v>
      </c>
      <c r="F122" t="str">
        <f t="shared" si="21"/>
        <v>480</v>
      </c>
      <c r="G122" t="str">
        <f>"11"</f>
        <v>11</v>
      </c>
    </row>
    <row r="123" spans="1:7">
      <c r="A123" t="str">
        <f t="shared" si="19"/>
        <v>SANT'OLCESE</v>
      </c>
      <c r="B123" t="str">
        <f>"E1756-17"</f>
        <v>E1756-17</v>
      </c>
      <c r="C123" t="str">
        <f t="shared" si="20"/>
        <v>VIA CASSISSA  6-</v>
      </c>
      <c r="D123" t="str">
        <f t="shared" si="18"/>
        <v>U</v>
      </c>
      <c r="E123">
        <v>5</v>
      </c>
      <c r="F123" t="str">
        <f t="shared" si="21"/>
        <v>480</v>
      </c>
      <c r="G123" t="str">
        <f>"12"</f>
        <v>12</v>
      </c>
    </row>
    <row r="124" spans="1:7">
      <c r="A124" t="str">
        <f t="shared" si="19"/>
        <v>SANT'OLCESE</v>
      </c>
      <c r="B124" t="str">
        <f>"E1756-18"</f>
        <v>E1756-18</v>
      </c>
      <c r="C124" t="str">
        <f t="shared" si="20"/>
        <v>VIA CASSISSA  6-</v>
      </c>
      <c r="D124" t="str">
        <f t="shared" si="18"/>
        <v>U</v>
      </c>
      <c r="E124">
        <v>5</v>
      </c>
      <c r="F124" t="str">
        <f t="shared" si="21"/>
        <v>480</v>
      </c>
      <c r="G124" t="str">
        <f>"13"</f>
        <v>13</v>
      </c>
    </row>
    <row r="125" spans="1:7">
      <c r="A125" t="str">
        <f t="shared" si="19"/>
        <v>SANT'OLCESE</v>
      </c>
      <c r="B125" t="str">
        <f>"E1756-19"</f>
        <v>E1756-19</v>
      </c>
      <c r="C125" t="str">
        <f t="shared" si="20"/>
        <v>VIA CASSISSA  6-</v>
      </c>
      <c r="D125" t="str">
        <f t="shared" si="18"/>
        <v>U</v>
      </c>
      <c r="E125">
        <v>5</v>
      </c>
      <c r="F125" t="str">
        <f t="shared" si="21"/>
        <v>480</v>
      </c>
      <c r="G125" t="str">
        <f>"14"</f>
        <v>14</v>
      </c>
    </row>
    <row r="126" spans="1:7">
      <c r="A126" t="str">
        <f t="shared" si="19"/>
        <v>SANT'OLCESE</v>
      </c>
      <c r="B126" t="str">
        <f>"E1756-23"</f>
        <v>E1756-23</v>
      </c>
      <c r="C126" t="str">
        <f t="shared" si="20"/>
        <v>VIA CASSISSA  6-</v>
      </c>
      <c r="D126" t="str">
        <f t="shared" si="18"/>
        <v>U</v>
      </c>
      <c r="E126">
        <v>5</v>
      </c>
      <c r="F126" t="str">
        <f t="shared" si="21"/>
        <v>480</v>
      </c>
      <c r="G126" t="str">
        <f>"18"</f>
        <v>18</v>
      </c>
    </row>
    <row r="127" spans="1:7">
      <c r="A127" t="str">
        <f t="shared" si="19"/>
        <v>SANT'OLCESE</v>
      </c>
      <c r="B127" t="str">
        <f>"E1756-24"</f>
        <v>E1756-24</v>
      </c>
      <c r="C127" t="str">
        <f t="shared" si="20"/>
        <v>VIA CASSISSA  6-</v>
      </c>
      <c r="D127" t="str">
        <f t="shared" si="18"/>
        <v>U</v>
      </c>
      <c r="E127">
        <v>5</v>
      </c>
      <c r="F127" t="str">
        <f t="shared" si="21"/>
        <v>480</v>
      </c>
      <c r="G127" t="str">
        <f>"19"</f>
        <v>19</v>
      </c>
    </row>
    <row r="128" spans="1:7">
      <c r="A128" t="str">
        <f t="shared" si="19"/>
        <v>SANT'OLCESE</v>
      </c>
      <c r="B128" t="str">
        <f>"E1756-26"</f>
        <v>E1756-26</v>
      </c>
      <c r="C128" t="str">
        <f t="shared" si="20"/>
        <v>VIA CASSISSA  6-</v>
      </c>
      <c r="D128" t="str">
        <f t="shared" si="18"/>
        <v>U</v>
      </c>
      <c r="E128">
        <v>5</v>
      </c>
      <c r="F128" t="str">
        <f t="shared" si="21"/>
        <v>480</v>
      </c>
      <c r="G128" t="str">
        <f>"21"</f>
        <v>21</v>
      </c>
    </row>
    <row r="129" spans="1:7">
      <c r="A129" t="str">
        <f t="shared" si="19"/>
        <v>SANT'OLCESE</v>
      </c>
      <c r="B129" t="str">
        <f>"E1756-27"</f>
        <v>E1756-27</v>
      </c>
      <c r="C129" t="str">
        <f t="shared" si="20"/>
        <v>VIA CASSISSA  6-</v>
      </c>
      <c r="D129" t="str">
        <f t="shared" si="18"/>
        <v>U</v>
      </c>
      <c r="E129">
        <v>5</v>
      </c>
      <c r="F129" t="str">
        <f t="shared" si="21"/>
        <v>480</v>
      </c>
      <c r="G129" t="str">
        <f>"22"</f>
        <v>22</v>
      </c>
    </row>
    <row r="130" spans="1:7">
      <c r="A130" t="str">
        <f t="shared" si="19"/>
        <v>SANT'OLCESE</v>
      </c>
      <c r="B130" t="str">
        <f>"E1756-28"</f>
        <v>E1756-28</v>
      </c>
      <c r="C130" t="str">
        <f t="shared" si="20"/>
        <v>VIA CASSISSA  6-</v>
      </c>
      <c r="D130" t="str">
        <f t="shared" si="18"/>
        <v>U</v>
      </c>
      <c r="E130">
        <v>5</v>
      </c>
      <c r="F130" t="str">
        <f t="shared" si="21"/>
        <v>480</v>
      </c>
      <c r="G130" t="str">
        <f>"23"</f>
        <v>23</v>
      </c>
    </row>
    <row r="131" spans="1:7">
      <c r="A131" t="str">
        <f t="shared" si="19"/>
        <v>SANT'OLCESE</v>
      </c>
      <c r="B131" t="str">
        <f>"E1756-29"</f>
        <v>E1756-29</v>
      </c>
      <c r="C131" t="str">
        <f t="shared" si="20"/>
        <v>VIA CASSISSA  6-</v>
      </c>
      <c r="D131" t="str">
        <f t="shared" si="18"/>
        <v>U</v>
      </c>
      <c r="E131">
        <v>5</v>
      </c>
      <c r="F131" t="str">
        <f t="shared" si="21"/>
        <v>480</v>
      </c>
      <c r="G131" t="str">
        <f>"24"</f>
        <v>24</v>
      </c>
    </row>
    <row r="132" spans="1:7">
      <c r="A132" t="str">
        <f t="shared" si="19"/>
        <v>SANT'OLCESE</v>
      </c>
      <c r="B132" t="str">
        <f>"E1756-30"</f>
        <v>E1756-30</v>
      </c>
      <c r="C132" t="str">
        <f t="shared" si="20"/>
        <v>VIA CASSISSA  6-</v>
      </c>
      <c r="D132" t="str">
        <f t="shared" si="18"/>
        <v>U</v>
      </c>
      <c r="E132">
        <v>5</v>
      </c>
      <c r="F132" t="str">
        <f t="shared" si="21"/>
        <v>480</v>
      </c>
      <c r="G132" t="str">
        <f>"25"</f>
        <v>25</v>
      </c>
    </row>
    <row r="133" spans="1:7">
      <c r="A133" t="str">
        <f t="shared" si="19"/>
        <v>SANT'OLCESE</v>
      </c>
      <c r="B133" t="str">
        <f>"E1756-31"</f>
        <v>E1756-31</v>
      </c>
      <c r="C133" t="str">
        <f t="shared" si="20"/>
        <v>VIA CASSISSA  6-</v>
      </c>
      <c r="D133" t="str">
        <f t="shared" si="18"/>
        <v>U</v>
      </c>
      <c r="E133">
        <v>5</v>
      </c>
      <c r="F133" t="str">
        <f t="shared" si="21"/>
        <v>480</v>
      </c>
      <c r="G133" t="str">
        <f>"26"</f>
        <v>26</v>
      </c>
    </row>
    <row r="134" spans="1:7">
      <c r="A134" t="str">
        <f t="shared" si="19"/>
        <v>SANT'OLCESE</v>
      </c>
      <c r="B134" t="str">
        <f>"E1756-32"</f>
        <v>E1756-32</v>
      </c>
      <c r="C134" t="str">
        <f t="shared" si="20"/>
        <v>VIA CASSISSA  6-</v>
      </c>
      <c r="D134" t="str">
        <f t="shared" si="18"/>
        <v>U</v>
      </c>
      <c r="E134">
        <v>5</v>
      </c>
      <c r="F134" t="str">
        <f t="shared" si="21"/>
        <v>480</v>
      </c>
      <c r="G134" t="str">
        <f>"27"</f>
        <v>27</v>
      </c>
    </row>
    <row r="135" spans="1:7">
      <c r="A135" t="str">
        <f t="shared" si="19"/>
        <v>SANT'OLCESE</v>
      </c>
      <c r="B135" t="str">
        <f>"E1756-33"</f>
        <v>E1756-33</v>
      </c>
      <c r="C135" t="str">
        <f t="shared" si="20"/>
        <v>VIA CASSISSA  6-</v>
      </c>
      <c r="D135" t="str">
        <f t="shared" si="18"/>
        <v>U</v>
      </c>
      <c r="E135">
        <v>5</v>
      </c>
      <c r="F135" t="str">
        <f t="shared" si="21"/>
        <v>480</v>
      </c>
      <c r="G135" t="str">
        <f>"28"</f>
        <v>28</v>
      </c>
    </row>
    <row r="136" spans="1:7">
      <c r="A136" t="str">
        <f t="shared" si="19"/>
        <v>SANT'OLCESE</v>
      </c>
      <c r="B136" t="str">
        <f>"E1756-34"</f>
        <v>E1756-34</v>
      </c>
      <c r="C136" t="str">
        <f t="shared" si="20"/>
        <v>VIA CASSISSA  6-</v>
      </c>
      <c r="D136" t="str">
        <f t="shared" si="18"/>
        <v>U</v>
      </c>
      <c r="E136">
        <v>5</v>
      </c>
      <c r="F136" t="str">
        <f t="shared" si="21"/>
        <v>480</v>
      </c>
      <c r="G136" t="str">
        <f>"29"</f>
        <v>29</v>
      </c>
    </row>
    <row r="137" spans="1:7">
      <c r="A137" t="str">
        <f t="shared" si="19"/>
        <v>SANT'OLCESE</v>
      </c>
      <c r="B137" t="str">
        <f>"E1756-35"</f>
        <v>E1756-35</v>
      </c>
      <c r="C137" t="str">
        <f t="shared" si="20"/>
        <v>VIA CASSISSA  6-</v>
      </c>
      <c r="D137" t="str">
        <f t="shared" ref="D137:D159" si="22">"U"</f>
        <v>U</v>
      </c>
      <c r="E137">
        <v>5</v>
      </c>
      <c r="F137" t="str">
        <f t="shared" si="21"/>
        <v>480</v>
      </c>
      <c r="G137" t="str">
        <f>"30"</f>
        <v>30</v>
      </c>
    </row>
    <row r="138" spans="1:7">
      <c r="A138" t="str">
        <f t="shared" si="19"/>
        <v>SANT'OLCESE</v>
      </c>
      <c r="B138" t="str">
        <f>"E1756-36"</f>
        <v>E1756-36</v>
      </c>
      <c r="C138" t="str">
        <f t="shared" si="20"/>
        <v>VIA CASSISSA  6-</v>
      </c>
      <c r="D138" t="str">
        <f t="shared" si="22"/>
        <v>U</v>
      </c>
      <c r="E138">
        <v>5</v>
      </c>
      <c r="F138" t="str">
        <f t="shared" si="21"/>
        <v>480</v>
      </c>
      <c r="G138" t="str">
        <f>"31"</f>
        <v>31</v>
      </c>
    </row>
    <row r="139" spans="1:7">
      <c r="A139" t="str">
        <f t="shared" si="19"/>
        <v>SANT'OLCESE</v>
      </c>
      <c r="B139" t="str">
        <f>"E1756-37"</f>
        <v>E1756-37</v>
      </c>
      <c r="C139" t="str">
        <f t="shared" si="20"/>
        <v>VIA CASSISSA  6-</v>
      </c>
      <c r="D139" t="str">
        <f t="shared" si="22"/>
        <v>U</v>
      </c>
      <c r="E139">
        <v>5</v>
      </c>
      <c r="F139" t="str">
        <f t="shared" si="21"/>
        <v>480</v>
      </c>
      <c r="G139" t="str">
        <f>"32"</f>
        <v>32</v>
      </c>
    </row>
    <row r="140" spans="1:7">
      <c r="A140" t="str">
        <f t="shared" si="19"/>
        <v>SANT'OLCESE</v>
      </c>
      <c r="B140" t="str">
        <f>"E1761-2"</f>
        <v>E1761-2</v>
      </c>
      <c r="C140" t="str">
        <f>"VIA CARLO LEVI  1-"</f>
        <v>VIA CARLO LEVI  1-</v>
      </c>
      <c r="D140" t="str">
        <f t="shared" si="22"/>
        <v>U</v>
      </c>
      <c r="E140">
        <v>5</v>
      </c>
      <c r="F140" t="str">
        <f>"272"</f>
        <v>272</v>
      </c>
      <c r="G140" t="str">
        <f>"10"</f>
        <v>10</v>
      </c>
    </row>
    <row r="141" spans="1:7">
      <c r="A141" t="str">
        <f t="shared" si="19"/>
        <v>SANT'OLCESE</v>
      </c>
      <c r="B141" t="str">
        <f>"E1761-2"</f>
        <v>E1761-2</v>
      </c>
      <c r="C141" t="str">
        <f>"VIA CARLO LEVI  1-"</f>
        <v>VIA CARLO LEVI  1-</v>
      </c>
      <c r="D141" t="str">
        <f t="shared" si="22"/>
        <v>U</v>
      </c>
      <c r="E141">
        <v>5</v>
      </c>
      <c r="F141" t="str">
        <f>"623"</f>
        <v>623</v>
      </c>
      <c r="G141" t="str">
        <f>"1"</f>
        <v>1</v>
      </c>
    </row>
    <row r="142" spans="1:7">
      <c r="A142" t="str">
        <f t="shared" si="19"/>
        <v>SANT'OLCESE</v>
      </c>
      <c r="B142" t="str">
        <f>"E1797-1"</f>
        <v>E1797-1</v>
      </c>
      <c r="C142" t="str">
        <f>"VIA CARLO LEVI  4-"</f>
        <v>VIA CARLO LEVI  4-</v>
      </c>
      <c r="D142" t="str">
        <f t="shared" si="22"/>
        <v>U</v>
      </c>
      <c r="E142">
        <v>5</v>
      </c>
      <c r="F142" t="str">
        <f>"272"</f>
        <v>272</v>
      </c>
      <c r="G142" t="str">
        <f t="shared" ref="G142:G153" si="23">"0000"</f>
        <v>0000</v>
      </c>
    </row>
    <row r="143" spans="1:7">
      <c r="A143" t="str">
        <f t="shared" si="19"/>
        <v>SANT'OLCESE</v>
      </c>
      <c r="B143" t="str">
        <f>"E1797-1"</f>
        <v>E1797-1</v>
      </c>
      <c r="C143" t="str">
        <f>"VIA CARLO LEVI  4-"</f>
        <v>VIA CARLO LEVI  4-</v>
      </c>
      <c r="D143" t="str">
        <f t="shared" si="22"/>
        <v>U</v>
      </c>
      <c r="E143">
        <v>5</v>
      </c>
      <c r="F143" t="str">
        <f>"620"</f>
        <v>620</v>
      </c>
      <c r="G143" t="str">
        <f t="shared" si="23"/>
        <v>0000</v>
      </c>
    </row>
    <row r="144" spans="1:7">
      <c r="A144" t="str">
        <f t="shared" si="19"/>
        <v>SANT'OLCESE</v>
      </c>
      <c r="B144" t="str">
        <f>"E1797-1"</f>
        <v>E1797-1</v>
      </c>
      <c r="C144" t="str">
        <f>"VIA CARLO LEVI  4-"</f>
        <v>VIA CARLO LEVI  4-</v>
      </c>
      <c r="D144" t="str">
        <f t="shared" si="22"/>
        <v>U</v>
      </c>
      <c r="E144">
        <v>5</v>
      </c>
      <c r="F144" t="str">
        <f>"621"</f>
        <v>621</v>
      </c>
      <c r="G144" t="str">
        <f t="shared" si="23"/>
        <v>0000</v>
      </c>
    </row>
    <row r="145" spans="1:7">
      <c r="A145" t="str">
        <f t="shared" si="19"/>
        <v>SANT'OLCESE</v>
      </c>
      <c r="B145" t="str">
        <f>"E1797-2"</f>
        <v>E1797-2</v>
      </c>
      <c r="C145" t="str">
        <f>"VIA CARLO LEVI  6-"</f>
        <v>VIA CARLO LEVI  6-</v>
      </c>
      <c r="D145" t="str">
        <f t="shared" si="22"/>
        <v>U</v>
      </c>
      <c r="E145">
        <v>5</v>
      </c>
      <c r="F145" t="str">
        <f>"272"</f>
        <v>272</v>
      </c>
      <c r="G145" t="str">
        <f t="shared" si="23"/>
        <v>0000</v>
      </c>
    </row>
    <row r="146" spans="1:7">
      <c r="A146" t="str">
        <f t="shared" si="19"/>
        <v>SANT'OLCESE</v>
      </c>
      <c r="B146" t="str">
        <f>"E1797-2"</f>
        <v>E1797-2</v>
      </c>
      <c r="C146" t="str">
        <f>"VIA CARLO LEVI  6-"</f>
        <v>VIA CARLO LEVI  6-</v>
      </c>
      <c r="D146" t="str">
        <f t="shared" si="22"/>
        <v>U</v>
      </c>
      <c r="E146">
        <v>5</v>
      </c>
      <c r="F146" t="str">
        <f>"620"</f>
        <v>620</v>
      </c>
      <c r="G146" t="str">
        <f t="shared" si="23"/>
        <v>0000</v>
      </c>
    </row>
    <row r="147" spans="1:7">
      <c r="A147" t="str">
        <f t="shared" si="19"/>
        <v>SANT'OLCESE</v>
      </c>
      <c r="B147" t="str">
        <f>"E1797-2"</f>
        <v>E1797-2</v>
      </c>
      <c r="C147" t="str">
        <f>"VIA CARLO LEVI  6-"</f>
        <v>VIA CARLO LEVI  6-</v>
      </c>
      <c r="D147" t="str">
        <f t="shared" si="22"/>
        <v>U</v>
      </c>
      <c r="E147">
        <v>5</v>
      </c>
      <c r="F147" t="str">
        <f>"621"</f>
        <v>621</v>
      </c>
      <c r="G147" t="str">
        <f t="shared" si="23"/>
        <v>0000</v>
      </c>
    </row>
    <row r="148" spans="1:7">
      <c r="A148" t="str">
        <f t="shared" si="19"/>
        <v>SANT'OLCESE</v>
      </c>
      <c r="B148" t="str">
        <f>"E1797-3"</f>
        <v>E1797-3</v>
      </c>
      <c r="C148" t="str">
        <f>"VIA CARLO LEVI  8-"</f>
        <v>VIA CARLO LEVI  8-</v>
      </c>
      <c r="D148" t="str">
        <f t="shared" si="22"/>
        <v>U</v>
      </c>
      <c r="E148">
        <v>5</v>
      </c>
      <c r="F148" t="str">
        <f>"272"</f>
        <v>272</v>
      </c>
      <c r="G148" t="str">
        <f t="shared" si="23"/>
        <v>0000</v>
      </c>
    </row>
    <row r="149" spans="1:7">
      <c r="A149" t="str">
        <f t="shared" si="19"/>
        <v>SANT'OLCESE</v>
      </c>
      <c r="B149" t="str">
        <f>"E1797-3"</f>
        <v>E1797-3</v>
      </c>
      <c r="C149" t="str">
        <f>"VIA CARLO LEVI  8-"</f>
        <v>VIA CARLO LEVI  8-</v>
      </c>
      <c r="D149" t="str">
        <f t="shared" si="22"/>
        <v>U</v>
      </c>
      <c r="E149">
        <v>5</v>
      </c>
      <c r="F149" t="str">
        <f>"620"</f>
        <v>620</v>
      </c>
      <c r="G149" t="str">
        <f t="shared" si="23"/>
        <v>0000</v>
      </c>
    </row>
    <row r="150" spans="1:7">
      <c r="A150" t="str">
        <f t="shared" si="19"/>
        <v>SANT'OLCESE</v>
      </c>
      <c r="B150" t="str">
        <f>"E1797-3"</f>
        <v>E1797-3</v>
      </c>
      <c r="C150" t="str">
        <f>"VIA CARLO LEVI  8-"</f>
        <v>VIA CARLO LEVI  8-</v>
      </c>
      <c r="D150" t="str">
        <f t="shared" si="22"/>
        <v>U</v>
      </c>
      <c r="E150">
        <v>5</v>
      </c>
      <c r="F150" t="str">
        <f>"621"</f>
        <v>621</v>
      </c>
      <c r="G150" t="str">
        <f t="shared" si="23"/>
        <v>0000</v>
      </c>
    </row>
    <row r="151" spans="1:7">
      <c r="A151" t="str">
        <f t="shared" si="19"/>
        <v>SANT'OLCESE</v>
      </c>
      <c r="B151" t="str">
        <f>"E1797-4"</f>
        <v>E1797-4</v>
      </c>
      <c r="C151" t="str">
        <f>"VIA CARLO LEVI  2-"</f>
        <v>VIA CARLO LEVI  2-</v>
      </c>
      <c r="D151" t="str">
        <f t="shared" si="22"/>
        <v>U</v>
      </c>
      <c r="E151">
        <v>5</v>
      </c>
      <c r="F151" t="str">
        <f>"272"</f>
        <v>272</v>
      </c>
      <c r="G151" t="str">
        <f t="shared" si="23"/>
        <v>0000</v>
      </c>
    </row>
    <row r="152" spans="1:7">
      <c r="A152" t="str">
        <f t="shared" si="19"/>
        <v>SANT'OLCESE</v>
      </c>
      <c r="B152" t="str">
        <f>"E1797-4"</f>
        <v>E1797-4</v>
      </c>
      <c r="C152" t="str">
        <f>"VIA CARLO LEVI  2-"</f>
        <v>VIA CARLO LEVI  2-</v>
      </c>
      <c r="D152" t="str">
        <f t="shared" si="22"/>
        <v>U</v>
      </c>
      <c r="E152">
        <v>5</v>
      </c>
      <c r="F152" t="str">
        <f>"620"</f>
        <v>620</v>
      </c>
      <c r="G152" t="str">
        <f t="shared" si="23"/>
        <v>0000</v>
      </c>
    </row>
    <row r="153" spans="1:7">
      <c r="A153" t="str">
        <f t="shared" si="19"/>
        <v>SANT'OLCESE</v>
      </c>
      <c r="B153" t="str">
        <f>"E1797-4"</f>
        <v>E1797-4</v>
      </c>
      <c r="C153" t="str">
        <f>"VIA CARLO LEVI  2-"</f>
        <v>VIA CARLO LEVI  2-</v>
      </c>
      <c r="D153" t="str">
        <f t="shared" si="22"/>
        <v>U</v>
      </c>
      <c r="E153">
        <v>5</v>
      </c>
      <c r="F153" t="str">
        <f>"621"</f>
        <v>621</v>
      </c>
      <c r="G153" t="str">
        <f t="shared" si="23"/>
        <v>0000</v>
      </c>
    </row>
    <row r="154" spans="1:7">
      <c r="A154" t="str">
        <f t="shared" si="19"/>
        <v>SANT'OLCESE</v>
      </c>
      <c r="B154" t="str">
        <f>"E1798-1"</f>
        <v>E1798-1</v>
      </c>
      <c r="C154" t="str">
        <f>"VIA CARLO LEVI  10-"</f>
        <v>VIA CARLO LEVI  10-</v>
      </c>
      <c r="D154" t="str">
        <f t="shared" si="22"/>
        <v>U</v>
      </c>
      <c r="E154">
        <v>5</v>
      </c>
      <c r="F154" t="str">
        <f>"419"</f>
        <v>419</v>
      </c>
      <c r="G154" t="str">
        <f>"1"</f>
        <v>1</v>
      </c>
    </row>
    <row r="155" spans="1:7">
      <c r="A155" t="str">
        <f t="shared" si="19"/>
        <v>SANT'OLCESE</v>
      </c>
      <c r="B155" t="str">
        <f>"E1798-2"</f>
        <v>E1798-2</v>
      </c>
      <c r="C155" t="str">
        <f>"VIA CARLO LEVI  12-"</f>
        <v>VIA CARLO LEVI  12-</v>
      </c>
      <c r="D155" t="str">
        <f t="shared" si="22"/>
        <v>U</v>
      </c>
      <c r="E155">
        <v>5</v>
      </c>
      <c r="F155" t="str">
        <f>"419"</f>
        <v>419</v>
      </c>
      <c r="G155" t="str">
        <f>"2"</f>
        <v>2</v>
      </c>
    </row>
    <row r="156" spans="1:7">
      <c r="A156" t="str">
        <f t="shared" si="19"/>
        <v>SANT'OLCESE</v>
      </c>
      <c r="B156" t="str">
        <f>"E1798-3"</f>
        <v>E1798-3</v>
      </c>
      <c r="C156" t="str">
        <f>"VIA CARLO LEVI VICINO AL 12-"</f>
        <v>VIA CARLO LEVI VICINO AL 12-</v>
      </c>
      <c r="D156" t="str">
        <f t="shared" si="22"/>
        <v>U</v>
      </c>
      <c r="E156">
        <v>5</v>
      </c>
      <c r="F156" t="str">
        <f>"419"</f>
        <v>419</v>
      </c>
      <c r="G156" t="str">
        <f>"0000"</f>
        <v>0000</v>
      </c>
    </row>
    <row r="157" spans="1:7">
      <c r="A157" t="str">
        <f t="shared" si="19"/>
        <v>SANT'OLCESE</v>
      </c>
      <c r="B157" t="str">
        <f>"E1798-4"</f>
        <v>E1798-4</v>
      </c>
      <c r="C157" t="str">
        <f>"VIA CARLO LEVI VICINO AL 12-"</f>
        <v>VIA CARLO LEVI VICINO AL 12-</v>
      </c>
      <c r="D157" t="str">
        <f t="shared" si="22"/>
        <v>U</v>
      </c>
      <c r="E157">
        <v>5</v>
      </c>
      <c r="F157" t="str">
        <f>"419"</f>
        <v>419</v>
      </c>
      <c r="G157" t="str">
        <f>"9"</f>
        <v>9</v>
      </c>
    </row>
    <row r="159" spans="1:7">
      <c r="A159" t="str">
        <f>"SORSO"</f>
        <v>SORSO</v>
      </c>
      <c r="B159" t="str">
        <f>"E1937-1"</f>
        <v>E1937-1</v>
      </c>
      <c r="C159" t="str">
        <f>"VIA DEI PITOSFORI  3-"</f>
        <v>VIA DEI PITOSFORI  3-</v>
      </c>
      <c r="D159" t="str">
        <f t="shared" si="22"/>
        <v>U</v>
      </c>
      <c r="E159">
        <v>25</v>
      </c>
      <c r="F159" t="str">
        <f>"416"</f>
        <v>416</v>
      </c>
      <c r="G159" t="str">
        <f>"18"</f>
        <v>18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Centro Est</vt:lpstr>
      <vt:lpstr>Centro Ovest</vt:lpstr>
      <vt:lpstr>Bas V Bisagno</vt:lpstr>
      <vt:lpstr>Val Bisagno</vt:lpstr>
      <vt:lpstr>Val Polcevera</vt:lpstr>
      <vt:lpstr>Medio Ponente</vt:lpstr>
      <vt:lpstr>Ponente</vt:lpstr>
      <vt:lpstr>Medio Levante</vt:lpstr>
      <vt:lpstr>Levante</vt:lpstr>
      <vt:lpstr>Fuori Genova</vt:lpstr>
    </vt:vector>
  </TitlesOfParts>
  <Company>COMUNE DI GENOVA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sistemi informativi</dc:creator>
  <cp:lastModifiedBy>epow003</cp:lastModifiedBy>
  <dcterms:created xsi:type="dcterms:W3CDTF">2017-01-10T11:52:51Z</dcterms:created>
  <dcterms:modified xsi:type="dcterms:W3CDTF">2017-01-11T13:52:00Z</dcterms:modified>
</cp:coreProperties>
</file>